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0026201B-1730-4D4E-8DD0-F289BCDEC95C}" xr6:coauthVersionLast="47" xr6:coauthVersionMax="47" xr10:uidLastSave="{00000000-0000-0000-0000-000000000000}"/>
  <bookViews>
    <workbookView xWindow="28680" yWindow="-120" windowWidth="29040" windowHeight="15840" firstSheet="21" activeTab="3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12.01" sheetId="24" r:id="rId6"/>
    <sheet name="2022.12.02" sheetId="25" r:id="rId7"/>
    <sheet name="2022.12.03" sheetId="26" r:id="rId8"/>
    <sheet name="2022.12.04" sheetId="27" r:id="rId9"/>
    <sheet name="2022.12.05" sheetId="28" r:id="rId10"/>
    <sheet name="2022.12.06" sheetId="29" r:id="rId11"/>
    <sheet name="2022.12.07" sheetId="30" r:id="rId12"/>
    <sheet name="2022.12.08" sheetId="31" r:id="rId13"/>
    <sheet name="2022.12.09" sheetId="32" r:id="rId14"/>
    <sheet name="2022.12.10" sheetId="33" r:id="rId15"/>
    <sheet name="2022.12.11" sheetId="34" r:id="rId16"/>
    <sheet name="2022.12.12" sheetId="35" r:id="rId17"/>
    <sheet name="2022.12.13" sheetId="36" r:id="rId18"/>
    <sheet name="2022.12.14" sheetId="37" r:id="rId19"/>
    <sheet name="2022.12.15" sheetId="38" r:id="rId20"/>
    <sheet name="2022.12.16" sheetId="39" r:id="rId21"/>
    <sheet name="2022.12.17" sheetId="40" r:id="rId22"/>
    <sheet name="2022.12.18" sheetId="41" r:id="rId23"/>
    <sheet name="2022.12.19" sheetId="42" r:id="rId24"/>
    <sheet name="2022.12.20" sheetId="43" r:id="rId25"/>
    <sheet name="2022.12.21" sheetId="44" r:id="rId26"/>
    <sheet name="2022.12.22" sheetId="45" r:id="rId27"/>
    <sheet name="2022.12.23" sheetId="46" r:id="rId28"/>
    <sheet name="2022.12.24" sheetId="47" r:id="rId29"/>
    <sheet name="2022.12.25" sheetId="48" r:id="rId30"/>
    <sheet name="2022.12.26" sheetId="49" r:id="rId31"/>
  </sheets>
  <definedNames>
    <definedName name="_xlnm._FilterDatabase" localSheetId="5" hidden="1">'2022.12.01'!#REF!</definedName>
    <definedName name="_xlnm._FilterDatabase" localSheetId="6" hidden="1">'2022.12.02'!#REF!</definedName>
    <definedName name="_xlnm._FilterDatabase" localSheetId="7" hidden="1">'2022.12.03'!#REF!</definedName>
    <definedName name="_xlnm._FilterDatabase" localSheetId="8" hidden="1">'2022.12.04'!#REF!</definedName>
    <definedName name="_xlnm._FilterDatabase" localSheetId="9" hidden="1">'2022.12.05'!#REF!</definedName>
    <definedName name="_xlnm._FilterDatabase" localSheetId="10" hidden="1">'2022.12.06'!#REF!</definedName>
    <definedName name="_xlnm._FilterDatabase" localSheetId="11" hidden="1">'2022.12.07'!#REF!</definedName>
    <definedName name="_xlnm._FilterDatabase" localSheetId="12" hidden="1">'2022.12.08'!#REF!</definedName>
    <definedName name="_xlnm._FilterDatabase" localSheetId="13" hidden="1">'2022.12.09'!#REF!</definedName>
    <definedName name="_xlnm._FilterDatabase" localSheetId="14" hidden="1">'2022.12.10'!#REF!</definedName>
    <definedName name="_xlnm._FilterDatabase" localSheetId="15" hidden="1">'2022.12.11'!#REF!</definedName>
    <definedName name="_xlnm._FilterDatabase" localSheetId="16" hidden="1">'2022.12.12'!#REF!</definedName>
    <definedName name="_xlnm._FilterDatabase" localSheetId="17" hidden="1">'2022.12.13'!#REF!</definedName>
    <definedName name="_xlnm._FilterDatabase" localSheetId="18" hidden="1">'2022.12.14'!#REF!</definedName>
    <definedName name="_xlnm._FilterDatabase" localSheetId="19" hidden="1">'2022.12.15'!#REF!</definedName>
    <definedName name="_xlnm._FilterDatabase" localSheetId="20" hidden="1">'2022.12.16'!#REF!</definedName>
    <definedName name="_xlnm._FilterDatabase" localSheetId="21" hidden="1">'2022.12.17'!#REF!</definedName>
    <definedName name="_xlnm._FilterDatabase" localSheetId="22" hidden="1">'2022.12.18'!#REF!</definedName>
    <definedName name="_xlnm._FilterDatabase" localSheetId="23" hidden="1">'2022.12.19'!#REF!</definedName>
    <definedName name="_xlnm._FilterDatabase" localSheetId="24" hidden="1">'2022.12.20'!#REF!</definedName>
    <definedName name="_xlnm._FilterDatabase" localSheetId="25" hidden="1">'2022.12.21'!#REF!</definedName>
    <definedName name="_xlnm._FilterDatabase" localSheetId="26" hidden="1">'2022.12.22'!#REF!</definedName>
    <definedName name="_xlnm._FilterDatabase" localSheetId="27" hidden="1">'2022.12.23'!#REF!</definedName>
    <definedName name="_xlnm._FilterDatabase" localSheetId="28" hidden="1">'2022.12.24'!#REF!</definedName>
    <definedName name="_xlnm._FilterDatabase" localSheetId="29" hidden="1">'2022.12.25'!#REF!</definedName>
    <definedName name="_xlnm._FilterDatabase" localSheetId="30" hidden="1">'2022.12.26'!#REF!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I198" i="49"/>
  <c r="H198" i="49"/>
  <c r="F198" i="49"/>
  <c r="E198" i="49"/>
  <c r="O197" i="49"/>
  <c r="N197" i="49"/>
  <c r="L197" i="49"/>
  <c r="K197" i="49"/>
  <c r="I197" i="49"/>
  <c r="H197" i="49"/>
  <c r="F197" i="49"/>
  <c r="E197" i="49"/>
  <c r="O196" i="49"/>
  <c r="N196" i="49"/>
  <c r="L196" i="49"/>
  <c r="K196" i="49"/>
  <c r="I196" i="49"/>
  <c r="H196" i="49"/>
  <c r="F196" i="49"/>
  <c r="E196" i="49"/>
  <c r="O195" i="49"/>
  <c r="N195" i="49"/>
  <c r="L195" i="49"/>
  <c r="K195" i="49"/>
  <c r="I195" i="49"/>
  <c r="H195" i="49"/>
  <c r="F195" i="49"/>
  <c r="E195" i="49"/>
  <c r="O194" i="49"/>
  <c r="N194" i="49"/>
  <c r="L194" i="49"/>
  <c r="K194" i="49"/>
  <c r="I194" i="49"/>
  <c r="H194" i="49"/>
  <c r="F194" i="49"/>
  <c r="E194" i="49"/>
  <c r="O193" i="49"/>
  <c r="N193" i="49"/>
  <c r="L193" i="49"/>
  <c r="K193" i="49"/>
  <c r="I193" i="49"/>
  <c r="H193" i="49"/>
  <c r="F193" i="49"/>
  <c r="E193" i="49"/>
  <c r="O192" i="49"/>
  <c r="N192" i="49"/>
  <c r="L192" i="49"/>
  <c r="K192" i="49"/>
  <c r="I192" i="49"/>
  <c r="H192" i="49"/>
  <c r="F192" i="49"/>
  <c r="E192" i="49"/>
  <c r="O191" i="49"/>
  <c r="N191" i="49"/>
  <c r="L191" i="49"/>
  <c r="K191" i="49"/>
  <c r="I191" i="49"/>
  <c r="H191" i="49"/>
  <c r="F191" i="49"/>
  <c r="E191" i="49"/>
  <c r="O190" i="49"/>
  <c r="N190" i="49"/>
  <c r="L190" i="49"/>
  <c r="K190" i="49"/>
  <c r="I190" i="49"/>
  <c r="H190" i="49"/>
  <c r="F190" i="49"/>
  <c r="E190" i="49"/>
  <c r="O189" i="49"/>
  <c r="N189" i="49"/>
  <c r="L189" i="49"/>
  <c r="K189" i="49"/>
  <c r="I189" i="49"/>
  <c r="H189" i="49"/>
  <c r="F189" i="49"/>
  <c r="E189" i="49"/>
  <c r="O188" i="49"/>
  <c r="N188" i="49"/>
  <c r="L188" i="49"/>
  <c r="K188" i="49"/>
  <c r="I188" i="49"/>
  <c r="H188" i="49"/>
  <c r="F188" i="49"/>
  <c r="E188" i="49"/>
  <c r="O187" i="49"/>
  <c r="N187" i="49"/>
  <c r="L187" i="49"/>
  <c r="K187" i="49"/>
  <c r="I187" i="49"/>
  <c r="H187" i="49"/>
  <c r="F187" i="49"/>
  <c r="E187" i="49"/>
  <c r="O186" i="49"/>
  <c r="N186" i="49"/>
  <c r="L186" i="49"/>
  <c r="K186" i="49"/>
  <c r="I186" i="49"/>
  <c r="H186" i="49"/>
  <c r="F186" i="49"/>
  <c r="E186" i="49"/>
  <c r="O185" i="49"/>
  <c r="N185" i="49"/>
  <c r="L185" i="49"/>
  <c r="K185" i="49"/>
  <c r="I185" i="49"/>
  <c r="H185" i="49"/>
  <c r="F185" i="49"/>
  <c r="E185" i="49"/>
  <c r="O184" i="49"/>
  <c r="N184" i="49"/>
  <c r="L184" i="49"/>
  <c r="K184" i="49"/>
  <c r="I184" i="49"/>
  <c r="H184" i="49"/>
  <c r="F184" i="49"/>
  <c r="E184" i="49"/>
  <c r="O183" i="49"/>
  <c r="N183" i="49"/>
  <c r="L183" i="49"/>
  <c r="K183" i="49"/>
  <c r="I183" i="49"/>
  <c r="H183" i="49"/>
  <c r="F183" i="49"/>
  <c r="E183" i="49"/>
  <c r="O182" i="49"/>
  <c r="N182" i="49"/>
  <c r="L182" i="49"/>
  <c r="K182" i="49"/>
  <c r="I182" i="49"/>
  <c r="H182" i="49"/>
  <c r="F182" i="49"/>
  <c r="E182" i="49"/>
  <c r="O181" i="49"/>
  <c r="N181" i="49"/>
  <c r="L181" i="49"/>
  <c r="K181" i="49"/>
  <c r="I181" i="49"/>
  <c r="H181" i="49"/>
  <c r="F181" i="49"/>
  <c r="E181" i="49"/>
  <c r="O180" i="49"/>
  <c r="N180" i="49"/>
  <c r="L180" i="49"/>
  <c r="K180" i="49"/>
  <c r="I180" i="49"/>
  <c r="H180" i="49"/>
  <c r="F180" i="49"/>
  <c r="E180" i="49"/>
  <c r="O179" i="49"/>
  <c r="O199" i="49" s="1"/>
  <c r="N179" i="49"/>
  <c r="N199" i="49" s="1"/>
  <c r="L179" i="49"/>
  <c r="L199" i="49" s="1"/>
  <c r="K179" i="49"/>
  <c r="K199" i="49" s="1"/>
  <c r="I179" i="49"/>
  <c r="I199" i="49" s="1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I171" i="49"/>
  <c r="H171" i="49"/>
  <c r="F171" i="49"/>
  <c r="E171" i="49"/>
  <c r="O170" i="49"/>
  <c r="N170" i="49"/>
  <c r="L170" i="49"/>
  <c r="K170" i="49"/>
  <c r="I170" i="49"/>
  <c r="H170" i="49"/>
  <c r="F170" i="49"/>
  <c r="E170" i="49"/>
  <c r="O169" i="49"/>
  <c r="N169" i="49"/>
  <c r="L169" i="49"/>
  <c r="K169" i="49"/>
  <c r="I169" i="49"/>
  <c r="H169" i="49"/>
  <c r="F169" i="49"/>
  <c r="E169" i="49"/>
  <c r="O168" i="49"/>
  <c r="N168" i="49"/>
  <c r="L168" i="49"/>
  <c r="K168" i="49"/>
  <c r="I168" i="49"/>
  <c r="H168" i="49"/>
  <c r="F168" i="49"/>
  <c r="E168" i="49"/>
  <c r="O167" i="49"/>
  <c r="N167" i="49"/>
  <c r="L167" i="49"/>
  <c r="K167" i="49"/>
  <c r="I167" i="49"/>
  <c r="H167" i="49"/>
  <c r="F167" i="49"/>
  <c r="E167" i="49"/>
  <c r="O166" i="49"/>
  <c r="N166" i="49"/>
  <c r="L166" i="49"/>
  <c r="K166" i="49"/>
  <c r="I166" i="49"/>
  <c r="H166" i="49"/>
  <c r="F166" i="49"/>
  <c r="E166" i="49"/>
  <c r="O165" i="49"/>
  <c r="N165" i="49"/>
  <c r="L165" i="49"/>
  <c r="K165" i="49"/>
  <c r="I165" i="49"/>
  <c r="H165" i="49"/>
  <c r="F165" i="49"/>
  <c r="E165" i="49"/>
  <c r="O164" i="49"/>
  <c r="N164" i="49"/>
  <c r="L164" i="49"/>
  <c r="K164" i="49"/>
  <c r="I164" i="49"/>
  <c r="H164" i="49"/>
  <c r="F164" i="49"/>
  <c r="E164" i="49"/>
  <c r="O163" i="49"/>
  <c r="N163" i="49"/>
  <c r="L163" i="49"/>
  <c r="K163" i="49"/>
  <c r="I163" i="49"/>
  <c r="H163" i="49"/>
  <c r="F163" i="49"/>
  <c r="E163" i="49"/>
  <c r="O162" i="49"/>
  <c r="N162" i="49"/>
  <c r="L162" i="49"/>
  <c r="K162" i="49"/>
  <c r="I162" i="49"/>
  <c r="H162" i="49"/>
  <c r="F162" i="49"/>
  <c r="E162" i="49"/>
  <c r="O161" i="49"/>
  <c r="N161" i="49"/>
  <c r="L161" i="49"/>
  <c r="K161" i="49"/>
  <c r="I161" i="49"/>
  <c r="H161" i="49"/>
  <c r="F161" i="49"/>
  <c r="E161" i="49"/>
  <c r="O160" i="49"/>
  <c r="N160" i="49"/>
  <c r="L160" i="49"/>
  <c r="K160" i="49"/>
  <c r="I160" i="49"/>
  <c r="H160" i="49"/>
  <c r="F160" i="49"/>
  <c r="E160" i="49"/>
  <c r="O159" i="49"/>
  <c r="N159" i="49"/>
  <c r="L159" i="49"/>
  <c r="K159" i="49"/>
  <c r="I159" i="49"/>
  <c r="H159" i="49"/>
  <c r="F159" i="49"/>
  <c r="E159" i="49"/>
  <c r="O158" i="49"/>
  <c r="N158" i="49"/>
  <c r="L158" i="49"/>
  <c r="K158" i="49"/>
  <c r="I158" i="49"/>
  <c r="H158" i="49"/>
  <c r="F158" i="49"/>
  <c r="E158" i="49"/>
  <c r="O157" i="49"/>
  <c r="N157" i="49"/>
  <c r="L157" i="49"/>
  <c r="K157" i="49"/>
  <c r="I157" i="49"/>
  <c r="H157" i="49"/>
  <c r="F157" i="49"/>
  <c r="E157" i="49"/>
  <c r="O156" i="49"/>
  <c r="N156" i="49"/>
  <c r="L156" i="49"/>
  <c r="K156" i="49"/>
  <c r="I156" i="49"/>
  <c r="H156" i="49"/>
  <c r="F156" i="49"/>
  <c r="E156" i="49"/>
  <c r="O155" i="49"/>
  <c r="N155" i="49"/>
  <c r="L155" i="49"/>
  <c r="K155" i="49"/>
  <c r="I155" i="49"/>
  <c r="H155" i="49"/>
  <c r="F155" i="49"/>
  <c r="E155" i="49"/>
  <c r="O154" i="49"/>
  <c r="N154" i="49"/>
  <c r="L154" i="49"/>
  <c r="K154" i="49"/>
  <c r="I154" i="49"/>
  <c r="H154" i="49"/>
  <c r="F154" i="49"/>
  <c r="E154" i="49"/>
  <c r="O153" i="49"/>
  <c r="N153" i="49"/>
  <c r="L153" i="49"/>
  <c r="K153" i="49"/>
  <c r="I153" i="49"/>
  <c r="H153" i="49"/>
  <c r="F153" i="49"/>
  <c r="E153" i="49"/>
  <c r="O152" i="49"/>
  <c r="O172" i="49" s="1"/>
  <c r="N152" i="49"/>
  <c r="N172" i="49" s="1"/>
  <c r="L152" i="49"/>
  <c r="L172" i="49" s="1"/>
  <c r="K152" i="49"/>
  <c r="K172" i="49" s="1"/>
  <c r="I152" i="49"/>
  <c r="I172" i="49" s="1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O144" i="49"/>
  <c r="N144" i="49"/>
  <c r="L144" i="49"/>
  <c r="K144" i="49"/>
  <c r="I144" i="49"/>
  <c r="H144" i="49"/>
  <c r="F144" i="49"/>
  <c r="E144" i="49"/>
  <c r="O143" i="49"/>
  <c r="N143" i="49"/>
  <c r="L143" i="49"/>
  <c r="K143" i="49"/>
  <c r="I143" i="49"/>
  <c r="H143" i="49"/>
  <c r="F143" i="49"/>
  <c r="E143" i="49"/>
  <c r="O142" i="49"/>
  <c r="N142" i="49"/>
  <c r="L142" i="49"/>
  <c r="K142" i="49"/>
  <c r="I142" i="49"/>
  <c r="H142" i="49"/>
  <c r="F142" i="49"/>
  <c r="E142" i="49"/>
  <c r="O141" i="49"/>
  <c r="N141" i="49"/>
  <c r="L141" i="49"/>
  <c r="K141" i="49"/>
  <c r="I141" i="49"/>
  <c r="H141" i="49"/>
  <c r="F141" i="49"/>
  <c r="E141" i="49"/>
  <c r="O140" i="49"/>
  <c r="N140" i="49"/>
  <c r="L140" i="49"/>
  <c r="K140" i="49"/>
  <c r="I140" i="49"/>
  <c r="H140" i="49"/>
  <c r="F140" i="49"/>
  <c r="E140" i="49"/>
  <c r="O139" i="49"/>
  <c r="N139" i="49"/>
  <c r="L139" i="49"/>
  <c r="K139" i="49"/>
  <c r="I139" i="49"/>
  <c r="H139" i="49"/>
  <c r="F139" i="49"/>
  <c r="E139" i="49"/>
  <c r="O138" i="49"/>
  <c r="N138" i="49"/>
  <c r="L138" i="49"/>
  <c r="K138" i="49"/>
  <c r="I138" i="49"/>
  <c r="H138" i="49"/>
  <c r="F138" i="49"/>
  <c r="E138" i="49"/>
  <c r="O137" i="49"/>
  <c r="N137" i="49"/>
  <c r="L137" i="49"/>
  <c r="K137" i="49"/>
  <c r="I137" i="49"/>
  <c r="H137" i="49"/>
  <c r="F137" i="49"/>
  <c r="E137" i="49"/>
  <c r="O136" i="49"/>
  <c r="N136" i="49"/>
  <c r="L136" i="49"/>
  <c r="K136" i="49"/>
  <c r="I136" i="49"/>
  <c r="H136" i="49"/>
  <c r="F136" i="49"/>
  <c r="E136" i="49"/>
  <c r="O135" i="49"/>
  <c r="N135" i="49"/>
  <c r="L135" i="49"/>
  <c r="K135" i="49"/>
  <c r="I135" i="49"/>
  <c r="H135" i="49"/>
  <c r="E135" i="49"/>
  <c r="F135" i="49" s="1"/>
  <c r="O134" i="49"/>
  <c r="N134" i="49"/>
  <c r="L134" i="49"/>
  <c r="K134" i="49"/>
  <c r="I134" i="49"/>
  <c r="H134" i="49"/>
  <c r="E134" i="49"/>
  <c r="F134" i="49" s="1"/>
  <c r="O133" i="49"/>
  <c r="N133" i="49"/>
  <c r="L133" i="49"/>
  <c r="K133" i="49"/>
  <c r="I133" i="49"/>
  <c r="H133" i="49"/>
  <c r="E133" i="49"/>
  <c r="F133" i="49" s="1"/>
  <c r="O132" i="49"/>
  <c r="N132" i="49"/>
  <c r="L132" i="49"/>
  <c r="K132" i="49"/>
  <c r="I132" i="49"/>
  <c r="H132" i="49"/>
  <c r="E132" i="49"/>
  <c r="F132" i="49" s="1"/>
  <c r="O131" i="49"/>
  <c r="N131" i="49"/>
  <c r="L131" i="49"/>
  <c r="K131" i="49"/>
  <c r="I131" i="49"/>
  <c r="H131" i="49"/>
  <c r="E131" i="49"/>
  <c r="F131" i="49" s="1"/>
  <c r="O130" i="49"/>
  <c r="N130" i="49"/>
  <c r="L130" i="49"/>
  <c r="K130" i="49"/>
  <c r="I130" i="49"/>
  <c r="H130" i="49"/>
  <c r="E130" i="49"/>
  <c r="F130" i="49" s="1"/>
  <c r="O129" i="49"/>
  <c r="N129" i="49"/>
  <c r="L129" i="49"/>
  <c r="K129" i="49"/>
  <c r="I129" i="49"/>
  <c r="H129" i="49"/>
  <c r="E129" i="49"/>
  <c r="F129" i="49" s="1"/>
  <c r="O128" i="49"/>
  <c r="N128" i="49"/>
  <c r="L128" i="49"/>
  <c r="K128" i="49"/>
  <c r="I128" i="49"/>
  <c r="H128" i="49"/>
  <c r="E128" i="49"/>
  <c r="F128" i="49" s="1"/>
  <c r="O127" i="49"/>
  <c r="N127" i="49"/>
  <c r="L127" i="49"/>
  <c r="K127" i="49"/>
  <c r="I127" i="49"/>
  <c r="H127" i="49"/>
  <c r="E127" i="49"/>
  <c r="F127" i="49" s="1"/>
  <c r="O126" i="49"/>
  <c r="N126" i="49"/>
  <c r="L126" i="49"/>
  <c r="K126" i="49"/>
  <c r="I126" i="49"/>
  <c r="H126" i="49"/>
  <c r="E126" i="49"/>
  <c r="F126" i="49" s="1"/>
  <c r="O125" i="49"/>
  <c r="O145" i="49" s="1"/>
  <c r="N125" i="49"/>
  <c r="N145" i="49" s="1"/>
  <c r="L125" i="49"/>
  <c r="L145" i="49" s="1"/>
  <c r="K125" i="49"/>
  <c r="K145" i="49" s="1"/>
  <c r="I125" i="49"/>
  <c r="I145" i="49" s="1"/>
  <c r="H125" i="49"/>
  <c r="H145" i="49" s="1"/>
  <c r="E125" i="49"/>
  <c r="E145" i="49" s="1"/>
  <c r="M123" i="49"/>
  <c r="J123" i="49"/>
  <c r="G123" i="49"/>
  <c r="D123" i="49"/>
  <c r="B123" i="49"/>
  <c r="M122" i="49"/>
  <c r="G122" i="49"/>
  <c r="B118" i="49"/>
  <c r="O117" i="49"/>
  <c r="N117" i="49"/>
  <c r="L117" i="49"/>
  <c r="K117" i="49"/>
  <c r="I117" i="49"/>
  <c r="H117" i="49"/>
  <c r="E117" i="49"/>
  <c r="F117" i="49" s="1"/>
  <c r="O116" i="49"/>
  <c r="N116" i="49"/>
  <c r="L116" i="49"/>
  <c r="K116" i="49"/>
  <c r="I116" i="49"/>
  <c r="H116" i="49"/>
  <c r="E116" i="49"/>
  <c r="F116" i="49" s="1"/>
  <c r="O115" i="49"/>
  <c r="N115" i="49"/>
  <c r="L115" i="49"/>
  <c r="K115" i="49"/>
  <c r="I115" i="49"/>
  <c r="H115" i="49"/>
  <c r="E115" i="49"/>
  <c r="F115" i="49" s="1"/>
  <c r="O114" i="49"/>
  <c r="N114" i="49"/>
  <c r="L114" i="49"/>
  <c r="K114" i="49"/>
  <c r="I114" i="49"/>
  <c r="H114" i="49"/>
  <c r="E114" i="49"/>
  <c r="F114" i="49" s="1"/>
  <c r="O113" i="49"/>
  <c r="N113" i="49"/>
  <c r="L113" i="49"/>
  <c r="K113" i="49"/>
  <c r="I113" i="49"/>
  <c r="H113" i="49"/>
  <c r="E113" i="49"/>
  <c r="F113" i="49" s="1"/>
  <c r="O112" i="49"/>
  <c r="N112" i="49"/>
  <c r="L112" i="49"/>
  <c r="K112" i="49"/>
  <c r="I112" i="49"/>
  <c r="H112" i="49"/>
  <c r="E112" i="49"/>
  <c r="F112" i="49" s="1"/>
  <c r="O111" i="49"/>
  <c r="N111" i="49"/>
  <c r="L111" i="49"/>
  <c r="K111" i="49"/>
  <c r="I111" i="49"/>
  <c r="H111" i="49"/>
  <c r="E111" i="49"/>
  <c r="F111" i="49" s="1"/>
  <c r="O110" i="49"/>
  <c r="N110" i="49"/>
  <c r="L110" i="49"/>
  <c r="K110" i="49"/>
  <c r="I110" i="49"/>
  <c r="H110" i="49"/>
  <c r="E110" i="49"/>
  <c r="F110" i="49" s="1"/>
  <c r="O109" i="49"/>
  <c r="N109" i="49"/>
  <c r="L109" i="49"/>
  <c r="K109" i="49"/>
  <c r="I109" i="49"/>
  <c r="H109" i="49"/>
  <c r="E109" i="49"/>
  <c r="F109" i="49" s="1"/>
  <c r="O108" i="49"/>
  <c r="N108" i="49"/>
  <c r="L108" i="49"/>
  <c r="K108" i="49"/>
  <c r="I108" i="49"/>
  <c r="H108" i="49"/>
  <c r="E108" i="49"/>
  <c r="F108" i="49" s="1"/>
  <c r="O107" i="49"/>
  <c r="N107" i="49"/>
  <c r="L107" i="49"/>
  <c r="K107" i="49"/>
  <c r="I107" i="49"/>
  <c r="H107" i="49"/>
  <c r="E107" i="49"/>
  <c r="F107" i="49" s="1"/>
  <c r="O106" i="49"/>
  <c r="N106" i="49"/>
  <c r="L106" i="49"/>
  <c r="K106" i="49"/>
  <c r="I106" i="49"/>
  <c r="H106" i="49"/>
  <c r="E106" i="49"/>
  <c r="F106" i="49" s="1"/>
  <c r="O105" i="49"/>
  <c r="N105" i="49"/>
  <c r="L105" i="49"/>
  <c r="K105" i="49"/>
  <c r="I105" i="49"/>
  <c r="H105" i="49"/>
  <c r="E105" i="49"/>
  <c r="F105" i="49" s="1"/>
  <c r="O104" i="49"/>
  <c r="N104" i="49"/>
  <c r="L104" i="49"/>
  <c r="K104" i="49"/>
  <c r="I104" i="49"/>
  <c r="H104" i="49"/>
  <c r="E104" i="49"/>
  <c r="F104" i="49" s="1"/>
  <c r="O103" i="49"/>
  <c r="N103" i="49"/>
  <c r="L103" i="49"/>
  <c r="K103" i="49"/>
  <c r="I103" i="49"/>
  <c r="H103" i="49"/>
  <c r="E103" i="49"/>
  <c r="F103" i="49" s="1"/>
  <c r="O102" i="49"/>
  <c r="N102" i="49"/>
  <c r="L102" i="49"/>
  <c r="K102" i="49"/>
  <c r="I102" i="49"/>
  <c r="H102" i="49"/>
  <c r="E102" i="49"/>
  <c r="F102" i="49" s="1"/>
  <c r="O101" i="49"/>
  <c r="N101" i="49"/>
  <c r="L101" i="49"/>
  <c r="K101" i="49"/>
  <c r="I101" i="49"/>
  <c r="H101" i="49"/>
  <c r="E101" i="49"/>
  <c r="F101" i="49" s="1"/>
  <c r="O100" i="49"/>
  <c r="N100" i="49"/>
  <c r="L100" i="49"/>
  <c r="K100" i="49"/>
  <c r="I100" i="49"/>
  <c r="H100" i="49"/>
  <c r="E100" i="49"/>
  <c r="F100" i="49" s="1"/>
  <c r="O99" i="49"/>
  <c r="N99" i="49"/>
  <c r="L99" i="49"/>
  <c r="K99" i="49"/>
  <c r="I99" i="49"/>
  <c r="H99" i="49"/>
  <c r="E99" i="49"/>
  <c r="F99" i="49" s="1"/>
  <c r="O98" i="49"/>
  <c r="O118" i="49" s="1"/>
  <c r="N98" i="49"/>
  <c r="N118" i="49" s="1"/>
  <c r="L98" i="49"/>
  <c r="L118" i="49" s="1"/>
  <c r="K98" i="49"/>
  <c r="K118" i="49" s="1"/>
  <c r="I98" i="49"/>
  <c r="I118" i="49" s="1"/>
  <c r="H98" i="49"/>
  <c r="H118" i="49" s="1"/>
  <c r="E98" i="49"/>
  <c r="E118" i="49" s="1"/>
  <c r="M96" i="49"/>
  <c r="J96" i="49"/>
  <c r="G96" i="49"/>
  <c r="D96" i="49"/>
  <c r="B96" i="49"/>
  <c r="M95" i="49"/>
  <c r="G95" i="49"/>
  <c r="B91" i="49"/>
  <c r="O90" i="49"/>
  <c r="N90" i="49"/>
  <c r="L90" i="49"/>
  <c r="K90" i="49"/>
  <c r="I90" i="49"/>
  <c r="H90" i="49"/>
  <c r="F90" i="49"/>
  <c r="E90" i="49"/>
  <c r="O89" i="49"/>
  <c r="N89" i="49"/>
  <c r="L89" i="49"/>
  <c r="K89" i="49"/>
  <c r="I89" i="49"/>
  <c r="H89" i="49"/>
  <c r="F89" i="49"/>
  <c r="E89" i="49"/>
  <c r="O88" i="49"/>
  <c r="N88" i="49"/>
  <c r="L88" i="49"/>
  <c r="K88" i="49"/>
  <c r="I88" i="49"/>
  <c r="H88" i="49"/>
  <c r="F88" i="49"/>
  <c r="E88" i="49"/>
  <c r="O87" i="49"/>
  <c r="N87" i="49"/>
  <c r="L87" i="49"/>
  <c r="K87" i="49"/>
  <c r="I87" i="49"/>
  <c r="H87" i="49"/>
  <c r="F87" i="49"/>
  <c r="E87" i="49"/>
  <c r="O86" i="49"/>
  <c r="N86" i="49"/>
  <c r="L86" i="49"/>
  <c r="K86" i="49"/>
  <c r="I86" i="49"/>
  <c r="H86" i="49"/>
  <c r="F86" i="49"/>
  <c r="E86" i="49"/>
  <c r="O85" i="49"/>
  <c r="N85" i="49"/>
  <c r="L85" i="49"/>
  <c r="K85" i="49"/>
  <c r="I85" i="49"/>
  <c r="H85" i="49"/>
  <c r="F85" i="49"/>
  <c r="E85" i="49"/>
  <c r="O84" i="49"/>
  <c r="N84" i="49"/>
  <c r="L84" i="49"/>
  <c r="K84" i="49"/>
  <c r="I84" i="49"/>
  <c r="H84" i="49"/>
  <c r="F84" i="49"/>
  <c r="E84" i="49"/>
  <c r="O83" i="49"/>
  <c r="N83" i="49"/>
  <c r="L83" i="49"/>
  <c r="K83" i="49"/>
  <c r="I83" i="49"/>
  <c r="H83" i="49"/>
  <c r="F83" i="49"/>
  <c r="E83" i="49"/>
  <c r="O82" i="49"/>
  <c r="N82" i="49"/>
  <c r="L82" i="49"/>
  <c r="K82" i="49"/>
  <c r="I82" i="49"/>
  <c r="H82" i="49"/>
  <c r="F82" i="49"/>
  <c r="E82" i="49"/>
  <c r="O81" i="49"/>
  <c r="N81" i="49"/>
  <c r="L81" i="49"/>
  <c r="K81" i="49"/>
  <c r="I81" i="49"/>
  <c r="H81" i="49"/>
  <c r="E81" i="49"/>
  <c r="F81" i="49" s="1"/>
  <c r="O80" i="49"/>
  <c r="N80" i="49"/>
  <c r="L80" i="49"/>
  <c r="K80" i="49"/>
  <c r="I80" i="49"/>
  <c r="H80" i="49"/>
  <c r="E80" i="49"/>
  <c r="F80" i="49" s="1"/>
  <c r="O79" i="49"/>
  <c r="N79" i="49"/>
  <c r="L79" i="49"/>
  <c r="K79" i="49"/>
  <c r="I79" i="49"/>
  <c r="H79" i="49"/>
  <c r="E79" i="49"/>
  <c r="F79" i="49" s="1"/>
  <c r="O78" i="49"/>
  <c r="N78" i="49"/>
  <c r="L78" i="49"/>
  <c r="K78" i="49"/>
  <c r="I78" i="49"/>
  <c r="H78" i="49"/>
  <c r="E78" i="49"/>
  <c r="F78" i="49" s="1"/>
  <c r="O77" i="49"/>
  <c r="N77" i="49"/>
  <c r="L77" i="49"/>
  <c r="K77" i="49"/>
  <c r="I77" i="49"/>
  <c r="H77" i="49"/>
  <c r="E77" i="49"/>
  <c r="F77" i="49" s="1"/>
  <c r="O76" i="49"/>
  <c r="N76" i="49"/>
  <c r="L76" i="49"/>
  <c r="K76" i="49"/>
  <c r="I76" i="49"/>
  <c r="H76" i="49"/>
  <c r="E76" i="49"/>
  <c r="F76" i="49" s="1"/>
  <c r="O75" i="49"/>
  <c r="N75" i="49"/>
  <c r="L75" i="49"/>
  <c r="K75" i="49"/>
  <c r="I75" i="49"/>
  <c r="H75" i="49"/>
  <c r="E75" i="49"/>
  <c r="F75" i="49" s="1"/>
  <c r="O74" i="49"/>
  <c r="N74" i="49"/>
  <c r="L74" i="49"/>
  <c r="K74" i="49"/>
  <c r="I74" i="49"/>
  <c r="H74" i="49"/>
  <c r="E74" i="49"/>
  <c r="F74" i="49" s="1"/>
  <c r="O73" i="49"/>
  <c r="N73" i="49"/>
  <c r="L73" i="49"/>
  <c r="K73" i="49"/>
  <c r="I73" i="49"/>
  <c r="H73" i="49"/>
  <c r="E73" i="49"/>
  <c r="F73" i="49" s="1"/>
  <c r="O72" i="49"/>
  <c r="N72" i="49"/>
  <c r="L72" i="49"/>
  <c r="K72" i="49"/>
  <c r="I72" i="49"/>
  <c r="H72" i="49"/>
  <c r="E72" i="49"/>
  <c r="F72" i="49" s="1"/>
  <c r="O71" i="49"/>
  <c r="O91" i="49" s="1"/>
  <c r="N71" i="49"/>
  <c r="N91" i="49" s="1"/>
  <c r="L71" i="49"/>
  <c r="L91" i="49" s="1"/>
  <c r="K71" i="49"/>
  <c r="K91" i="49" s="1"/>
  <c r="I71" i="49"/>
  <c r="I91" i="49" s="1"/>
  <c r="H71" i="49"/>
  <c r="H91" i="49" s="1"/>
  <c r="E71" i="49"/>
  <c r="E91" i="49" s="1"/>
  <c r="M69" i="49"/>
  <c r="J69" i="49"/>
  <c r="G69" i="49"/>
  <c r="D69" i="49"/>
  <c r="B69" i="49"/>
  <c r="M68" i="49"/>
  <c r="G68" i="49"/>
  <c r="B64" i="49"/>
  <c r="O63" i="49"/>
  <c r="N63" i="49"/>
  <c r="L63" i="49"/>
  <c r="K63" i="49"/>
  <c r="I63" i="49"/>
  <c r="H63" i="49"/>
  <c r="E63" i="49"/>
  <c r="F63" i="49" s="1"/>
  <c r="O62" i="49"/>
  <c r="N62" i="49"/>
  <c r="L62" i="49"/>
  <c r="K62" i="49"/>
  <c r="I62" i="49"/>
  <c r="H62" i="49"/>
  <c r="E62" i="49"/>
  <c r="F62" i="49" s="1"/>
  <c r="O61" i="49"/>
  <c r="N61" i="49"/>
  <c r="L61" i="49"/>
  <c r="K61" i="49"/>
  <c r="I61" i="49"/>
  <c r="H61" i="49"/>
  <c r="E61" i="49"/>
  <c r="F61" i="49" s="1"/>
  <c r="O60" i="49"/>
  <c r="N60" i="49"/>
  <c r="L60" i="49"/>
  <c r="K60" i="49"/>
  <c r="I60" i="49"/>
  <c r="H60" i="49"/>
  <c r="E60" i="49"/>
  <c r="F60" i="49" s="1"/>
  <c r="O59" i="49"/>
  <c r="N59" i="49"/>
  <c r="L59" i="49"/>
  <c r="K59" i="49"/>
  <c r="I59" i="49"/>
  <c r="H59" i="49"/>
  <c r="E59" i="49"/>
  <c r="F59" i="49" s="1"/>
  <c r="O58" i="49"/>
  <c r="N58" i="49"/>
  <c r="L58" i="49"/>
  <c r="K58" i="49"/>
  <c r="I58" i="49"/>
  <c r="H58" i="49"/>
  <c r="E58" i="49"/>
  <c r="F58" i="49" s="1"/>
  <c r="O57" i="49"/>
  <c r="N57" i="49"/>
  <c r="L57" i="49"/>
  <c r="K57" i="49"/>
  <c r="I57" i="49"/>
  <c r="H57" i="49"/>
  <c r="E57" i="49"/>
  <c r="F57" i="49" s="1"/>
  <c r="O56" i="49"/>
  <c r="N56" i="49"/>
  <c r="L56" i="49"/>
  <c r="K56" i="49"/>
  <c r="I56" i="49"/>
  <c r="H56" i="49"/>
  <c r="E56" i="49"/>
  <c r="F56" i="49" s="1"/>
  <c r="O55" i="49"/>
  <c r="N55" i="49"/>
  <c r="L55" i="49"/>
  <c r="K55" i="49"/>
  <c r="I55" i="49"/>
  <c r="H55" i="49"/>
  <c r="E55" i="49"/>
  <c r="F55" i="49" s="1"/>
  <c r="O54" i="49"/>
  <c r="N54" i="49"/>
  <c r="L54" i="49"/>
  <c r="K54" i="49"/>
  <c r="I54" i="49"/>
  <c r="H54" i="49"/>
  <c r="E54" i="49"/>
  <c r="F54" i="49" s="1"/>
  <c r="O53" i="49"/>
  <c r="N53" i="49"/>
  <c r="L53" i="49"/>
  <c r="K53" i="49"/>
  <c r="I53" i="49"/>
  <c r="H53" i="49"/>
  <c r="E53" i="49"/>
  <c r="F53" i="49" s="1"/>
  <c r="O52" i="49"/>
  <c r="N52" i="49"/>
  <c r="L52" i="49"/>
  <c r="K52" i="49"/>
  <c r="I52" i="49"/>
  <c r="H52" i="49"/>
  <c r="E52" i="49"/>
  <c r="F52" i="49" s="1"/>
  <c r="O51" i="49"/>
  <c r="N51" i="49"/>
  <c r="L51" i="49"/>
  <c r="K51" i="49"/>
  <c r="I51" i="49"/>
  <c r="H51" i="49"/>
  <c r="E51" i="49"/>
  <c r="F51" i="49" s="1"/>
  <c r="O50" i="49"/>
  <c r="N50" i="49"/>
  <c r="L50" i="49"/>
  <c r="K50" i="49"/>
  <c r="I50" i="49"/>
  <c r="H50" i="49"/>
  <c r="E50" i="49"/>
  <c r="F50" i="49" s="1"/>
  <c r="O49" i="49"/>
  <c r="N49" i="49"/>
  <c r="L49" i="49"/>
  <c r="K49" i="49"/>
  <c r="I49" i="49"/>
  <c r="H49" i="49"/>
  <c r="E49" i="49"/>
  <c r="F49" i="49" s="1"/>
  <c r="O48" i="49"/>
  <c r="N48" i="49"/>
  <c r="L48" i="49"/>
  <c r="K48" i="49"/>
  <c r="I48" i="49"/>
  <c r="H48" i="49"/>
  <c r="E48" i="49"/>
  <c r="F48" i="49" s="1"/>
  <c r="O47" i="49"/>
  <c r="N47" i="49"/>
  <c r="L47" i="49"/>
  <c r="K47" i="49"/>
  <c r="I47" i="49"/>
  <c r="H47" i="49"/>
  <c r="E47" i="49"/>
  <c r="F47" i="49" s="1"/>
  <c r="O46" i="49"/>
  <c r="N46" i="49"/>
  <c r="L46" i="49"/>
  <c r="K46" i="49"/>
  <c r="I46" i="49"/>
  <c r="H46" i="49"/>
  <c r="E46" i="49"/>
  <c r="F46" i="49" s="1"/>
  <c r="O45" i="49"/>
  <c r="N45" i="49"/>
  <c r="L45" i="49"/>
  <c r="K45" i="49"/>
  <c r="I45" i="49"/>
  <c r="H45" i="49"/>
  <c r="E45" i="49"/>
  <c r="F45" i="49" s="1"/>
  <c r="O44" i="49"/>
  <c r="O64" i="49" s="1"/>
  <c r="N44" i="49"/>
  <c r="N64" i="49" s="1"/>
  <c r="L44" i="49"/>
  <c r="L64" i="49" s="1"/>
  <c r="K44" i="49"/>
  <c r="K64" i="49" s="1"/>
  <c r="I44" i="49"/>
  <c r="I64" i="49" s="1"/>
  <c r="H44" i="49"/>
  <c r="H64" i="49" s="1"/>
  <c r="E44" i="49"/>
  <c r="E64" i="49" s="1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O198" i="48"/>
  <c r="N198" i="48"/>
  <c r="L198" i="48"/>
  <c r="K198" i="48"/>
  <c r="H198" i="48"/>
  <c r="I198" i="48" s="1"/>
  <c r="F198" i="48"/>
  <c r="E198" i="48"/>
  <c r="N197" i="48"/>
  <c r="O197" i="48" s="1"/>
  <c r="K197" i="48"/>
  <c r="L197" i="48" s="1"/>
  <c r="H197" i="48"/>
  <c r="I197" i="48" s="1"/>
  <c r="F197" i="48"/>
  <c r="E197" i="48"/>
  <c r="O196" i="48"/>
  <c r="N196" i="48"/>
  <c r="K196" i="48"/>
  <c r="L196" i="48" s="1"/>
  <c r="H196" i="48"/>
  <c r="I196" i="48" s="1"/>
  <c r="F196" i="48"/>
  <c r="E196" i="48"/>
  <c r="N195" i="48"/>
  <c r="O195" i="48" s="1"/>
  <c r="L195" i="48"/>
  <c r="K195" i="48"/>
  <c r="H195" i="48"/>
  <c r="I195" i="48" s="1"/>
  <c r="F195" i="48"/>
  <c r="E195" i="48"/>
  <c r="N194" i="48"/>
  <c r="O194" i="48" s="1"/>
  <c r="L194" i="48"/>
  <c r="K194" i="48"/>
  <c r="H194" i="48"/>
  <c r="I194" i="48" s="1"/>
  <c r="F194" i="48"/>
  <c r="E194" i="48"/>
  <c r="N193" i="48"/>
  <c r="O193" i="48" s="1"/>
  <c r="K193" i="48"/>
  <c r="L193" i="48" s="1"/>
  <c r="H193" i="48"/>
  <c r="I193" i="48" s="1"/>
  <c r="F193" i="48"/>
  <c r="E193" i="48"/>
  <c r="N192" i="48"/>
  <c r="O192" i="48" s="1"/>
  <c r="K192" i="48"/>
  <c r="L192" i="48" s="1"/>
  <c r="H192" i="48"/>
  <c r="I192" i="48" s="1"/>
  <c r="F192" i="48"/>
  <c r="E192" i="48"/>
  <c r="N191" i="48"/>
  <c r="O191" i="48" s="1"/>
  <c r="L191" i="48"/>
  <c r="K191" i="48"/>
  <c r="H191" i="48"/>
  <c r="I191" i="48" s="1"/>
  <c r="F191" i="48"/>
  <c r="E191" i="48"/>
  <c r="O190" i="48"/>
  <c r="N190" i="48"/>
  <c r="L190" i="48"/>
  <c r="K190" i="48"/>
  <c r="H190" i="48"/>
  <c r="I190" i="48" s="1"/>
  <c r="F190" i="48"/>
  <c r="E190" i="48"/>
  <c r="N189" i="48"/>
  <c r="O189" i="48" s="1"/>
  <c r="K189" i="48"/>
  <c r="L189" i="48" s="1"/>
  <c r="H189" i="48"/>
  <c r="I189" i="48" s="1"/>
  <c r="F189" i="48"/>
  <c r="E189" i="48"/>
  <c r="O188" i="48"/>
  <c r="N188" i="48"/>
  <c r="K188" i="48"/>
  <c r="L188" i="48" s="1"/>
  <c r="H188" i="48"/>
  <c r="I188" i="48" s="1"/>
  <c r="F188" i="48"/>
  <c r="E188" i="48"/>
  <c r="N187" i="48"/>
  <c r="O187" i="48" s="1"/>
  <c r="K187" i="48"/>
  <c r="L187" i="48" s="1"/>
  <c r="H187" i="48"/>
  <c r="I187" i="48" s="1"/>
  <c r="F187" i="48"/>
  <c r="E187" i="48"/>
  <c r="O186" i="48"/>
  <c r="N186" i="48"/>
  <c r="L186" i="48"/>
  <c r="K186" i="48"/>
  <c r="H186" i="48"/>
  <c r="I186" i="48" s="1"/>
  <c r="F186" i="48"/>
  <c r="E186" i="48"/>
  <c r="O185" i="48"/>
  <c r="N185" i="48"/>
  <c r="K185" i="48"/>
  <c r="L185" i="48" s="1"/>
  <c r="H185" i="48"/>
  <c r="I185" i="48" s="1"/>
  <c r="F185" i="48"/>
  <c r="E185" i="48"/>
  <c r="O184" i="48"/>
  <c r="N184" i="48"/>
  <c r="K184" i="48"/>
  <c r="L184" i="48" s="1"/>
  <c r="H184" i="48"/>
  <c r="I184" i="48" s="1"/>
  <c r="F184" i="48"/>
  <c r="E184" i="48"/>
  <c r="O183" i="48"/>
  <c r="N183" i="48"/>
  <c r="K183" i="48"/>
  <c r="L183" i="48" s="1"/>
  <c r="H183" i="48"/>
  <c r="I183" i="48" s="1"/>
  <c r="F183" i="48"/>
  <c r="E183" i="48"/>
  <c r="O182" i="48"/>
  <c r="N182" i="48"/>
  <c r="L182" i="48"/>
  <c r="K182" i="48"/>
  <c r="H182" i="48"/>
  <c r="I182" i="48" s="1"/>
  <c r="F182" i="48"/>
  <c r="E182" i="48"/>
  <c r="N181" i="48"/>
  <c r="O181" i="48" s="1"/>
  <c r="K181" i="48"/>
  <c r="L181" i="48" s="1"/>
  <c r="H181" i="48"/>
  <c r="I181" i="48" s="1"/>
  <c r="F181" i="48"/>
  <c r="E181" i="48"/>
  <c r="N180" i="48"/>
  <c r="O180" i="48" s="1"/>
  <c r="K180" i="48"/>
  <c r="L180" i="48" s="1"/>
  <c r="H180" i="48"/>
  <c r="I180" i="48" s="1"/>
  <c r="F180" i="48"/>
  <c r="E180" i="48"/>
  <c r="N179" i="48"/>
  <c r="K179" i="48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N171" i="48"/>
  <c r="O171" i="48" s="1"/>
  <c r="L171" i="48"/>
  <c r="K171" i="48"/>
  <c r="H171" i="48"/>
  <c r="I171" i="48" s="1"/>
  <c r="F171" i="48"/>
  <c r="E171" i="48"/>
  <c r="N170" i="48"/>
  <c r="O170" i="48" s="1"/>
  <c r="K170" i="48"/>
  <c r="L170" i="48" s="1"/>
  <c r="H170" i="48"/>
  <c r="I170" i="48" s="1"/>
  <c r="F170" i="48"/>
  <c r="E170" i="48"/>
  <c r="O169" i="48"/>
  <c r="N169" i="48"/>
  <c r="K169" i="48"/>
  <c r="L169" i="48" s="1"/>
  <c r="H169" i="48"/>
  <c r="I169" i="48" s="1"/>
  <c r="F169" i="48"/>
  <c r="E169" i="48"/>
  <c r="N168" i="48"/>
  <c r="O168" i="48" s="1"/>
  <c r="K168" i="48"/>
  <c r="L168" i="48" s="1"/>
  <c r="H168" i="48"/>
  <c r="I168" i="48" s="1"/>
  <c r="F168" i="48"/>
  <c r="E168" i="48"/>
  <c r="O167" i="48"/>
  <c r="N167" i="48"/>
  <c r="L167" i="48"/>
  <c r="K167" i="48"/>
  <c r="H167" i="48"/>
  <c r="I167" i="48" s="1"/>
  <c r="F167" i="48"/>
  <c r="E167" i="48"/>
  <c r="N166" i="48"/>
  <c r="O166" i="48" s="1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N164" i="48"/>
  <c r="O164" i="48" s="1"/>
  <c r="K164" i="48"/>
  <c r="L164" i="48" s="1"/>
  <c r="H164" i="48"/>
  <c r="I164" i="48" s="1"/>
  <c r="F164" i="48"/>
  <c r="E164" i="48"/>
  <c r="N163" i="48"/>
  <c r="O163" i="48" s="1"/>
  <c r="L163" i="48"/>
  <c r="K163" i="48"/>
  <c r="H163" i="48"/>
  <c r="I163" i="48" s="1"/>
  <c r="F163" i="48"/>
  <c r="E163" i="48"/>
  <c r="O162" i="48"/>
  <c r="N162" i="48"/>
  <c r="K162" i="48"/>
  <c r="L162" i="48" s="1"/>
  <c r="H162" i="48"/>
  <c r="I162" i="48" s="1"/>
  <c r="F162" i="48"/>
  <c r="E162" i="48"/>
  <c r="N161" i="48"/>
  <c r="O161" i="48" s="1"/>
  <c r="K161" i="48"/>
  <c r="L161" i="48" s="1"/>
  <c r="H161" i="48"/>
  <c r="I161" i="48" s="1"/>
  <c r="F161" i="48"/>
  <c r="E161" i="48"/>
  <c r="O160" i="48"/>
  <c r="N160" i="48"/>
  <c r="K160" i="48"/>
  <c r="L160" i="48" s="1"/>
  <c r="H160" i="48"/>
  <c r="I160" i="48" s="1"/>
  <c r="F160" i="48"/>
  <c r="E160" i="48"/>
  <c r="N159" i="48"/>
  <c r="O159" i="48" s="1"/>
  <c r="L159" i="48"/>
  <c r="K159" i="48"/>
  <c r="H159" i="48"/>
  <c r="I159" i="48" s="1"/>
  <c r="F159" i="48"/>
  <c r="E159" i="48"/>
  <c r="N158" i="48"/>
  <c r="O158" i="48" s="1"/>
  <c r="K158" i="48"/>
  <c r="L158" i="48" s="1"/>
  <c r="H158" i="48"/>
  <c r="I158" i="48" s="1"/>
  <c r="F158" i="48"/>
  <c r="E158" i="48"/>
  <c r="N157" i="48"/>
  <c r="O157" i="48" s="1"/>
  <c r="K157" i="48"/>
  <c r="L157" i="48" s="1"/>
  <c r="H157" i="48"/>
  <c r="I157" i="48" s="1"/>
  <c r="F157" i="48"/>
  <c r="E157" i="48"/>
  <c r="N156" i="48"/>
  <c r="O156" i="48" s="1"/>
  <c r="K156" i="48"/>
  <c r="L156" i="48" s="1"/>
  <c r="H156" i="48"/>
  <c r="I156" i="48" s="1"/>
  <c r="F156" i="48"/>
  <c r="E156" i="48"/>
  <c r="N155" i="48"/>
  <c r="O155" i="48" s="1"/>
  <c r="L155" i="48"/>
  <c r="K155" i="48"/>
  <c r="H155" i="48"/>
  <c r="I155" i="48" s="1"/>
  <c r="F155" i="48"/>
  <c r="E155" i="48"/>
  <c r="N154" i="48"/>
  <c r="O154" i="48" s="1"/>
  <c r="K154" i="48"/>
  <c r="L154" i="48" s="1"/>
  <c r="H154" i="48"/>
  <c r="I154" i="48" s="1"/>
  <c r="F154" i="48"/>
  <c r="E154" i="48"/>
  <c r="O153" i="48"/>
  <c r="N153" i="48"/>
  <c r="K153" i="48"/>
  <c r="L153" i="48" s="1"/>
  <c r="H153" i="48"/>
  <c r="I153" i="48" s="1"/>
  <c r="F153" i="48"/>
  <c r="E153" i="48"/>
  <c r="N152" i="48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H144" i="48"/>
  <c r="I144" i="48" s="1"/>
  <c r="F144" i="48"/>
  <c r="E144" i="48"/>
  <c r="N143" i="48"/>
  <c r="O143" i="48" s="1"/>
  <c r="K143" i="48"/>
  <c r="L143" i="48" s="1"/>
  <c r="H143" i="48"/>
  <c r="I143" i="48" s="1"/>
  <c r="F143" i="48"/>
  <c r="E143" i="48"/>
  <c r="O142" i="48"/>
  <c r="N142" i="48"/>
  <c r="K142" i="48"/>
  <c r="L142" i="48" s="1"/>
  <c r="H142" i="48"/>
  <c r="I142" i="48" s="1"/>
  <c r="F142" i="48"/>
  <c r="E142" i="48"/>
  <c r="N141" i="48"/>
  <c r="O141" i="48" s="1"/>
  <c r="K141" i="48"/>
  <c r="L141" i="48" s="1"/>
  <c r="H141" i="48"/>
  <c r="I141" i="48" s="1"/>
  <c r="F141" i="48"/>
  <c r="E141" i="48"/>
  <c r="O140" i="48"/>
  <c r="N140" i="48"/>
  <c r="L140" i="48"/>
  <c r="K140" i="48"/>
  <c r="H140" i="48"/>
  <c r="I140" i="48" s="1"/>
  <c r="F140" i="48"/>
  <c r="E140" i="48"/>
  <c r="O139" i="48"/>
  <c r="N139" i="48"/>
  <c r="K139" i="48"/>
  <c r="L139" i="48" s="1"/>
  <c r="H139" i="48"/>
  <c r="I139" i="48" s="1"/>
  <c r="F139" i="48"/>
  <c r="E139" i="48"/>
  <c r="N138" i="48"/>
  <c r="O138" i="48" s="1"/>
  <c r="K138" i="48"/>
  <c r="L138" i="48" s="1"/>
  <c r="H138" i="48"/>
  <c r="I138" i="48" s="1"/>
  <c r="F138" i="48"/>
  <c r="E138" i="48"/>
  <c r="O137" i="48"/>
  <c r="N137" i="48"/>
  <c r="K137" i="48"/>
  <c r="L137" i="48" s="1"/>
  <c r="H137" i="48"/>
  <c r="I137" i="48" s="1"/>
  <c r="F137" i="48"/>
  <c r="E137" i="48"/>
  <c r="N136" i="48"/>
  <c r="O136" i="48" s="1"/>
  <c r="L136" i="48"/>
  <c r="K136" i="48"/>
  <c r="H136" i="48"/>
  <c r="I136" i="48" s="1"/>
  <c r="F136" i="48"/>
  <c r="E136" i="48"/>
  <c r="N135" i="48"/>
  <c r="O135" i="48" s="1"/>
  <c r="K135" i="48"/>
  <c r="L135" i="48" s="1"/>
  <c r="H135" i="48"/>
  <c r="I135" i="48" s="1"/>
  <c r="F135" i="48"/>
  <c r="E135" i="48"/>
  <c r="N134" i="48"/>
  <c r="O134" i="48" s="1"/>
  <c r="K134" i="48"/>
  <c r="L134" i="48" s="1"/>
  <c r="H134" i="48"/>
  <c r="I134" i="48" s="1"/>
  <c r="F134" i="48"/>
  <c r="E134" i="48"/>
  <c r="N133" i="48"/>
  <c r="O133" i="48" s="1"/>
  <c r="K133" i="48"/>
  <c r="L133" i="48" s="1"/>
  <c r="H133" i="48"/>
  <c r="I133" i="48" s="1"/>
  <c r="F133" i="48"/>
  <c r="E133" i="48"/>
  <c r="N132" i="48"/>
  <c r="O132" i="48" s="1"/>
  <c r="L132" i="48"/>
  <c r="K132" i="48"/>
  <c r="H132" i="48"/>
  <c r="I132" i="48" s="1"/>
  <c r="F132" i="48"/>
  <c r="E132" i="48"/>
  <c r="N131" i="48"/>
  <c r="O131" i="48" s="1"/>
  <c r="K131" i="48"/>
  <c r="L131" i="48" s="1"/>
  <c r="H131" i="48"/>
  <c r="I131" i="48" s="1"/>
  <c r="F131" i="48"/>
  <c r="E131" i="48"/>
  <c r="O130" i="48"/>
  <c r="N130" i="48"/>
  <c r="K130" i="48"/>
  <c r="L130" i="48" s="1"/>
  <c r="H130" i="48"/>
  <c r="I130" i="48" s="1"/>
  <c r="F130" i="48"/>
  <c r="E130" i="48"/>
  <c r="O129" i="48"/>
  <c r="N129" i="48"/>
  <c r="K129" i="48"/>
  <c r="L129" i="48" s="1"/>
  <c r="I129" i="48"/>
  <c r="H129" i="48"/>
  <c r="F129" i="48"/>
  <c r="E129" i="48"/>
  <c r="N128" i="48"/>
  <c r="O128" i="48" s="1"/>
  <c r="K128" i="48"/>
  <c r="L128" i="48" s="1"/>
  <c r="I128" i="48"/>
  <c r="H128" i="48"/>
  <c r="F128" i="48"/>
  <c r="E128" i="48"/>
  <c r="O127" i="48"/>
  <c r="N127" i="48"/>
  <c r="K127" i="48"/>
  <c r="L127" i="48" s="1"/>
  <c r="I127" i="48"/>
  <c r="H127" i="48"/>
  <c r="F127" i="48"/>
  <c r="E127" i="48"/>
  <c r="N126" i="48"/>
  <c r="O126" i="48" s="1"/>
  <c r="K126" i="48"/>
  <c r="L126" i="48" s="1"/>
  <c r="I126" i="48"/>
  <c r="H126" i="48"/>
  <c r="F126" i="48"/>
  <c r="E126" i="48"/>
  <c r="N125" i="48"/>
  <c r="K125" i="48"/>
  <c r="I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N117" i="48"/>
  <c r="O117" i="48" s="1"/>
  <c r="L117" i="48"/>
  <c r="K117" i="48"/>
  <c r="H117" i="48"/>
  <c r="I117" i="48" s="1"/>
  <c r="F117" i="48"/>
  <c r="E117" i="48"/>
  <c r="O116" i="48"/>
  <c r="N116" i="48"/>
  <c r="L116" i="48"/>
  <c r="K116" i="48"/>
  <c r="H116" i="48"/>
  <c r="I116" i="48" s="1"/>
  <c r="F116" i="48"/>
  <c r="E116" i="48"/>
  <c r="N115" i="48"/>
  <c r="O115" i="48" s="1"/>
  <c r="K115" i="48"/>
  <c r="L115" i="48" s="1"/>
  <c r="H115" i="48"/>
  <c r="I115" i="48" s="1"/>
  <c r="F115" i="48"/>
  <c r="E115" i="48"/>
  <c r="O114" i="48"/>
  <c r="N114" i="48"/>
  <c r="L114" i="48"/>
  <c r="K114" i="48"/>
  <c r="H114" i="48"/>
  <c r="I114" i="48" s="1"/>
  <c r="F114" i="48"/>
  <c r="E114" i="48"/>
  <c r="O113" i="48"/>
  <c r="N113" i="48"/>
  <c r="L113" i="48"/>
  <c r="K113" i="48"/>
  <c r="H113" i="48"/>
  <c r="I113" i="48" s="1"/>
  <c r="F113" i="48"/>
  <c r="E113" i="48"/>
  <c r="N112" i="48"/>
  <c r="O112" i="48" s="1"/>
  <c r="L112" i="48"/>
  <c r="K112" i="48"/>
  <c r="H112" i="48"/>
  <c r="I112" i="48" s="1"/>
  <c r="E112" i="48"/>
  <c r="F112" i="48" s="1"/>
  <c r="O111" i="48"/>
  <c r="N111" i="48"/>
  <c r="L111" i="48"/>
  <c r="K111" i="48"/>
  <c r="H111" i="48"/>
  <c r="I111" i="48" s="1"/>
  <c r="F111" i="48"/>
  <c r="E111" i="48"/>
  <c r="O110" i="48"/>
  <c r="N110" i="48"/>
  <c r="L110" i="48"/>
  <c r="K110" i="48"/>
  <c r="H110" i="48"/>
  <c r="I110" i="48" s="1"/>
  <c r="F110" i="48"/>
  <c r="E110" i="48"/>
  <c r="N109" i="48"/>
  <c r="O109" i="48" s="1"/>
  <c r="L109" i="48"/>
  <c r="K109" i="48"/>
  <c r="H109" i="48"/>
  <c r="I109" i="48" s="1"/>
  <c r="F109" i="48"/>
  <c r="E109" i="48"/>
  <c r="N108" i="48"/>
  <c r="O108" i="48" s="1"/>
  <c r="K108" i="48"/>
  <c r="L108" i="48" s="1"/>
  <c r="H108" i="48"/>
  <c r="I108" i="48" s="1"/>
  <c r="F108" i="48"/>
  <c r="E108" i="48"/>
  <c r="O107" i="48"/>
  <c r="N107" i="48"/>
  <c r="L107" i="48"/>
  <c r="K107" i="48"/>
  <c r="H107" i="48"/>
  <c r="I107" i="48" s="1"/>
  <c r="E107" i="48"/>
  <c r="F107" i="48" s="1"/>
  <c r="N106" i="48"/>
  <c r="O106" i="48" s="1"/>
  <c r="L106" i="48"/>
  <c r="K106" i="48"/>
  <c r="I106" i="48"/>
  <c r="H106" i="48"/>
  <c r="E106" i="48"/>
  <c r="F106" i="48" s="1"/>
  <c r="N105" i="48"/>
  <c r="O105" i="48" s="1"/>
  <c r="K105" i="48"/>
  <c r="L105" i="48" s="1"/>
  <c r="H105" i="48"/>
  <c r="I105" i="48" s="1"/>
  <c r="E105" i="48"/>
  <c r="F105" i="48" s="1"/>
  <c r="N104" i="48"/>
  <c r="O104" i="48" s="1"/>
  <c r="L104" i="48"/>
  <c r="K104" i="48"/>
  <c r="I104" i="48"/>
  <c r="H104" i="48"/>
  <c r="E104" i="48"/>
  <c r="F104" i="48" s="1"/>
  <c r="N103" i="48"/>
  <c r="O103" i="48" s="1"/>
  <c r="L103" i="48"/>
  <c r="K103" i="48"/>
  <c r="H103" i="48"/>
  <c r="I103" i="48" s="1"/>
  <c r="E103" i="48"/>
  <c r="F103" i="48" s="1"/>
  <c r="N102" i="48"/>
  <c r="O102" i="48" s="1"/>
  <c r="K102" i="48"/>
  <c r="L102" i="48" s="1"/>
  <c r="I102" i="48"/>
  <c r="H102" i="48"/>
  <c r="E102" i="48"/>
  <c r="F102" i="48" s="1"/>
  <c r="N101" i="48"/>
  <c r="O101" i="48" s="1"/>
  <c r="L101" i="48"/>
  <c r="K101" i="48"/>
  <c r="H101" i="48"/>
  <c r="I101" i="48" s="1"/>
  <c r="E101" i="48"/>
  <c r="F101" i="48" s="1"/>
  <c r="N100" i="48"/>
  <c r="O100" i="48" s="1"/>
  <c r="K100" i="48"/>
  <c r="L100" i="48" s="1"/>
  <c r="I100" i="48"/>
  <c r="H100" i="48"/>
  <c r="E100" i="48"/>
  <c r="F100" i="48" s="1"/>
  <c r="N99" i="48"/>
  <c r="O99" i="48" s="1"/>
  <c r="L99" i="48"/>
  <c r="K99" i="48"/>
  <c r="H99" i="48"/>
  <c r="I99" i="48" s="1"/>
  <c r="E99" i="48"/>
  <c r="F99" i="48" s="1"/>
  <c r="N98" i="48"/>
  <c r="N118" i="48" s="1"/>
  <c r="L98" i="48"/>
  <c r="K98" i="48"/>
  <c r="I98" i="48"/>
  <c r="H98" i="48"/>
  <c r="E98" i="48"/>
  <c r="E118" i="48" s="1"/>
  <c r="M96" i="48"/>
  <c r="J96" i="48"/>
  <c r="G96" i="48"/>
  <c r="D96" i="48"/>
  <c r="B96" i="48"/>
  <c r="M95" i="48"/>
  <c r="G95" i="48"/>
  <c r="B91" i="48"/>
  <c r="N90" i="48"/>
  <c r="O90" i="48" s="1"/>
  <c r="K90" i="48"/>
  <c r="L90" i="48" s="1"/>
  <c r="H90" i="48"/>
  <c r="I90" i="48" s="1"/>
  <c r="E90" i="48"/>
  <c r="F90" i="48" s="1"/>
  <c r="N89" i="48"/>
  <c r="O89" i="48" s="1"/>
  <c r="K89" i="48"/>
  <c r="L89" i="48" s="1"/>
  <c r="H89" i="48"/>
  <c r="I89" i="48" s="1"/>
  <c r="E89" i="48"/>
  <c r="F89" i="48" s="1"/>
  <c r="O88" i="48"/>
  <c r="N88" i="48"/>
  <c r="K88" i="48"/>
  <c r="L88" i="48" s="1"/>
  <c r="H88" i="48"/>
  <c r="I88" i="48" s="1"/>
  <c r="E88" i="48"/>
  <c r="F88" i="48" s="1"/>
  <c r="N87" i="48"/>
  <c r="O87" i="48" s="1"/>
  <c r="K87" i="48"/>
  <c r="L87" i="48" s="1"/>
  <c r="I87" i="48"/>
  <c r="H87" i="48"/>
  <c r="E87" i="48"/>
  <c r="F87" i="48" s="1"/>
  <c r="N86" i="48"/>
  <c r="O86" i="48" s="1"/>
  <c r="L86" i="48"/>
  <c r="K86" i="48"/>
  <c r="H86" i="48"/>
  <c r="I86" i="48" s="1"/>
  <c r="E86" i="48"/>
  <c r="F86" i="48" s="1"/>
  <c r="N85" i="48"/>
  <c r="O85" i="48" s="1"/>
  <c r="L85" i="48"/>
  <c r="K85" i="48"/>
  <c r="H85" i="48"/>
  <c r="I85" i="48" s="1"/>
  <c r="E85" i="48"/>
  <c r="F85" i="48" s="1"/>
  <c r="N84" i="48"/>
  <c r="O84" i="48" s="1"/>
  <c r="L84" i="48"/>
  <c r="K84" i="48"/>
  <c r="H84" i="48"/>
  <c r="I84" i="48" s="1"/>
  <c r="E84" i="48"/>
  <c r="F84" i="48" s="1"/>
  <c r="N83" i="48"/>
  <c r="O83" i="48" s="1"/>
  <c r="L83" i="48"/>
  <c r="K83" i="48"/>
  <c r="I83" i="48"/>
  <c r="H83" i="48"/>
  <c r="E83" i="48"/>
  <c r="F83" i="48" s="1"/>
  <c r="O82" i="48"/>
  <c r="N82" i="48"/>
  <c r="K82" i="48"/>
  <c r="L82" i="48" s="1"/>
  <c r="H82" i="48"/>
  <c r="I82" i="48" s="1"/>
  <c r="E82" i="48"/>
  <c r="F82" i="48" s="1"/>
  <c r="O81" i="48"/>
  <c r="N81" i="48"/>
  <c r="K81" i="48"/>
  <c r="L81" i="48" s="1"/>
  <c r="H81" i="48"/>
  <c r="I81" i="48" s="1"/>
  <c r="E81" i="48"/>
  <c r="F81" i="48" s="1"/>
  <c r="N80" i="48"/>
  <c r="O80" i="48" s="1"/>
  <c r="K80" i="48"/>
  <c r="L80" i="48" s="1"/>
  <c r="H80" i="48"/>
  <c r="I80" i="48" s="1"/>
  <c r="E80" i="48"/>
  <c r="F80" i="48" s="1"/>
  <c r="N79" i="48"/>
  <c r="O79" i="48" s="1"/>
  <c r="K79" i="48"/>
  <c r="L79" i="48" s="1"/>
  <c r="I79" i="48"/>
  <c r="H79" i="48"/>
  <c r="E79" i="48"/>
  <c r="F79" i="48" s="1"/>
  <c r="N78" i="48"/>
  <c r="O78" i="48" s="1"/>
  <c r="K78" i="48"/>
  <c r="L78" i="48" s="1"/>
  <c r="H78" i="48"/>
  <c r="I78" i="48" s="1"/>
  <c r="E78" i="48"/>
  <c r="F78" i="48" s="1"/>
  <c r="N77" i="48"/>
  <c r="O77" i="48" s="1"/>
  <c r="L77" i="48"/>
  <c r="K77" i="48"/>
  <c r="H77" i="48"/>
  <c r="I77" i="48" s="1"/>
  <c r="F77" i="48"/>
  <c r="E77" i="48"/>
  <c r="N76" i="48"/>
  <c r="O76" i="48" s="1"/>
  <c r="K76" i="48"/>
  <c r="L76" i="48" s="1"/>
  <c r="H76" i="48"/>
  <c r="I76" i="48" s="1"/>
  <c r="F76" i="48"/>
  <c r="E76" i="48"/>
  <c r="N75" i="48"/>
  <c r="O75" i="48" s="1"/>
  <c r="K75" i="48"/>
  <c r="L75" i="48" s="1"/>
  <c r="H75" i="48"/>
  <c r="I75" i="48" s="1"/>
  <c r="F75" i="48"/>
  <c r="E75" i="48"/>
  <c r="N74" i="48"/>
  <c r="O74" i="48" s="1"/>
  <c r="K74" i="48"/>
  <c r="L74" i="48" s="1"/>
  <c r="H74" i="48"/>
  <c r="I74" i="48" s="1"/>
  <c r="F74" i="48"/>
  <c r="E74" i="48"/>
  <c r="N73" i="48"/>
  <c r="O73" i="48" s="1"/>
  <c r="L73" i="48"/>
  <c r="K73" i="48"/>
  <c r="H73" i="48"/>
  <c r="I73" i="48" s="1"/>
  <c r="F73" i="48"/>
  <c r="E73" i="48"/>
  <c r="N72" i="48"/>
  <c r="O72" i="48" s="1"/>
  <c r="K72" i="48"/>
  <c r="L72" i="48" s="1"/>
  <c r="H72" i="48"/>
  <c r="I72" i="48" s="1"/>
  <c r="F72" i="48"/>
  <c r="E72" i="48"/>
  <c r="O71" i="48"/>
  <c r="N71" i="48"/>
  <c r="K71" i="48"/>
  <c r="H71" i="48"/>
  <c r="F71" i="48"/>
  <c r="E71" i="48"/>
  <c r="E91" i="48" s="1"/>
  <c r="M69" i="48"/>
  <c r="J69" i="48"/>
  <c r="G69" i="48"/>
  <c r="D69" i="48"/>
  <c r="B69" i="48"/>
  <c r="M68" i="48"/>
  <c r="G68" i="48"/>
  <c r="B64" i="48"/>
  <c r="O63" i="48"/>
  <c r="N63" i="48"/>
  <c r="K63" i="48"/>
  <c r="L63" i="48" s="1"/>
  <c r="H63" i="48"/>
  <c r="I63" i="48" s="1"/>
  <c r="E63" i="48"/>
  <c r="F63" i="48" s="1"/>
  <c r="N62" i="48"/>
  <c r="O62" i="48" s="1"/>
  <c r="K62" i="48"/>
  <c r="L62" i="48" s="1"/>
  <c r="H62" i="48"/>
  <c r="I62" i="48" s="1"/>
  <c r="E62" i="48"/>
  <c r="F62" i="48" s="1"/>
  <c r="O61" i="48"/>
  <c r="N61" i="48"/>
  <c r="K61" i="48"/>
  <c r="L61" i="48" s="1"/>
  <c r="I61" i="48"/>
  <c r="H61" i="48"/>
  <c r="E61" i="48"/>
  <c r="F61" i="48" s="1"/>
  <c r="O60" i="48"/>
  <c r="N60" i="48"/>
  <c r="L60" i="48"/>
  <c r="K60" i="48"/>
  <c r="H60" i="48"/>
  <c r="I60" i="48" s="1"/>
  <c r="E60" i="48"/>
  <c r="F60" i="48" s="1"/>
  <c r="O59" i="48"/>
  <c r="N59" i="48"/>
  <c r="K59" i="48"/>
  <c r="L59" i="48" s="1"/>
  <c r="H59" i="48"/>
  <c r="I59" i="48" s="1"/>
  <c r="E59" i="48"/>
  <c r="F59" i="48" s="1"/>
  <c r="N58" i="48"/>
  <c r="O58" i="48" s="1"/>
  <c r="L58" i="48"/>
  <c r="K58" i="48"/>
  <c r="H58" i="48"/>
  <c r="I58" i="48" s="1"/>
  <c r="E58" i="48"/>
  <c r="F58" i="48" s="1"/>
  <c r="N57" i="48"/>
  <c r="O57" i="48" s="1"/>
  <c r="K57" i="48"/>
  <c r="L57" i="48" s="1"/>
  <c r="I57" i="48"/>
  <c r="H57" i="48"/>
  <c r="E57" i="48"/>
  <c r="F57" i="48" s="1"/>
  <c r="N56" i="48"/>
  <c r="O56" i="48" s="1"/>
  <c r="K56" i="48"/>
  <c r="L56" i="48" s="1"/>
  <c r="H56" i="48"/>
  <c r="I56" i="48" s="1"/>
  <c r="E56" i="48"/>
  <c r="F56" i="48" s="1"/>
  <c r="O55" i="48"/>
  <c r="N55" i="48"/>
  <c r="K55" i="48"/>
  <c r="L55" i="48" s="1"/>
  <c r="H55" i="48"/>
  <c r="I55" i="48" s="1"/>
  <c r="E55" i="48"/>
  <c r="F55" i="48" s="1"/>
  <c r="N54" i="48"/>
  <c r="O54" i="48" s="1"/>
  <c r="K54" i="48"/>
  <c r="L54" i="48" s="1"/>
  <c r="H54" i="48"/>
  <c r="I54" i="48" s="1"/>
  <c r="E54" i="48"/>
  <c r="F54" i="48" s="1"/>
  <c r="O53" i="48"/>
  <c r="N53" i="48"/>
  <c r="K53" i="48"/>
  <c r="L53" i="48" s="1"/>
  <c r="I53" i="48"/>
  <c r="H53" i="48"/>
  <c r="E53" i="48"/>
  <c r="F53" i="48" s="1"/>
  <c r="O52" i="48"/>
  <c r="N52" i="48"/>
  <c r="K52" i="48"/>
  <c r="L52" i="48" s="1"/>
  <c r="H52" i="48"/>
  <c r="I52" i="48" s="1"/>
  <c r="E52" i="48"/>
  <c r="F52" i="48" s="1"/>
  <c r="N51" i="48"/>
  <c r="O51" i="48" s="1"/>
  <c r="L51" i="48"/>
  <c r="K51" i="48"/>
  <c r="H51" i="48"/>
  <c r="I51" i="48" s="1"/>
  <c r="E51" i="48"/>
  <c r="F51" i="48" s="1"/>
  <c r="N50" i="48"/>
  <c r="O50" i="48" s="1"/>
  <c r="K50" i="48"/>
  <c r="L50" i="48" s="1"/>
  <c r="H50" i="48"/>
  <c r="I50" i="48" s="1"/>
  <c r="E50" i="48"/>
  <c r="F50" i="48" s="1"/>
  <c r="O49" i="48"/>
  <c r="N49" i="48"/>
  <c r="L49" i="48"/>
  <c r="K49" i="48"/>
  <c r="I49" i="48"/>
  <c r="H49" i="48"/>
  <c r="E49" i="48"/>
  <c r="F49" i="48" s="1"/>
  <c r="N48" i="48"/>
  <c r="O48" i="48" s="1"/>
  <c r="K48" i="48"/>
  <c r="L48" i="48" s="1"/>
  <c r="H48" i="48"/>
  <c r="I48" i="48" s="1"/>
  <c r="E48" i="48"/>
  <c r="F48" i="48" s="1"/>
  <c r="O47" i="48"/>
  <c r="N47" i="48"/>
  <c r="K47" i="48"/>
  <c r="L47" i="48" s="1"/>
  <c r="H47" i="48"/>
  <c r="I47" i="48" s="1"/>
  <c r="E47" i="48"/>
  <c r="F47" i="48" s="1"/>
  <c r="N46" i="48"/>
  <c r="O46" i="48" s="1"/>
  <c r="K46" i="48"/>
  <c r="L46" i="48" s="1"/>
  <c r="H46" i="48"/>
  <c r="I46" i="48" s="1"/>
  <c r="E46" i="48"/>
  <c r="F46" i="48" s="1"/>
  <c r="O45" i="48"/>
  <c r="N45" i="48"/>
  <c r="K45" i="48"/>
  <c r="L45" i="48" s="1"/>
  <c r="I45" i="48"/>
  <c r="H45" i="48"/>
  <c r="E45" i="48"/>
  <c r="F45" i="48" s="1"/>
  <c r="O44" i="48"/>
  <c r="N44" i="48"/>
  <c r="L44" i="48"/>
  <c r="K44" i="48"/>
  <c r="H44" i="48"/>
  <c r="H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L198" i="47"/>
  <c r="K198" i="47"/>
  <c r="H198" i="47"/>
  <c r="I198" i="47" s="1"/>
  <c r="F198" i="47"/>
  <c r="E198" i="47"/>
  <c r="N197" i="47"/>
  <c r="O197" i="47" s="1"/>
  <c r="K197" i="47"/>
  <c r="L197" i="47" s="1"/>
  <c r="H197" i="47"/>
  <c r="I197" i="47" s="1"/>
  <c r="F197" i="47"/>
  <c r="E197" i="47"/>
  <c r="N196" i="47"/>
  <c r="O196" i="47" s="1"/>
  <c r="K196" i="47"/>
  <c r="L196" i="47" s="1"/>
  <c r="H196" i="47"/>
  <c r="I196" i="47" s="1"/>
  <c r="F196" i="47"/>
  <c r="E196" i="47"/>
  <c r="N195" i="47"/>
  <c r="O195" i="47" s="1"/>
  <c r="L195" i="47"/>
  <c r="K195" i="47"/>
  <c r="H195" i="47"/>
  <c r="I195" i="47" s="1"/>
  <c r="F195" i="47"/>
  <c r="E195" i="47"/>
  <c r="O194" i="47"/>
  <c r="N194" i="47"/>
  <c r="L194" i="47"/>
  <c r="K194" i="47"/>
  <c r="H194" i="47"/>
  <c r="I194" i="47" s="1"/>
  <c r="F194" i="47"/>
  <c r="E194" i="47"/>
  <c r="N193" i="47"/>
  <c r="O193" i="47" s="1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N191" i="47"/>
  <c r="O191" i="47" s="1"/>
  <c r="K191" i="47"/>
  <c r="L191" i="47" s="1"/>
  <c r="H191" i="47"/>
  <c r="I191" i="47" s="1"/>
  <c r="F191" i="47"/>
  <c r="E191" i="47"/>
  <c r="N190" i="47"/>
  <c r="O190" i="47" s="1"/>
  <c r="L190" i="47"/>
  <c r="K190" i="47"/>
  <c r="H190" i="47"/>
  <c r="I190" i="47" s="1"/>
  <c r="F190" i="47"/>
  <c r="E190" i="47"/>
  <c r="O189" i="47"/>
  <c r="N189" i="47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O187" i="47"/>
  <c r="N187" i="47"/>
  <c r="K187" i="47"/>
  <c r="L187" i="47" s="1"/>
  <c r="H187" i="47"/>
  <c r="I187" i="47" s="1"/>
  <c r="F187" i="47"/>
  <c r="E187" i="47"/>
  <c r="N186" i="47"/>
  <c r="O186" i="47" s="1"/>
  <c r="L186" i="47"/>
  <c r="K186" i="47"/>
  <c r="H186" i="47"/>
  <c r="I186" i="47" s="1"/>
  <c r="F186" i="47"/>
  <c r="E186" i="47"/>
  <c r="N185" i="47"/>
  <c r="O185" i="47" s="1"/>
  <c r="K185" i="47"/>
  <c r="L185" i="47" s="1"/>
  <c r="H185" i="47"/>
  <c r="I185" i="47" s="1"/>
  <c r="F185" i="47"/>
  <c r="E185" i="47"/>
  <c r="N184" i="47"/>
  <c r="O184" i="47" s="1"/>
  <c r="K184" i="47"/>
  <c r="L184" i="47" s="1"/>
  <c r="H184" i="47"/>
  <c r="I184" i="47" s="1"/>
  <c r="F184" i="47"/>
  <c r="E184" i="47"/>
  <c r="N183" i="47"/>
  <c r="O183" i="47" s="1"/>
  <c r="K183" i="47"/>
  <c r="L183" i="47" s="1"/>
  <c r="H183" i="47"/>
  <c r="I183" i="47" s="1"/>
  <c r="F183" i="47"/>
  <c r="E183" i="47"/>
  <c r="N182" i="47"/>
  <c r="O182" i="47" s="1"/>
  <c r="L182" i="47"/>
  <c r="K182" i="47"/>
  <c r="H182" i="47"/>
  <c r="I182" i="47" s="1"/>
  <c r="F182" i="47"/>
  <c r="E182" i="47"/>
  <c r="N181" i="47"/>
  <c r="O181" i="47" s="1"/>
  <c r="K181" i="47"/>
  <c r="L181" i="47" s="1"/>
  <c r="H181" i="47"/>
  <c r="I181" i="47" s="1"/>
  <c r="F181" i="47"/>
  <c r="E181" i="47"/>
  <c r="O180" i="47"/>
  <c r="N180" i="47"/>
  <c r="K180" i="47"/>
  <c r="L180" i="47" s="1"/>
  <c r="H180" i="47"/>
  <c r="I180" i="47" s="1"/>
  <c r="F180" i="47"/>
  <c r="E180" i="47"/>
  <c r="N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L171" i="47"/>
  <c r="K171" i="47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O169" i="47"/>
  <c r="N169" i="47"/>
  <c r="K169" i="47"/>
  <c r="L169" i="47" s="1"/>
  <c r="H169" i="47"/>
  <c r="I169" i="47" s="1"/>
  <c r="F169" i="47"/>
  <c r="E169" i="47"/>
  <c r="N168" i="47"/>
  <c r="O168" i="47" s="1"/>
  <c r="K168" i="47"/>
  <c r="L168" i="47" s="1"/>
  <c r="H168" i="47"/>
  <c r="I168" i="47" s="1"/>
  <c r="F168" i="47"/>
  <c r="E168" i="47"/>
  <c r="O167" i="47"/>
  <c r="N167" i="47"/>
  <c r="L167" i="47"/>
  <c r="K167" i="47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N165" i="47"/>
  <c r="O165" i="47" s="1"/>
  <c r="K165" i="47"/>
  <c r="L165" i="47" s="1"/>
  <c r="H165" i="47"/>
  <c r="I165" i="47" s="1"/>
  <c r="F165" i="47"/>
  <c r="E165" i="47"/>
  <c r="O164" i="47"/>
  <c r="N164" i="47"/>
  <c r="K164" i="47"/>
  <c r="L164" i="47" s="1"/>
  <c r="H164" i="47"/>
  <c r="I164" i="47" s="1"/>
  <c r="F164" i="47"/>
  <c r="E164" i="47"/>
  <c r="N163" i="47"/>
  <c r="O163" i="47" s="1"/>
  <c r="L163" i="47"/>
  <c r="K163" i="47"/>
  <c r="H163" i="47"/>
  <c r="I163" i="47" s="1"/>
  <c r="F163" i="47"/>
  <c r="E163" i="47"/>
  <c r="N162" i="47"/>
  <c r="O162" i="47" s="1"/>
  <c r="K162" i="47"/>
  <c r="L162" i="47" s="1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N160" i="47"/>
  <c r="O160" i="47" s="1"/>
  <c r="K160" i="47"/>
  <c r="L160" i="47" s="1"/>
  <c r="H160" i="47"/>
  <c r="I160" i="47" s="1"/>
  <c r="F160" i="47"/>
  <c r="E160" i="47"/>
  <c r="N159" i="47"/>
  <c r="O159" i="47" s="1"/>
  <c r="L159" i="47"/>
  <c r="K159" i="47"/>
  <c r="H159" i="47"/>
  <c r="I159" i="47" s="1"/>
  <c r="F159" i="47"/>
  <c r="E159" i="47"/>
  <c r="N158" i="47"/>
  <c r="O158" i="47" s="1"/>
  <c r="K158" i="47"/>
  <c r="L158" i="47" s="1"/>
  <c r="H158" i="47"/>
  <c r="I158" i="47" s="1"/>
  <c r="F158" i="47"/>
  <c r="E158" i="47"/>
  <c r="O157" i="47"/>
  <c r="N157" i="47"/>
  <c r="K157" i="47"/>
  <c r="L157" i="47" s="1"/>
  <c r="H157" i="47"/>
  <c r="I157" i="47" s="1"/>
  <c r="F157" i="47"/>
  <c r="E157" i="47"/>
  <c r="N156" i="47"/>
  <c r="O156" i="47" s="1"/>
  <c r="K156" i="47"/>
  <c r="L156" i="47" s="1"/>
  <c r="H156" i="47"/>
  <c r="I156" i="47" s="1"/>
  <c r="F156" i="47"/>
  <c r="E156" i="47"/>
  <c r="O155" i="47"/>
  <c r="N155" i="47"/>
  <c r="L155" i="47"/>
  <c r="K155" i="47"/>
  <c r="H155" i="47"/>
  <c r="I155" i="47" s="1"/>
  <c r="F155" i="47"/>
  <c r="E155" i="47"/>
  <c r="N154" i="47"/>
  <c r="O154" i="47" s="1"/>
  <c r="K154" i="47"/>
  <c r="L154" i="47" s="1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N152" i="47"/>
  <c r="N172" i="47" s="1"/>
  <c r="K152" i="47"/>
  <c r="H152" i="47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N144" i="47"/>
  <c r="O144" i="47" s="1"/>
  <c r="L144" i="47"/>
  <c r="K144" i="47"/>
  <c r="H144" i="47"/>
  <c r="I144" i="47" s="1"/>
  <c r="E144" i="47"/>
  <c r="F144" i="47" s="1"/>
  <c r="N143" i="47"/>
  <c r="O143" i="47" s="1"/>
  <c r="K143" i="47"/>
  <c r="L143" i="47" s="1"/>
  <c r="H143" i="47"/>
  <c r="I143" i="47" s="1"/>
  <c r="E143" i="47"/>
  <c r="F143" i="47" s="1"/>
  <c r="O142" i="47"/>
  <c r="N142" i="47"/>
  <c r="L142" i="47"/>
  <c r="K142" i="47"/>
  <c r="I142" i="47"/>
  <c r="H142" i="47"/>
  <c r="E142" i="47"/>
  <c r="F142" i="47" s="1"/>
  <c r="N141" i="47"/>
  <c r="O141" i="47" s="1"/>
  <c r="L141" i="47"/>
  <c r="K141" i="47"/>
  <c r="I141" i="47"/>
  <c r="H141" i="47"/>
  <c r="E141" i="47"/>
  <c r="F141" i="47" s="1"/>
  <c r="N140" i="47"/>
  <c r="O140" i="47" s="1"/>
  <c r="K140" i="47"/>
  <c r="L140" i="47" s="1"/>
  <c r="H140" i="47"/>
  <c r="I140" i="47" s="1"/>
  <c r="E140" i="47"/>
  <c r="F140" i="47" s="1"/>
  <c r="N139" i="47"/>
  <c r="O139" i="47" s="1"/>
  <c r="L139" i="47"/>
  <c r="K139" i="47"/>
  <c r="H139" i="47"/>
  <c r="I139" i="47" s="1"/>
  <c r="E139" i="47"/>
  <c r="F139" i="47" s="1"/>
  <c r="N138" i="47"/>
  <c r="O138" i="47" s="1"/>
  <c r="K138" i="47"/>
  <c r="L138" i="47" s="1"/>
  <c r="I138" i="47"/>
  <c r="H138" i="47"/>
  <c r="E138" i="47"/>
  <c r="F138" i="47" s="1"/>
  <c r="N137" i="47"/>
  <c r="O137" i="47" s="1"/>
  <c r="K137" i="47"/>
  <c r="L137" i="47" s="1"/>
  <c r="I137" i="47"/>
  <c r="H137" i="47"/>
  <c r="E137" i="47"/>
  <c r="F137" i="47" s="1"/>
  <c r="N136" i="47"/>
  <c r="O136" i="47" s="1"/>
  <c r="K136" i="47"/>
  <c r="L136" i="47" s="1"/>
  <c r="H136" i="47"/>
  <c r="I136" i="47" s="1"/>
  <c r="E136" i="47"/>
  <c r="F136" i="47" s="1"/>
  <c r="O135" i="47"/>
  <c r="N135" i="47"/>
  <c r="K135" i="47"/>
  <c r="L135" i="47" s="1"/>
  <c r="H135" i="47"/>
  <c r="I135" i="47" s="1"/>
  <c r="E135" i="47"/>
  <c r="F135" i="47" s="1"/>
  <c r="N134" i="47"/>
  <c r="O134" i="47" s="1"/>
  <c r="K134" i="47"/>
  <c r="L134" i="47" s="1"/>
  <c r="I134" i="47"/>
  <c r="H134" i="47"/>
  <c r="E134" i="47"/>
  <c r="F134" i="47" s="1"/>
  <c r="N133" i="47"/>
  <c r="O133" i="47" s="1"/>
  <c r="L133" i="47"/>
  <c r="K133" i="47"/>
  <c r="I133" i="47"/>
  <c r="H133" i="47"/>
  <c r="E133" i="47"/>
  <c r="F133" i="47" s="1"/>
  <c r="O132" i="47"/>
  <c r="N132" i="47"/>
  <c r="K132" i="47"/>
  <c r="L132" i="47" s="1"/>
  <c r="H132" i="47"/>
  <c r="I132" i="47" s="1"/>
  <c r="E132" i="47"/>
  <c r="F132" i="47" s="1"/>
  <c r="N131" i="47"/>
  <c r="O131" i="47" s="1"/>
  <c r="K131" i="47"/>
  <c r="L131" i="47" s="1"/>
  <c r="H131" i="47"/>
  <c r="I131" i="47" s="1"/>
  <c r="E131" i="47"/>
  <c r="F131" i="47" s="1"/>
  <c r="O130" i="47"/>
  <c r="N130" i="47"/>
  <c r="K130" i="47"/>
  <c r="L130" i="47" s="1"/>
  <c r="I130" i="47"/>
  <c r="H130" i="47"/>
  <c r="E130" i="47"/>
  <c r="F130" i="47" s="1"/>
  <c r="O129" i="47"/>
  <c r="N129" i="47"/>
  <c r="L129" i="47"/>
  <c r="K129" i="47"/>
  <c r="I129" i="47"/>
  <c r="H129" i="47"/>
  <c r="E129" i="47"/>
  <c r="F129" i="47" s="1"/>
  <c r="N128" i="47"/>
  <c r="O128" i="47" s="1"/>
  <c r="K128" i="47"/>
  <c r="L128" i="47" s="1"/>
  <c r="H128" i="47"/>
  <c r="I128" i="47" s="1"/>
  <c r="E128" i="47"/>
  <c r="F128" i="47" s="1"/>
  <c r="O127" i="47"/>
  <c r="N127" i="47"/>
  <c r="K127" i="47"/>
  <c r="L127" i="47" s="1"/>
  <c r="H127" i="47"/>
  <c r="I127" i="47" s="1"/>
  <c r="E127" i="47"/>
  <c r="F127" i="47" s="1"/>
  <c r="O126" i="47"/>
  <c r="N126" i="47"/>
  <c r="K126" i="47"/>
  <c r="L126" i="47" s="1"/>
  <c r="I126" i="47"/>
  <c r="H126" i="47"/>
  <c r="E126" i="47"/>
  <c r="F126" i="47" s="1"/>
  <c r="N125" i="47"/>
  <c r="N145" i="47" s="1"/>
  <c r="L125" i="47"/>
  <c r="K125" i="47"/>
  <c r="K145" i="47" s="1"/>
  <c r="I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N117" i="47"/>
  <c r="O117" i="47" s="1"/>
  <c r="K117" i="47"/>
  <c r="L117" i="47" s="1"/>
  <c r="H117" i="47"/>
  <c r="I117" i="47" s="1"/>
  <c r="E117" i="47"/>
  <c r="F117" i="47" s="1"/>
  <c r="N116" i="47"/>
  <c r="O116" i="47" s="1"/>
  <c r="K116" i="47"/>
  <c r="L116" i="47" s="1"/>
  <c r="H116" i="47"/>
  <c r="I116" i="47" s="1"/>
  <c r="E116" i="47"/>
  <c r="F116" i="47" s="1"/>
  <c r="O115" i="47"/>
  <c r="N115" i="47"/>
  <c r="K115" i="47"/>
  <c r="L115" i="47" s="1"/>
  <c r="H115" i="47"/>
  <c r="I115" i="47" s="1"/>
  <c r="E115" i="47"/>
  <c r="F115" i="47" s="1"/>
  <c r="O114" i="47"/>
  <c r="N114" i="47"/>
  <c r="K114" i="47"/>
  <c r="L114" i="47" s="1"/>
  <c r="I114" i="47"/>
  <c r="H114" i="47"/>
  <c r="E114" i="47"/>
  <c r="F114" i="47" s="1"/>
  <c r="N113" i="47"/>
  <c r="O113" i="47" s="1"/>
  <c r="L113" i="47"/>
  <c r="K113" i="47"/>
  <c r="H113" i="47"/>
  <c r="I113" i="47" s="1"/>
  <c r="E113" i="47"/>
  <c r="F113" i="47" s="1"/>
  <c r="N112" i="47"/>
  <c r="O112" i="47" s="1"/>
  <c r="K112" i="47"/>
  <c r="L112" i="47" s="1"/>
  <c r="H112" i="47"/>
  <c r="I112" i="47" s="1"/>
  <c r="E112" i="47"/>
  <c r="F112" i="47" s="1"/>
  <c r="N111" i="47"/>
  <c r="O111" i="47" s="1"/>
  <c r="L111" i="47"/>
  <c r="K111" i="47"/>
  <c r="H111" i="47"/>
  <c r="I111" i="47" s="1"/>
  <c r="E111" i="47"/>
  <c r="F111" i="47" s="1"/>
  <c r="O110" i="47"/>
  <c r="N110" i="47"/>
  <c r="L110" i="47"/>
  <c r="K110" i="47"/>
  <c r="I110" i="47"/>
  <c r="H110" i="47"/>
  <c r="E110" i="47"/>
  <c r="F110" i="47" s="1"/>
  <c r="N109" i="47"/>
  <c r="O109" i="47" s="1"/>
  <c r="K109" i="47"/>
  <c r="L109" i="47" s="1"/>
  <c r="H109" i="47"/>
  <c r="I109" i="47" s="1"/>
  <c r="E109" i="47"/>
  <c r="F109" i="47" s="1"/>
  <c r="O108" i="47"/>
  <c r="N108" i="47"/>
  <c r="K108" i="47"/>
  <c r="L108" i="47" s="1"/>
  <c r="H108" i="47"/>
  <c r="I108" i="47" s="1"/>
  <c r="E108" i="47"/>
  <c r="F108" i="47" s="1"/>
  <c r="O107" i="47"/>
  <c r="N107" i="47"/>
  <c r="K107" i="47"/>
  <c r="L107" i="47" s="1"/>
  <c r="H107" i="47"/>
  <c r="I107" i="47" s="1"/>
  <c r="E107" i="47"/>
  <c r="F107" i="47" s="1"/>
  <c r="N106" i="47"/>
  <c r="O106" i="47" s="1"/>
  <c r="K106" i="47"/>
  <c r="L106" i="47" s="1"/>
  <c r="I106" i="47"/>
  <c r="H106" i="47"/>
  <c r="E106" i="47"/>
  <c r="F106" i="47" s="1"/>
  <c r="O105" i="47"/>
  <c r="N105" i="47"/>
  <c r="K105" i="47"/>
  <c r="L105" i="47" s="1"/>
  <c r="H105" i="47"/>
  <c r="I105" i="47" s="1"/>
  <c r="E105" i="47"/>
  <c r="F105" i="47" s="1"/>
  <c r="O104" i="47"/>
  <c r="N104" i="47"/>
  <c r="L104" i="47"/>
  <c r="K104" i="47"/>
  <c r="H104" i="47"/>
  <c r="I104" i="47" s="1"/>
  <c r="E104" i="47"/>
  <c r="F104" i="47" s="1"/>
  <c r="N103" i="47"/>
  <c r="O103" i="47" s="1"/>
  <c r="K103" i="47"/>
  <c r="L103" i="47" s="1"/>
  <c r="H103" i="47"/>
  <c r="I103" i="47" s="1"/>
  <c r="E103" i="47"/>
  <c r="F103" i="47" s="1"/>
  <c r="O102" i="47"/>
  <c r="N102" i="47"/>
  <c r="L102" i="47"/>
  <c r="K102" i="47"/>
  <c r="I102" i="47"/>
  <c r="H102" i="47"/>
  <c r="E102" i="47"/>
  <c r="F102" i="47" s="1"/>
  <c r="N101" i="47"/>
  <c r="O101" i="47" s="1"/>
  <c r="K101" i="47"/>
  <c r="L101" i="47" s="1"/>
  <c r="H101" i="47"/>
  <c r="I101" i="47" s="1"/>
  <c r="E101" i="47"/>
  <c r="F101" i="47" s="1"/>
  <c r="O100" i="47"/>
  <c r="N100" i="47"/>
  <c r="L100" i="47"/>
  <c r="K100" i="47"/>
  <c r="H100" i="47"/>
  <c r="I100" i="47" s="1"/>
  <c r="E100" i="47"/>
  <c r="F100" i="47" s="1"/>
  <c r="N99" i="47"/>
  <c r="O99" i="47" s="1"/>
  <c r="K99" i="47"/>
  <c r="L99" i="47" s="1"/>
  <c r="H99" i="47"/>
  <c r="I99" i="47" s="1"/>
  <c r="E99" i="47"/>
  <c r="F99" i="47" s="1"/>
  <c r="N98" i="47"/>
  <c r="N118" i="47" s="1"/>
  <c r="K98" i="47"/>
  <c r="I98" i="47"/>
  <c r="H98" i="47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L90" i="47"/>
  <c r="K90" i="47"/>
  <c r="H90" i="47"/>
  <c r="I90" i="47" s="1"/>
  <c r="E90" i="47"/>
  <c r="F90" i="47" s="1"/>
  <c r="N89" i="47"/>
  <c r="O89" i="47" s="1"/>
  <c r="K89" i="47"/>
  <c r="L89" i="47" s="1"/>
  <c r="H89" i="47"/>
  <c r="I89" i="47" s="1"/>
  <c r="E89" i="47"/>
  <c r="F89" i="47" s="1"/>
  <c r="O88" i="47"/>
  <c r="N88" i="47"/>
  <c r="L88" i="47"/>
  <c r="K88" i="47"/>
  <c r="H88" i="47"/>
  <c r="I88" i="47" s="1"/>
  <c r="E88" i="47"/>
  <c r="F88" i="47" s="1"/>
  <c r="N87" i="47"/>
  <c r="O87" i="47" s="1"/>
  <c r="K87" i="47"/>
  <c r="L87" i="47" s="1"/>
  <c r="I87" i="47"/>
  <c r="H87" i="47"/>
  <c r="E87" i="47"/>
  <c r="F87" i="47" s="1"/>
  <c r="O86" i="47"/>
  <c r="N86" i="47"/>
  <c r="L86" i="47"/>
  <c r="K86" i="47"/>
  <c r="H86" i="47"/>
  <c r="I86" i="47" s="1"/>
  <c r="E86" i="47"/>
  <c r="F86" i="47" s="1"/>
  <c r="N85" i="47"/>
  <c r="O85" i="47" s="1"/>
  <c r="K85" i="47"/>
  <c r="L85" i="47" s="1"/>
  <c r="H85" i="47"/>
  <c r="I85" i="47" s="1"/>
  <c r="E85" i="47"/>
  <c r="F85" i="47" s="1"/>
  <c r="N84" i="47"/>
  <c r="O84" i="47" s="1"/>
  <c r="K84" i="47"/>
  <c r="L84" i="47" s="1"/>
  <c r="H84" i="47"/>
  <c r="I84" i="47" s="1"/>
  <c r="E84" i="47"/>
  <c r="F84" i="47" s="1"/>
  <c r="O83" i="47"/>
  <c r="N83" i="47"/>
  <c r="K83" i="47"/>
  <c r="L83" i="47" s="1"/>
  <c r="I83" i="47"/>
  <c r="H83" i="47"/>
  <c r="E83" i="47"/>
  <c r="F83" i="47" s="1"/>
  <c r="N82" i="47"/>
  <c r="O82" i="47" s="1"/>
  <c r="K82" i="47"/>
  <c r="L82" i="47" s="1"/>
  <c r="H82" i="47"/>
  <c r="I82" i="47" s="1"/>
  <c r="E82" i="47"/>
  <c r="F82" i="47" s="1"/>
  <c r="N81" i="47"/>
  <c r="O81" i="47" s="1"/>
  <c r="L81" i="47"/>
  <c r="K81" i="47"/>
  <c r="H81" i="47"/>
  <c r="I81" i="47" s="1"/>
  <c r="E81" i="47"/>
  <c r="F81" i="47" s="1"/>
  <c r="N80" i="47"/>
  <c r="O80" i="47" s="1"/>
  <c r="K80" i="47"/>
  <c r="L80" i="47" s="1"/>
  <c r="H80" i="47"/>
  <c r="I80" i="47" s="1"/>
  <c r="E80" i="47"/>
  <c r="F80" i="47" s="1"/>
  <c r="N79" i="47"/>
  <c r="O79" i="47" s="1"/>
  <c r="L79" i="47"/>
  <c r="K79" i="47"/>
  <c r="I79" i="47"/>
  <c r="H79" i="47"/>
  <c r="E79" i="47"/>
  <c r="F79" i="47" s="1"/>
  <c r="N78" i="47"/>
  <c r="O78" i="47" s="1"/>
  <c r="K78" i="47"/>
  <c r="L78" i="47" s="1"/>
  <c r="H78" i="47"/>
  <c r="I78" i="47" s="1"/>
  <c r="E78" i="47"/>
  <c r="F78" i="47" s="1"/>
  <c r="N77" i="47"/>
  <c r="O77" i="47" s="1"/>
  <c r="K77" i="47"/>
  <c r="L77" i="47" s="1"/>
  <c r="H77" i="47"/>
  <c r="I77" i="47" s="1"/>
  <c r="E77" i="47"/>
  <c r="F77" i="47" s="1"/>
  <c r="N76" i="47"/>
  <c r="O76" i="47" s="1"/>
  <c r="K76" i="47"/>
  <c r="L76" i="47" s="1"/>
  <c r="H76" i="47"/>
  <c r="I76" i="47" s="1"/>
  <c r="E76" i="47"/>
  <c r="F76" i="47" s="1"/>
  <c r="O75" i="47"/>
  <c r="N75" i="47"/>
  <c r="K75" i="47"/>
  <c r="L75" i="47" s="1"/>
  <c r="I75" i="47"/>
  <c r="H75" i="47"/>
  <c r="E75" i="47"/>
  <c r="F75" i="47" s="1"/>
  <c r="N74" i="47"/>
  <c r="O74" i="47" s="1"/>
  <c r="L74" i="47"/>
  <c r="K74" i="47"/>
  <c r="H74" i="47"/>
  <c r="I74" i="47" s="1"/>
  <c r="E74" i="47"/>
  <c r="F74" i="47" s="1"/>
  <c r="O73" i="47"/>
  <c r="N73" i="47"/>
  <c r="L73" i="47"/>
  <c r="K73" i="47"/>
  <c r="H73" i="47"/>
  <c r="I73" i="47" s="1"/>
  <c r="E73" i="47"/>
  <c r="F73" i="47" s="1"/>
  <c r="N72" i="47"/>
  <c r="O72" i="47" s="1"/>
  <c r="L72" i="47"/>
  <c r="K72" i="47"/>
  <c r="H72" i="47"/>
  <c r="I72" i="47" s="1"/>
  <c r="E72" i="47"/>
  <c r="F72" i="47" s="1"/>
  <c r="O71" i="47"/>
  <c r="N71" i="47"/>
  <c r="L71" i="47"/>
  <c r="K71" i="47"/>
  <c r="I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H63" i="47"/>
  <c r="I63" i="47" s="1"/>
  <c r="E63" i="47"/>
  <c r="F63" i="47" s="1"/>
  <c r="O62" i="47"/>
  <c r="N62" i="47"/>
  <c r="K62" i="47"/>
  <c r="L62" i="47" s="1"/>
  <c r="H62" i="47"/>
  <c r="I62" i="47" s="1"/>
  <c r="E62" i="47"/>
  <c r="F62" i="47" s="1"/>
  <c r="O61" i="47"/>
  <c r="N61" i="47"/>
  <c r="K61" i="47"/>
  <c r="L61" i="47" s="1"/>
  <c r="H61" i="47"/>
  <c r="I61" i="47" s="1"/>
  <c r="E61" i="47"/>
  <c r="F61" i="47" s="1"/>
  <c r="O60" i="47"/>
  <c r="N60" i="47"/>
  <c r="K60" i="47"/>
  <c r="L60" i="47" s="1"/>
  <c r="I60" i="47"/>
  <c r="H60" i="47"/>
  <c r="E60" i="47"/>
  <c r="F60" i="47" s="1"/>
  <c r="O59" i="47"/>
  <c r="N59" i="47"/>
  <c r="K59" i="47"/>
  <c r="L59" i="47" s="1"/>
  <c r="H59" i="47"/>
  <c r="I59" i="47" s="1"/>
  <c r="E59" i="47"/>
  <c r="F59" i="47" s="1"/>
  <c r="O58" i="47"/>
  <c r="N58" i="47"/>
  <c r="L58" i="47"/>
  <c r="K58" i="47"/>
  <c r="H58" i="47"/>
  <c r="I58" i="47" s="1"/>
  <c r="E58" i="47"/>
  <c r="F58" i="47" s="1"/>
  <c r="N57" i="47"/>
  <c r="O57" i="47" s="1"/>
  <c r="K57" i="47"/>
  <c r="L57" i="47" s="1"/>
  <c r="H57" i="47"/>
  <c r="I57" i="47" s="1"/>
  <c r="E57" i="47"/>
  <c r="F57" i="47" s="1"/>
  <c r="O56" i="47"/>
  <c r="N56" i="47"/>
  <c r="L56" i="47"/>
  <c r="K56" i="47"/>
  <c r="I56" i="47"/>
  <c r="H56" i="47"/>
  <c r="E56" i="47"/>
  <c r="F56" i="47" s="1"/>
  <c r="N55" i="47"/>
  <c r="O55" i="47" s="1"/>
  <c r="K55" i="47"/>
  <c r="L55" i="47" s="1"/>
  <c r="H55" i="47"/>
  <c r="I55" i="47" s="1"/>
  <c r="E55" i="47"/>
  <c r="F55" i="47" s="1"/>
  <c r="O54" i="47"/>
  <c r="N54" i="47"/>
  <c r="K54" i="47"/>
  <c r="L54" i="47" s="1"/>
  <c r="H54" i="47"/>
  <c r="I54" i="47" s="1"/>
  <c r="E54" i="47"/>
  <c r="F54" i="47" s="1"/>
  <c r="O53" i="47"/>
  <c r="N53" i="47"/>
  <c r="K53" i="47"/>
  <c r="L53" i="47" s="1"/>
  <c r="H53" i="47"/>
  <c r="I53" i="47" s="1"/>
  <c r="E53" i="47"/>
  <c r="F53" i="47" s="1"/>
  <c r="O52" i="47"/>
  <c r="N52" i="47"/>
  <c r="K52" i="47"/>
  <c r="L52" i="47" s="1"/>
  <c r="I52" i="47"/>
  <c r="H52" i="47"/>
  <c r="E52" i="47"/>
  <c r="F52" i="47" s="1"/>
  <c r="O51" i="47"/>
  <c r="N51" i="47"/>
  <c r="L51" i="47"/>
  <c r="K51" i="47"/>
  <c r="H51" i="47"/>
  <c r="I51" i="47" s="1"/>
  <c r="E51" i="47"/>
  <c r="F51" i="47" s="1"/>
  <c r="O50" i="47"/>
  <c r="N50" i="47"/>
  <c r="K50" i="47"/>
  <c r="L50" i="47" s="1"/>
  <c r="H50" i="47"/>
  <c r="I50" i="47" s="1"/>
  <c r="E50" i="47"/>
  <c r="F50" i="47" s="1"/>
  <c r="N49" i="47"/>
  <c r="O49" i="47" s="1"/>
  <c r="L49" i="47"/>
  <c r="K49" i="47"/>
  <c r="H49" i="47"/>
  <c r="I49" i="47" s="1"/>
  <c r="E49" i="47"/>
  <c r="F49" i="47" s="1"/>
  <c r="N48" i="47"/>
  <c r="O48" i="47" s="1"/>
  <c r="K48" i="47"/>
  <c r="L48" i="47" s="1"/>
  <c r="I48" i="47"/>
  <c r="H48" i="47"/>
  <c r="E48" i="47"/>
  <c r="F48" i="47" s="1"/>
  <c r="N47" i="47"/>
  <c r="O47" i="47" s="1"/>
  <c r="K47" i="47"/>
  <c r="L47" i="47" s="1"/>
  <c r="H47" i="47"/>
  <c r="I47" i="47" s="1"/>
  <c r="E47" i="47"/>
  <c r="F47" i="47" s="1"/>
  <c r="O46" i="47"/>
  <c r="N46" i="47"/>
  <c r="K46" i="47"/>
  <c r="L46" i="47" s="1"/>
  <c r="H46" i="47"/>
  <c r="I46" i="47" s="1"/>
  <c r="E46" i="47"/>
  <c r="F46" i="47" s="1"/>
  <c r="O45" i="47"/>
  <c r="N45" i="47"/>
  <c r="K45" i="47"/>
  <c r="L45" i="47" s="1"/>
  <c r="H45" i="47"/>
  <c r="I45" i="47" s="1"/>
  <c r="E45" i="47"/>
  <c r="F45" i="47" s="1"/>
  <c r="O44" i="47"/>
  <c r="N44" i="47"/>
  <c r="K44" i="47"/>
  <c r="K64" i="47" s="1"/>
  <c r="I44" i="47"/>
  <c r="H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O198" i="46"/>
  <c r="N198" i="46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O193" i="46"/>
  <c r="N193" i="46"/>
  <c r="K193" i="46"/>
  <c r="L193" i="46" s="1"/>
  <c r="H193" i="46"/>
  <c r="I193" i="46" s="1"/>
  <c r="F193" i="46"/>
  <c r="E193" i="46"/>
  <c r="O192" i="46"/>
  <c r="N192" i="46"/>
  <c r="K192" i="46"/>
  <c r="L192" i="46" s="1"/>
  <c r="H192" i="46"/>
  <c r="I192" i="46" s="1"/>
  <c r="F192" i="46"/>
  <c r="E192" i="46"/>
  <c r="O191" i="46"/>
  <c r="N191" i="46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O184" i="46"/>
  <c r="N184" i="46"/>
  <c r="K184" i="46"/>
  <c r="L184" i="46" s="1"/>
  <c r="H184" i="46"/>
  <c r="I184" i="46" s="1"/>
  <c r="F184" i="46"/>
  <c r="E184" i="46"/>
  <c r="O183" i="46"/>
  <c r="N183" i="46"/>
  <c r="K183" i="46"/>
  <c r="L183" i="46" s="1"/>
  <c r="H183" i="46"/>
  <c r="I183" i="46" s="1"/>
  <c r="F183" i="46"/>
  <c r="E183" i="46"/>
  <c r="O182" i="46"/>
  <c r="N182" i="46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N180" i="46"/>
  <c r="O180" i="46" s="1"/>
  <c r="K180" i="46"/>
  <c r="L180" i="46" s="1"/>
  <c r="H180" i="46"/>
  <c r="I180" i="46" s="1"/>
  <c r="F180" i="46"/>
  <c r="E180" i="46"/>
  <c r="N179" i="46"/>
  <c r="N199" i="46" s="1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O170" i="46"/>
  <c r="N170" i="46"/>
  <c r="K170" i="46"/>
  <c r="L170" i="46" s="1"/>
  <c r="H170" i="46"/>
  <c r="I170" i="46" s="1"/>
  <c r="F170" i="46"/>
  <c r="E170" i="46"/>
  <c r="O169" i="46"/>
  <c r="N169" i="46"/>
  <c r="K169" i="46"/>
  <c r="L169" i="46" s="1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O167" i="46"/>
  <c r="N167" i="46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K165" i="46"/>
  <c r="L165" i="46" s="1"/>
  <c r="H165" i="46"/>
  <c r="I165" i="46" s="1"/>
  <c r="F165" i="46"/>
  <c r="E165" i="46"/>
  <c r="O164" i="46"/>
  <c r="N164" i="46"/>
  <c r="K164" i="46"/>
  <c r="L164" i="46" s="1"/>
  <c r="H164" i="46"/>
  <c r="I164" i="46" s="1"/>
  <c r="F164" i="46"/>
  <c r="E164" i="46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K161" i="46"/>
  <c r="L161" i="46" s="1"/>
  <c r="H161" i="46"/>
  <c r="I161" i="46" s="1"/>
  <c r="F161" i="46"/>
  <c r="E161" i="46"/>
  <c r="N160" i="46"/>
  <c r="O160" i="46" s="1"/>
  <c r="K160" i="46"/>
  <c r="L160" i="46" s="1"/>
  <c r="H160" i="46"/>
  <c r="I160" i="46" s="1"/>
  <c r="F160" i="46"/>
  <c r="E160" i="46"/>
  <c r="O159" i="46"/>
  <c r="N159" i="46"/>
  <c r="L159" i="46"/>
  <c r="K159" i="46"/>
  <c r="H159" i="46"/>
  <c r="I159" i="46" s="1"/>
  <c r="F159" i="46"/>
  <c r="E159" i="46"/>
  <c r="N158" i="46"/>
  <c r="O158" i="46" s="1"/>
  <c r="K158" i="46"/>
  <c r="L158" i="46" s="1"/>
  <c r="H158" i="46"/>
  <c r="I158" i="46" s="1"/>
  <c r="F158" i="46"/>
  <c r="E158" i="46"/>
  <c r="O157" i="46"/>
  <c r="N157" i="46"/>
  <c r="K157" i="46"/>
  <c r="L157" i="46" s="1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O154" i="46"/>
  <c r="N154" i="46"/>
  <c r="K154" i="46"/>
  <c r="L154" i="46" s="1"/>
  <c r="H154" i="46"/>
  <c r="I154" i="46" s="1"/>
  <c r="F154" i="46"/>
  <c r="E154" i="46"/>
  <c r="N153" i="46"/>
  <c r="O153" i="46" s="1"/>
  <c r="K153" i="46"/>
  <c r="L153" i="46" s="1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N144" i="46"/>
  <c r="O144" i="46" s="1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N142" i="46"/>
  <c r="O142" i="46" s="1"/>
  <c r="K142" i="46"/>
  <c r="L142" i="46" s="1"/>
  <c r="H142" i="46"/>
  <c r="I142" i="46" s="1"/>
  <c r="F142" i="46"/>
  <c r="E142" i="46"/>
  <c r="N141" i="46"/>
  <c r="O141" i="46" s="1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K134" i="46"/>
  <c r="L134" i="46" s="1"/>
  <c r="H134" i="46"/>
  <c r="I134" i="46" s="1"/>
  <c r="E134" i="46"/>
  <c r="F134" i="46" s="1"/>
  <c r="N133" i="46"/>
  <c r="O133" i="46" s="1"/>
  <c r="L133" i="46"/>
  <c r="K133" i="46"/>
  <c r="H133" i="46"/>
  <c r="I133" i="46" s="1"/>
  <c r="F133" i="46"/>
  <c r="E133" i="46"/>
  <c r="N132" i="46"/>
  <c r="O132" i="46" s="1"/>
  <c r="K132" i="46"/>
  <c r="L132" i="46" s="1"/>
  <c r="H132" i="46"/>
  <c r="I132" i="46" s="1"/>
  <c r="F132" i="46"/>
  <c r="E132" i="46"/>
  <c r="N131" i="46"/>
  <c r="O131" i="46" s="1"/>
  <c r="K131" i="46"/>
  <c r="L131" i="46" s="1"/>
  <c r="H131" i="46"/>
  <c r="I131" i="46" s="1"/>
  <c r="F131" i="46"/>
  <c r="E131" i="46"/>
  <c r="N130" i="46"/>
  <c r="O130" i="46" s="1"/>
  <c r="K130" i="46"/>
  <c r="L130" i="46" s="1"/>
  <c r="H130" i="46"/>
  <c r="I130" i="46" s="1"/>
  <c r="E130" i="46"/>
  <c r="F130" i="46" s="1"/>
  <c r="N129" i="46"/>
  <c r="O129" i="46" s="1"/>
  <c r="K129" i="46"/>
  <c r="L129" i="46" s="1"/>
  <c r="I129" i="46"/>
  <c r="H129" i="46"/>
  <c r="F129" i="46"/>
  <c r="E129" i="46"/>
  <c r="N128" i="46"/>
  <c r="O128" i="46" s="1"/>
  <c r="K128" i="46"/>
  <c r="L128" i="46" s="1"/>
  <c r="I128" i="46"/>
  <c r="H128" i="46"/>
  <c r="F128" i="46"/>
  <c r="E128" i="46"/>
  <c r="O127" i="46"/>
  <c r="N127" i="46"/>
  <c r="K127" i="46"/>
  <c r="L127" i="46" s="1"/>
  <c r="I127" i="46"/>
  <c r="H127" i="46"/>
  <c r="F127" i="46"/>
  <c r="E127" i="46"/>
  <c r="N126" i="46"/>
  <c r="O126" i="46" s="1"/>
  <c r="K126" i="46"/>
  <c r="L126" i="46" s="1"/>
  <c r="I126" i="46"/>
  <c r="H126" i="46"/>
  <c r="F126" i="46"/>
  <c r="E126" i="46"/>
  <c r="N125" i="46"/>
  <c r="K125" i="46"/>
  <c r="K145" i="46" s="1"/>
  <c r="I125" i="46"/>
  <c r="H125" i="46"/>
  <c r="H145" i="46" s="1"/>
  <c r="F125" i="46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E117" i="46"/>
  <c r="F117" i="46" s="1"/>
  <c r="N116" i="46"/>
  <c r="O116" i="46" s="1"/>
  <c r="K116" i="46"/>
  <c r="L116" i="46" s="1"/>
  <c r="I116" i="46"/>
  <c r="H116" i="46"/>
  <c r="E116" i="46"/>
  <c r="F116" i="46" s="1"/>
  <c r="N115" i="46"/>
  <c r="O115" i="46" s="1"/>
  <c r="K115" i="46"/>
  <c r="L115" i="46" s="1"/>
  <c r="H115" i="46"/>
  <c r="I115" i="46" s="1"/>
  <c r="E115" i="46"/>
  <c r="F115" i="46" s="1"/>
  <c r="N114" i="46"/>
  <c r="O114" i="46" s="1"/>
  <c r="K114" i="46"/>
  <c r="L114" i="46" s="1"/>
  <c r="H114" i="46"/>
  <c r="I114" i="46" s="1"/>
  <c r="E114" i="46"/>
  <c r="F114" i="46" s="1"/>
  <c r="N113" i="46"/>
  <c r="O113" i="46" s="1"/>
  <c r="L113" i="46"/>
  <c r="K113" i="46"/>
  <c r="H113" i="46"/>
  <c r="I113" i="46" s="1"/>
  <c r="E113" i="46"/>
  <c r="F113" i="46" s="1"/>
  <c r="N112" i="46"/>
  <c r="O112" i="46" s="1"/>
  <c r="K112" i="46"/>
  <c r="L112" i="46" s="1"/>
  <c r="I112" i="46"/>
  <c r="H112" i="46"/>
  <c r="E112" i="46"/>
  <c r="F112" i="46" s="1"/>
  <c r="N111" i="46"/>
  <c r="O111" i="46" s="1"/>
  <c r="K111" i="46"/>
  <c r="L111" i="46" s="1"/>
  <c r="H111" i="46"/>
  <c r="I111" i="46" s="1"/>
  <c r="E111" i="46"/>
  <c r="F111" i="46" s="1"/>
  <c r="O110" i="46"/>
  <c r="N110" i="46"/>
  <c r="L110" i="46"/>
  <c r="K110" i="46"/>
  <c r="H110" i="46"/>
  <c r="I110" i="46" s="1"/>
  <c r="E110" i="46"/>
  <c r="F110" i="46" s="1"/>
  <c r="N109" i="46"/>
  <c r="O109" i="46" s="1"/>
  <c r="K109" i="46"/>
  <c r="L109" i="46" s="1"/>
  <c r="H109" i="46"/>
  <c r="I109" i="46" s="1"/>
  <c r="E109" i="46"/>
  <c r="F109" i="46" s="1"/>
  <c r="N108" i="46"/>
  <c r="O108" i="46" s="1"/>
  <c r="L108" i="46"/>
  <c r="K108" i="46"/>
  <c r="I108" i="46"/>
  <c r="H108" i="46"/>
  <c r="E108" i="46"/>
  <c r="F108" i="46" s="1"/>
  <c r="N107" i="46"/>
  <c r="O107" i="46" s="1"/>
  <c r="K107" i="46"/>
  <c r="L107" i="46" s="1"/>
  <c r="H107" i="46"/>
  <c r="I107" i="46" s="1"/>
  <c r="E107" i="46"/>
  <c r="F107" i="46" s="1"/>
  <c r="N106" i="46"/>
  <c r="O106" i="46" s="1"/>
  <c r="L106" i="46"/>
  <c r="K106" i="46"/>
  <c r="H106" i="46"/>
  <c r="I106" i="46" s="1"/>
  <c r="E106" i="46"/>
  <c r="F106" i="46" s="1"/>
  <c r="N105" i="46"/>
  <c r="O105" i="46" s="1"/>
  <c r="K105" i="46"/>
  <c r="L105" i="46" s="1"/>
  <c r="H105" i="46"/>
  <c r="I105" i="46" s="1"/>
  <c r="E105" i="46"/>
  <c r="F105" i="46" s="1"/>
  <c r="N104" i="46"/>
  <c r="O104" i="46" s="1"/>
  <c r="K104" i="46"/>
  <c r="L104" i="46" s="1"/>
  <c r="I104" i="46"/>
  <c r="H104" i="46"/>
  <c r="E104" i="46"/>
  <c r="F104" i="46" s="1"/>
  <c r="O103" i="46"/>
  <c r="N103" i="46"/>
  <c r="L103" i="46"/>
  <c r="K103" i="46"/>
  <c r="H103" i="46"/>
  <c r="I103" i="46" s="1"/>
  <c r="E103" i="46"/>
  <c r="F103" i="46" s="1"/>
  <c r="N102" i="46"/>
  <c r="O102" i="46" s="1"/>
  <c r="K102" i="46"/>
  <c r="L102" i="46" s="1"/>
  <c r="H102" i="46"/>
  <c r="I102" i="46" s="1"/>
  <c r="E102" i="46"/>
  <c r="F102" i="46" s="1"/>
  <c r="N101" i="46"/>
  <c r="O101" i="46" s="1"/>
  <c r="L101" i="46"/>
  <c r="K101" i="46"/>
  <c r="H101" i="46"/>
  <c r="I101" i="46" s="1"/>
  <c r="E101" i="46"/>
  <c r="F101" i="46" s="1"/>
  <c r="N100" i="46"/>
  <c r="O100" i="46" s="1"/>
  <c r="K100" i="46"/>
  <c r="L100" i="46" s="1"/>
  <c r="I100" i="46"/>
  <c r="H100" i="46"/>
  <c r="E100" i="46"/>
  <c r="F100" i="46" s="1"/>
  <c r="N99" i="46"/>
  <c r="O99" i="46" s="1"/>
  <c r="K99" i="46"/>
  <c r="L99" i="46" s="1"/>
  <c r="H99" i="46"/>
  <c r="I99" i="46" s="1"/>
  <c r="E99" i="46"/>
  <c r="F99" i="46" s="1"/>
  <c r="O98" i="46"/>
  <c r="N98" i="46"/>
  <c r="K98" i="46"/>
  <c r="L98" i="46" s="1"/>
  <c r="H98" i="46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K90" i="46"/>
  <c r="L90" i="46" s="1"/>
  <c r="H90" i="46"/>
  <c r="I90" i="46" s="1"/>
  <c r="E90" i="46"/>
  <c r="F90" i="46" s="1"/>
  <c r="O89" i="46"/>
  <c r="N89" i="46"/>
  <c r="K89" i="46"/>
  <c r="L89" i="46" s="1"/>
  <c r="I89" i="46"/>
  <c r="H89" i="46"/>
  <c r="E89" i="46"/>
  <c r="F89" i="46" s="1"/>
  <c r="O88" i="46"/>
  <c r="N88" i="46"/>
  <c r="K88" i="46"/>
  <c r="L88" i="46" s="1"/>
  <c r="H88" i="46"/>
  <c r="I88" i="46" s="1"/>
  <c r="E88" i="46"/>
  <c r="F88" i="46" s="1"/>
  <c r="N87" i="46"/>
  <c r="O87" i="46" s="1"/>
  <c r="L87" i="46"/>
  <c r="K87" i="46"/>
  <c r="H87" i="46"/>
  <c r="I87" i="46" s="1"/>
  <c r="E87" i="46"/>
  <c r="F87" i="46" s="1"/>
  <c r="N86" i="46"/>
  <c r="O86" i="46" s="1"/>
  <c r="L86" i="46"/>
  <c r="K86" i="46"/>
  <c r="H86" i="46"/>
  <c r="I86" i="46" s="1"/>
  <c r="E86" i="46"/>
  <c r="F86" i="46" s="1"/>
  <c r="N85" i="46"/>
  <c r="O85" i="46" s="1"/>
  <c r="L85" i="46"/>
  <c r="K85" i="46"/>
  <c r="I85" i="46"/>
  <c r="H85" i="46"/>
  <c r="E85" i="46"/>
  <c r="F85" i="46" s="1"/>
  <c r="O84" i="46"/>
  <c r="N84" i="46"/>
  <c r="K84" i="46"/>
  <c r="L84" i="46" s="1"/>
  <c r="H84" i="46"/>
  <c r="I84" i="46" s="1"/>
  <c r="E84" i="46"/>
  <c r="F84" i="46" s="1"/>
  <c r="O83" i="46"/>
  <c r="N83" i="46"/>
  <c r="K83" i="46"/>
  <c r="L83" i="46" s="1"/>
  <c r="H83" i="46"/>
  <c r="I83" i="46" s="1"/>
  <c r="E83" i="46"/>
  <c r="F83" i="46" s="1"/>
  <c r="O82" i="46"/>
  <c r="N82" i="46"/>
  <c r="K82" i="46"/>
  <c r="L82" i="46" s="1"/>
  <c r="H82" i="46"/>
  <c r="I82" i="46" s="1"/>
  <c r="E82" i="46"/>
  <c r="F82" i="46" s="1"/>
  <c r="N81" i="46"/>
  <c r="O81" i="46" s="1"/>
  <c r="K81" i="46"/>
  <c r="L81" i="46" s="1"/>
  <c r="I81" i="46"/>
  <c r="H81" i="46"/>
  <c r="E81" i="46"/>
  <c r="F81" i="46" s="1"/>
  <c r="N80" i="46"/>
  <c r="O80" i="46" s="1"/>
  <c r="L80" i="46"/>
  <c r="K80" i="46"/>
  <c r="H80" i="46"/>
  <c r="I80" i="46" s="1"/>
  <c r="E80" i="46"/>
  <c r="F80" i="46" s="1"/>
  <c r="N79" i="46"/>
  <c r="O79" i="46" s="1"/>
  <c r="K79" i="46"/>
  <c r="L79" i="46" s="1"/>
  <c r="H79" i="46"/>
  <c r="I79" i="46" s="1"/>
  <c r="E79" i="46"/>
  <c r="F79" i="46" s="1"/>
  <c r="O78" i="46"/>
  <c r="N78" i="46"/>
  <c r="L78" i="46"/>
  <c r="K78" i="46"/>
  <c r="H78" i="46"/>
  <c r="I78" i="46" s="1"/>
  <c r="E78" i="46"/>
  <c r="F78" i="46" s="1"/>
  <c r="N77" i="46"/>
  <c r="O77" i="46" s="1"/>
  <c r="K77" i="46"/>
  <c r="L77" i="46" s="1"/>
  <c r="I77" i="46"/>
  <c r="H77" i="46"/>
  <c r="E77" i="46"/>
  <c r="F77" i="46" s="1"/>
  <c r="O76" i="46"/>
  <c r="N76" i="46"/>
  <c r="K76" i="46"/>
  <c r="L76" i="46" s="1"/>
  <c r="H76" i="46"/>
  <c r="I76" i="46" s="1"/>
  <c r="E76" i="46"/>
  <c r="F76" i="46" s="1"/>
  <c r="N75" i="46"/>
  <c r="O75" i="46" s="1"/>
  <c r="K75" i="46"/>
  <c r="L75" i="46" s="1"/>
  <c r="H75" i="46"/>
  <c r="I75" i="46" s="1"/>
  <c r="E75" i="46"/>
  <c r="F75" i="46" s="1"/>
  <c r="O74" i="46"/>
  <c r="N74" i="46"/>
  <c r="K74" i="46"/>
  <c r="L74" i="46" s="1"/>
  <c r="H74" i="46"/>
  <c r="I74" i="46" s="1"/>
  <c r="E74" i="46"/>
  <c r="F74" i="46" s="1"/>
  <c r="N73" i="46"/>
  <c r="O73" i="46" s="1"/>
  <c r="K73" i="46"/>
  <c r="L73" i="46" s="1"/>
  <c r="I73" i="46"/>
  <c r="H73" i="46"/>
  <c r="E73" i="46"/>
  <c r="F73" i="46" s="1"/>
  <c r="N72" i="46"/>
  <c r="O72" i="46" s="1"/>
  <c r="K72" i="46"/>
  <c r="L72" i="46" s="1"/>
  <c r="H72" i="46"/>
  <c r="I72" i="46" s="1"/>
  <c r="E72" i="46"/>
  <c r="F72" i="46" s="1"/>
  <c r="N71" i="46"/>
  <c r="L71" i="46"/>
  <c r="K71" i="46"/>
  <c r="H71" i="46"/>
  <c r="H91" i="46" s="1"/>
  <c r="E71" i="46"/>
  <c r="E91" i="46" s="1"/>
  <c r="M69" i="46"/>
  <c r="J69" i="46"/>
  <c r="G69" i="46"/>
  <c r="D69" i="46"/>
  <c r="B69" i="46"/>
  <c r="M68" i="46"/>
  <c r="G68" i="46"/>
  <c r="B64" i="46"/>
  <c r="O63" i="46"/>
  <c r="N63" i="46"/>
  <c r="K63" i="46"/>
  <c r="L63" i="46" s="1"/>
  <c r="H63" i="46"/>
  <c r="I63" i="46" s="1"/>
  <c r="E63" i="46"/>
  <c r="F63" i="46" s="1"/>
  <c r="O62" i="46"/>
  <c r="N62" i="46"/>
  <c r="L62" i="46"/>
  <c r="K62" i="46"/>
  <c r="I62" i="46"/>
  <c r="H62" i="46"/>
  <c r="E62" i="46"/>
  <c r="F62" i="46" s="1"/>
  <c r="O61" i="46"/>
  <c r="N61" i="46"/>
  <c r="K61" i="46"/>
  <c r="L61" i="46" s="1"/>
  <c r="H61" i="46"/>
  <c r="I61" i="46" s="1"/>
  <c r="E61" i="46"/>
  <c r="F61" i="46" s="1"/>
  <c r="O60" i="46"/>
  <c r="N60" i="46"/>
  <c r="L60" i="46"/>
  <c r="K60" i="46"/>
  <c r="H60" i="46"/>
  <c r="I60" i="46" s="1"/>
  <c r="E60" i="46"/>
  <c r="F60" i="46" s="1"/>
  <c r="N59" i="46"/>
  <c r="O59" i="46" s="1"/>
  <c r="K59" i="46"/>
  <c r="L59" i="46" s="1"/>
  <c r="H59" i="46"/>
  <c r="I59" i="46" s="1"/>
  <c r="E59" i="46"/>
  <c r="F59" i="46" s="1"/>
  <c r="O58" i="46"/>
  <c r="N58" i="46"/>
  <c r="K58" i="46"/>
  <c r="L58" i="46" s="1"/>
  <c r="I58" i="46"/>
  <c r="H58" i="46"/>
  <c r="E58" i="46"/>
  <c r="F58" i="46" s="1"/>
  <c r="N57" i="46"/>
  <c r="O57" i="46" s="1"/>
  <c r="L57" i="46"/>
  <c r="K57" i="46"/>
  <c r="H57" i="46"/>
  <c r="I57" i="46" s="1"/>
  <c r="E57" i="46"/>
  <c r="F57" i="46" s="1"/>
  <c r="O56" i="46"/>
  <c r="N56" i="46"/>
  <c r="K56" i="46"/>
  <c r="L56" i="46" s="1"/>
  <c r="H56" i="46"/>
  <c r="I56" i="46" s="1"/>
  <c r="E56" i="46"/>
  <c r="F56" i="46" s="1"/>
  <c r="N55" i="46"/>
  <c r="O55" i="46" s="1"/>
  <c r="L55" i="46"/>
  <c r="K55" i="46"/>
  <c r="H55" i="46"/>
  <c r="I55" i="46" s="1"/>
  <c r="E55" i="46"/>
  <c r="F55" i="46" s="1"/>
  <c r="N54" i="46"/>
  <c r="O54" i="46" s="1"/>
  <c r="K54" i="46"/>
  <c r="L54" i="46" s="1"/>
  <c r="I54" i="46"/>
  <c r="H54" i="46"/>
  <c r="E54" i="46"/>
  <c r="F54" i="46" s="1"/>
  <c r="O53" i="46"/>
  <c r="N53" i="46"/>
  <c r="K53" i="46"/>
  <c r="L53" i="46" s="1"/>
  <c r="H53" i="46"/>
  <c r="I53" i="46" s="1"/>
  <c r="E53" i="46"/>
  <c r="F53" i="46" s="1"/>
  <c r="N52" i="46"/>
  <c r="O52" i="46" s="1"/>
  <c r="K52" i="46"/>
  <c r="L52" i="46" s="1"/>
  <c r="H52" i="46"/>
  <c r="I52" i="46" s="1"/>
  <c r="E52" i="46"/>
  <c r="F52" i="46" s="1"/>
  <c r="N51" i="46"/>
  <c r="O51" i="46" s="1"/>
  <c r="K51" i="46"/>
  <c r="L51" i="46" s="1"/>
  <c r="H51" i="46"/>
  <c r="I51" i="46" s="1"/>
  <c r="E51" i="46"/>
  <c r="F51" i="46" s="1"/>
  <c r="O50" i="46"/>
  <c r="N50" i="46"/>
  <c r="K50" i="46"/>
  <c r="L50" i="46" s="1"/>
  <c r="I50" i="46"/>
  <c r="H50" i="46"/>
  <c r="E50" i="46"/>
  <c r="F50" i="46" s="1"/>
  <c r="N49" i="46"/>
  <c r="O49" i="46" s="1"/>
  <c r="K49" i="46"/>
  <c r="L49" i="46" s="1"/>
  <c r="H49" i="46"/>
  <c r="I49" i="46" s="1"/>
  <c r="E49" i="46"/>
  <c r="F49" i="46" s="1"/>
  <c r="N48" i="46"/>
  <c r="O48" i="46" s="1"/>
  <c r="L48" i="46"/>
  <c r="K48" i="46"/>
  <c r="H48" i="46"/>
  <c r="I48" i="46" s="1"/>
  <c r="E48" i="46"/>
  <c r="F48" i="46" s="1"/>
  <c r="N47" i="46"/>
  <c r="O47" i="46" s="1"/>
  <c r="K47" i="46"/>
  <c r="L47" i="46" s="1"/>
  <c r="H47" i="46"/>
  <c r="I47" i="46" s="1"/>
  <c r="E47" i="46"/>
  <c r="F47" i="46" s="1"/>
  <c r="N46" i="46"/>
  <c r="O46" i="46" s="1"/>
  <c r="L46" i="46"/>
  <c r="K46" i="46"/>
  <c r="I46" i="46"/>
  <c r="H46" i="46"/>
  <c r="E46" i="46"/>
  <c r="F46" i="46" s="1"/>
  <c r="N45" i="46"/>
  <c r="O45" i="46" s="1"/>
  <c r="K45" i="46"/>
  <c r="L45" i="46" s="1"/>
  <c r="H45" i="46"/>
  <c r="I45" i="46" s="1"/>
  <c r="E45" i="46"/>
  <c r="F45" i="46" s="1"/>
  <c r="N44" i="46"/>
  <c r="L44" i="46"/>
  <c r="K44" i="46"/>
  <c r="H44" i="46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O198" i="45"/>
  <c r="N198" i="45"/>
  <c r="L198" i="45"/>
  <c r="K198" i="45"/>
  <c r="H198" i="45"/>
  <c r="I198" i="45" s="1"/>
  <c r="F198" i="45"/>
  <c r="E198" i="45"/>
  <c r="N197" i="45"/>
  <c r="O197" i="45" s="1"/>
  <c r="K197" i="45"/>
  <c r="L197" i="45" s="1"/>
  <c r="H197" i="45"/>
  <c r="I197" i="45" s="1"/>
  <c r="F197" i="45"/>
  <c r="E197" i="45"/>
  <c r="O196" i="45"/>
  <c r="N196" i="45"/>
  <c r="K196" i="45"/>
  <c r="L196" i="45" s="1"/>
  <c r="H196" i="45"/>
  <c r="I196" i="45" s="1"/>
  <c r="F196" i="45"/>
  <c r="E196" i="45"/>
  <c r="N195" i="45"/>
  <c r="O195" i="45" s="1"/>
  <c r="L195" i="45"/>
  <c r="K195" i="45"/>
  <c r="H195" i="45"/>
  <c r="I195" i="45" s="1"/>
  <c r="F195" i="45"/>
  <c r="E195" i="45"/>
  <c r="N194" i="45"/>
  <c r="O194" i="45" s="1"/>
  <c r="L194" i="45"/>
  <c r="K194" i="45"/>
  <c r="H194" i="45"/>
  <c r="I194" i="45" s="1"/>
  <c r="F194" i="45"/>
  <c r="E194" i="45"/>
  <c r="N193" i="45"/>
  <c r="O193" i="45" s="1"/>
  <c r="K193" i="45"/>
  <c r="L193" i="45" s="1"/>
  <c r="H193" i="45"/>
  <c r="I193" i="45" s="1"/>
  <c r="F193" i="45"/>
  <c r="E193" i="45"/>
  <c r="N192" i="45"/>
  <c r="O192" i="45" s="1"/>
  <c r="K192" i="45"/>
  <c r="L192" i="45" s="1"/>
  <c r="H192" i="45"/>
  <c r="I192" i="45" s="1"/>
  <c r="F192" i="45"/>
  <c r="E192" i="45"/>
  <c r="N191" i="45"/>
  <c r="O191" i="45" s="1"/>
  <c r="L191" i="45"/>
  <c r="K191" i="45"/>
  <c r="H191" i="45"/>
  <c r="I191" i="45" s="1"/>
  <c r="F191" i="45"/>
  <c r="E191" i="45"/>
  <c r="O190" i="45"/>
  <c r="N190" i="45"/>
  <c r="L190" i="45"/>
  <c r="K190" i="45"/>
  <c r="H190" i="45"/>
  <c r="I190" i="45" s="1"/>
  <c r="F190" i="45"/>
  <c r="E190" i="45"/>
  <c r="N189" i="45"/>
  <c r="O189" i="45" s="1"/>
  <c r="K189" i="45"/>
  <c r="L189" i="45" s="1"/>
  <c r="H189" i="45"/>
  <c r="I189" i="45" s="1"/>
  <c r="F189" i="45"/>
  <c r="E189" i="45"/>
  <c r="N188" i="45"/>
  <c r="O188" i="45" s="1"/>
  <c r="K188" i="45"/>
  <c r="L188" i="45" s="1"/>
  <c r="H188" i="45"/>
  <c r="I188" i="45" s="1"/>
  <c r="F188" i="45"/>
  <c r="E188" i="45"/>
  <c r="N187" i="45"/>
  <c r="O187" i="45" s="1"/>
  <c r="K187" i="45"/>
  <c r="L187" i="45" s="1"/>
  <c r="H187" i="45"/>
  <c r="I187" i="45" s="1"/>
  <c r="F187" i="45"/>
  <c r="E187" i="45"/>
  <c r="N186" i="45"/>
  <c r="O186" i="45" s="1"/>
  <c r="L186" i="45"/>
  <c r="K186" i="45"/>
  <c r="H186" i="45"/>
  <c r="I186" i="45" s="1"/>
  <c r="F186" i="45"/>
  <c r="E186" i="45"/>
  <c r="O185" i="45"/>
  <c r="N185" i="45"/>
  <c r="K185" i="45"/>
  <c r="L185" i="45" s="1"/>
  <c r="H185" i="45"/>
  <c r="I185" i="45" s="1"/>
  <c r="F185" i="45"/>
  <c r="E185" i="45"/>
  <c r="O184" i="45"/>
  <c r="N184" i="45"/>
  <c r="K184" i="45"/>
  <c r="L184" i="45" s="1"/>
  <c r="H184" i="45"/>
  <c r="I184" i="45" s="1"/>
  <c r="F184" i="45"/>
  <c r="E184" i="45"/>
  <c r="O183" i="45"/>
  <c r="N183" i="45"/>
  <c r="K183" i="45"/>
  <c r="L183" i="45" s="1"/>
  <c r="H183" i="45"/>
  <c r="I183" i="45" s="1"/>
  <c r="F183" i="45"/>
  <c r="E183" i="45"/>
  <c r="O182" i="45"/>
  <c r="N182" i="45"/>
  <c r="L182" i="45"/>
  <c r="K182" i="45"/>
  <c r="H182" i="45"/>
  <c r="I182" i="45" s="1"/>
  <c r="F182" i="45"/>
  <c r="E182" i="45"/>
  <c r="N181" i="45"/>
  <c r="O181" i="45" s="1"/>
  <c r="K181" i="45"/>
  <c r="L181" i="45" s="1"/>
  <c r="H181" i="45"/>
  <c r="I181" i="45" s="1"/>
  <c r="F181" i="45"/>
  <c r="E181" i="45"/>
  <c r="N180" i="45"/>
  <c r="O180" i="45" s="1"/>
  <c r="K180" i="45"/>
  <c r="L180" i="45" s="1"/>
  <c r="H180" i="45"/>
  <c r="I180" i="45" s="1"/>
  <c r="F180" i="45"/>
  <c r="E180" i="45"/>
  <c r="N179" i="45"/>
  <c r="K179" i="45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O169" i="45"/>
  <c r="N169" i="45"/>
  <c r="L169" i="45"/>
  <c r="K169" i="45"/>
  <c r="H169" i="45"/>
  <c r="I169" i="45" s="1"/>
  <c r="F169" i="45"/>
  <c r="E169" i="45"/>
  <c r="N168" i="45"/>
  <c r="O168" i="45" s="1"/>
  <c r="K168" i="45"/>
  <c r="L168" i="45" s="1"/>
  <c r="H168" i="45"/>
  <c r="I168" i="45" s="1"/>
  <c r="F168" i="45"/>
  <c r="E168" i="45"/>
  <c r="N167" i="45"/>
  <c r="O167" i="45" s="1"/>
  <c r="L167" i="45"/>
  <c r="K167" i="45"/>
  <c r="H167" i="45"/>
  <c r="I167" i="45" s="1"/>
  <c r="F167" i="45"/>
  <c r="E167" i="45"/>
  <c r="O166" i="45"/>
  <c r="N166" i="45"/>
  <c r="K166" i="45"/>
  <c r="L166" i="45" s="1"/>
  <c r="H166" i="45"/>
  <c r="I166" i="45" s="1"/>
  <c r="F166" i="45"/>
  <c r="E166" i="45"/>
  <c r="O165" i="45"/>
  <c r="N165" i="45"/>
  <c r="L165" i="45"/>
  <c r="K165" i="45"/>
  <c r="H165" i="45"/>
  <c r="I165" i="45" s="1"/>
  <c r="F165" i="45"/>
  <c r="E165" i="45"/>
  <c r="N164" i="45"/>
  <c r="O164" i="45" s="1"/>
  <c r="K164" i="45"/>
  <c r="L164" i="45" s="1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L161" i="45"/>
  <c r="K161" i="45"/>
  <c r="H161" i="45"/>
  <c r="I161" i="45" s="1"/>
  <c r="F161" i="45"/>
  <c r="E161" i="45"/>
  <c r="N160" i="45"/>
  <c r="O160" i="45" s="1"/>
  <c r="K160" i="45"/>
  <c r="L160" i="45" s="1"/>
  <c r="H160" i="45"/>
  <c r="I160" i="45" s="1"/>
  <c r="F160" i="45"/>
  <c r="E160" i="45"/>
  <c r="N159" i="45"/>
  <c r="O159" i="45" s="1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L157" i="45"/>
  <c r="K157" i="45"/>
  <c r="H157" i="45"/>
  <c r="I157" i="45" s="1"/>
  <c r="F157" i="45"/>
  <c r="E157" i="45"/>
  <c r="N156" i="45"/>
  <c r="O156" i="45" s="1"/>
  <c r="K156" i="45"/>
  <c r="L156" i="45" s="1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L153" i="45"/>
  <c r="K153" i="45"/>
  <c r="H153" i="45"/>
  <c r="I153" i="45" s="1"/>
  <c r="F153" i="45"/>
  <c r="E153" i="45"/>
  <c r="N152" i="45"/>
  <c r="N172" i="45" s="1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L144" i="45"/>
  <c r="K144" i="45"/>
  <c r="I144" i="45"/>
  <c r="H144" i="45"/>
  <c r="F144" i="45"/>
  <c r="E144" i="45"/>
  <c r="N143" i="45"/>
  <c r="O143" i="45" s="1"/>
  <c r="L143" i="45"/>
  <c r="K143" i="45"/>
  <c r="I143" i="45"/>
  <c r="H143" i="45"/>
  <c r="F143" i="45"/>
  <c r="E143" i="45"/>
  <c r="N142" i="45"/>
  <c r="O142" i="45" s="1"/>
  <c r="L142" i="45"/>
  <c r="K142" i="45"/>
  <c r="I142" i="45"/>
  <c r="H142" i="45"/>
  <c r="F142" i="45"/>
  <c r="E142" i="45"/>
  <c r="N141" i="45"/>
  <c r="O141" i="45" s="1"/>
  <c r="L141" i="45"/>
  <c r="K141" i="45"/>
  <c r="I141" i="45"/>
  <c r="H141" i="45"/>
  <c r="F141" i="45"/>
  <c r="E141" i="45"/>
  <c r="N140" i="45"/>
  <c r="O140" i="45" s="1"/>
  <c r="L140" i="45"/>
  <c r="K140" i="45"/>
  <c r="I140" i="45"/>
  <c r="H140" i="45"/>
  <c r="F140" i="45"/>
  <c r="E140" i="45"/>
  <c r="N139" i="45"/>
  <c r="O139" i="45" s="1"/>
  <c r="L139" i="45"/>
  <c r="K139" i="45"/>
  <c r="I139" i="45"/>
  <c r="H139" i="45"/>
  <c r="F139" i="45"/>
  <c r="E139" i="45"/>
  <c r="N138" i="45"/>
  <c r="O138" i="45" s="1"/>
  <c r="L138" i="45"/>
  <c r="K138" i="45"/>
  <c r="I138" i="45"/>
  <c r="H138" i="45"/>
  <c r="F138" i="45"/>
  <c r="E138" i="45"/>
  <c r="N137" i="45"/>
  <c r="O137" i="45" s="1"/>
  <c r="L137" i="45"/>
  <c r="K137" i="45"/>
  <c r="I137" i="45"/>
  <c r="H137" i="45"/>
  <c r="F137" i="45"/>
  <c r="E137" i="45"/>
  <c r="N136" i="45"/>
  <c r="O136" i="45" s="1"/>
  <c r="L136" i="45"/>
  <c r="K136" i="45"/>
  <c r="I136" i="45"/>
  <c r="H136" i="45"/>
  <c r="F136" i="45"/>
  <c r="E136" i="45"/>
  <c r="N135" i="45"/>
  <c r="O135" i="45" s="1"/>
  <c r="L135" i="45"/>
  <c r="K135" i="45"/>
  <c r="I135" i="45"/>
  <c r="H135" i="45"/>
  <c r="F135" i="45"/>
  <c r="E135" i="45"/>
  <c r="N134" i="45"/>
  <c r="O134" i="45" s="1"/>
  <c r="L134" i="45"/>
  <c r="K134" i="45"/>
  <c r="I134" i="45"/>
  <c r="H134" i="45"/>
  <c r="F134" i="45"/>
  <c r="E134" i="45"/>
  <c r="N133" i="45"/>
  <c r="O133" i="45" s="1"/>
  <c r="L133" i="45"/>
  <c r="K133" i="45"/>
  <c r="I133" i="45"/>
  <c r="H133" i="45"/>
  <c r="F133" i="45"/>
  <c r="E133" i="45"/>
  <c r="N132" i="45"/>
  <c r="O132" i="45" s="1"/>
  <c r="L132" i="45"/>
  <c r="K132" i="45"/>
  <c r="I132" i="45"/>
  <c r="H132" i="45"/>
  <c r="F132" i="45"/>
  <c r="E132" i="45"/>
  <c r="N131" i="45"/>
  <c r="O131" i="45" s="1"/>
  <c r="L131" i="45"/>
  <c r="K131" i="45"/>
  <c r="I131" i="45"/>
  <c r="H131" i="45"/>
  <c r="F131" i="45"/>
  <c r="E131" i="45"/>
  <c r="N130" i="45"/>
  <c r="O130" i="45" s="1"/>
  <c r="L130" i="45"/>
  <c r="K130" i="45"/>
  <c r="I130" i="45"/>
  <c r="H130" i="45"/>
  <c r="F130" i="45"/>
  <c r="E130" i="45"/>
  <c r="N129" i="45"/>
  <c r="O129" i="45" s="1"/>
  <c r="L129" i="45"/>
  <c r="K129" i="45"/>
  <c r="I129" i="45"/>
  <c r="H129" i="45"/>
  <c r="F129" i="45"/>
  <c r="E129" i="45"/>
  <c r="N128" i="45"/>
  <c r="O128" i="45" s="1"/>
  <c r="L128" i="45"/>
  <c r="K128" i="45"/>
  <c r="I128" i="45"/>
  <c r="H128" i="45"/>
  <c r="F128" i="45"/>
  <c r="E128" i="45"/>
  <c r="N127" i="45"/>
  <c r="O127" i="45" s="1"/>
  <c r="L127" i="45"/>
  <c r="K127" i="45"/>
  <c r="I127" i="45"/>
  <c r="H127" i="45"/>
  <c r="F127" i="45"/>
  <c r="E127" i="45"/>
  <c r="N126" i="45"/>
  <c r="O126" i="45" s="1"/>
  <c r="L126" i="45"/>
  <c r="K126" i="45"/>
  <c r="I126" i="45"/>
  <c r="H126" i="45"/>
  <c r="F126" i="45"/>
  <c r="E126" i="45"/>
  <c r="N125" i="45"/>
  <c r="N145" i="45" s="1"/>
  <c r="L125" i="45"/>
  <c r="L145" i="45" s="1"/>
  <c r="K125" i="45"/>
  <c r="K145" i="45" s="1"/>
  <c r="I125" i="45"/>
  <c r="I145" i="45" s="1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L117" i="45"/>
  <c r="K117" i="45"/>
  <c r="H117" i="45"/>
  <c r="I117" i="45" s="1"/>
  <c r="F117" i="45"/>
  <c r="E117" i="45"/>
  <c r="O116" i="45"/>
  <c r="N116" i="45"/>
  <c r="K116" i="45"/>
  <c r="L116" i="45" s="1"/>
  <c r="H116" i="45"/>
  <c r="I116" i="45" s="1"/>
  <c r="F116" i="45"/>
  <c r="E116" i="45"/>
  <c r="O115" i="45"/>
  <c r="N115" i="45"/>
  <c r="K115" i="45"/>
  <c r="L115" i="45" s="1"/>
  <c r="H115" i="45"/>
  <c r="I115" i="45" s="1"/>
  <c r="F115" i="45"/>
  <c r="E115" i="45"/>
  <c r="O114" i="45"/>
  <c r="N114" i="45"/>
  <c r="L114" i="45"/>
  <c r="K114" i="45"/>
  <c r="H114" i="45"/>
  <c r="I114" i="45" s="1"/>
  <c r="F114" i="45"/>
  <c r="E114" i="45"/>
  <c r="N113" i="45"/>
  <c r="O113" i="45" s="1"/>
  <c r="L113" i="45"/>
  <c r="K113" i="45"/>
  <c r="H113" i="45"/>
  <c r="I113" i="45" s="1"/>
  <c r="F113" i="45"/>
  <c r="E113" i="45"/>
  <c r="O112" i="45"/>
  <c r="N112" i="45"/>
  <c r="K112" i="45"/>
  <c r="L112" i="45" s="1"/>
  <c r="H112" i="45"/>
  <c r="I112" i="45" s="1"/>
  <c r="F112" i="45"/>
  <c r="E112" i="45"/>
  <c r="O111" i="45"/>
  <c r="N111" i="45"/>
  <c r="K111" i="45"/>
  <c r="L111" i="45" s="1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K107" i="45"/>
  <c r="L107" i="45" s="1"/>
  <c r="H107" i="45"/>
  <c r="I107" i="45" s="1"/>
  <c r="F107" i="45"/>
  <c r="E107" i="45"/>
  <c r="N106" i="45"/>
  <c r="O106" i="45" s="1"/>
  <c r="L106" i="45"/>
  <c r="K106" i="45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K103" i="45"/>
  <c r="L103" i="45" s="1"/>
  <c r="H103" i="45"/>
  <c r="I103" i="45" s="1"/>
  <c r="F103" i="45"/>
  <c r="E103" i="45"/>
  <c r="N102" i="45"/>
  <c r="O102" i="45" s="1"/>
  <c r="K102" i="45"/>
  <c r="L102" i="45" s="1"/>
  <c r="H102" i="45"/>
  <c r="I102" i="45" s="1"/>
  <c r="F102" i="45"/>
  <c r="E102" i="45"/>
  <c r="N101" i="45"/>
  <c r="O101" i="45" s="1"/>
  <c r="L101" i="45"/>
  <c r="K101" i="45"/>
  <c r="H101" i="45"/>
  <c r="I101" i="45" s="1"/>
  <c r="F101" i="45"/>
  <c r="E101" i="45"/>
  <c r="O100" i="45"/>
  <c r="N100" i="45"/>
  <c r="K100" i="45"/>
  <c r="L100" i="45" s="1"/>
  <c r="H100" i="45"/>
  <c r="I100" i="45" s="1"/>
  <c r="F100" i="45"/>
  <c r="E100" i="45"/>
  <c r="O99" i="45"/>
  <c r="N99" i="45"/>
  <c r="K99" i="45"/>
  <c r="L99" i="45" s="1"/>
  <c r="H99" i="45"/>
  <c r="I99" i="45" s="1"/>
  <c r="F99" i="45"/>
  <c r="E99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K90" i="45"/>
  <c r="H90" i="45"/>
  <c r="I90" i="45" s="1"/>
  <c r="F90" i="45"/>
  <c r="E90" i="45"/>
  <c r="N89" i="45"/>
  <c r="O89" i="45" s="1"/>
  <c r="K89" i="45"/>
  <c r="L89" i="45" s="1"/>
  <c r="H89" i="45"/>
  <c r="I89" i="45" s="1"/>
  <c r="F89" i="45"/>
  <c r="E89" i="45"/>
  <c r="O88" i="45"/>
  <c r="N88" i="45"/>
  <c r="K88" i="45"/>
  <c r="L88" i="45" s="1"/>
  <c r="H88" i="45"/>
  <c r="I88" i="45" s="1"/>
  <c r="F88" i="45"/>
  <c r="E88" i="45"/>
  <c r="N87" i="45"/>
  <c r="O87" i="45" s="1"/>
  <c r="L87" i="45"/>
  <c r="K87" i="45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N85" i="45"/>
  <c r="O85" i="45" s="1"/>
  <c r="K85" i="45"/>
  <c r="L85" i="45" s="1"/>
  <c r="H85" i="45"/>
  <c r="I85" i="45" s="1"/>
  <c r="F85" i="45"/>
  <c r="E85" i="45"/>
  <c r="N84" i="45"/>
  <c r="O84" i="45" s="1"/>
  <c r="K84" i="45"/>
  <c r="L84" i="45" s="1"/>
  <c r="H84" i="45"/>
  <c r="I84" i="45" s="1"/>
  <c r="F84" i="45"/>
  <c r="E84" i="45"/>
  <c r="N83" i="45"/>
  <c r="O83" i="45" s="1"/>
  <c r="L83" i="45"/>
  <c r="K83" i="45"/>
  <c r="H83" i="45"/>
  <c r="I83" i="45" s="1"/>
  <c r="F83" i="45"/>
  <c r="E83" i="45"/>
  <c r="O82" i="45"/>
  <c r="N82" i="45"/>
  <c r="L82" i="45"/>
  <c r="K82" i="45"/>
  <c r="H82" i="45"/>
  <c r="I82" i="45" s="1"/>
  <c r="F82" i="45"/>
  <c r="E82" i="45"/>
  <c r="N81" i="45"/>
  <c r="O81" i="45" s="1"/>
  <c r="K81" i="45"/>
  <c r="L81" i="45" s="1"/>
  <c r="H81" i="45"/>
  <c r="I81" i="45" s="1"/>
  <c r="F81" i="45"/>
  <c r="E81" i="45"/>
  <c r="O80" i="45"/>
  <c r="N80" i="45"/>
  <c r="K80" i="45"/>
  <c r="L80" i="45" s="1"/>
  <c r="H80" i="45"/>
  <c r="I80" i="45" s="1"/>
  <c r="F80" i="45"/>
  <c r="E80" i="45"/>
  <c r="N79" i="45"/>
  <c r="O79" i="45" s="1"/>
  <c r="K79" i="45"/>
  <c r="L79" i="45" s="1"/>
  <c r="H79" i="45"/>
  <c r="I79" i="45" s="1"/>
  <c r="F79" i="45"/>
  <c r="E79" i="45"/>
  <c r="O78" i="45"/>
  <c r="N78" i="45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H76" i="45"/>
  <c r="I76" i="45" s="1"/>
  <c r="F76" i="45"/>
  <c r="E76" i="45"/>
  <c r="O75" i="45"/>
  <c r="N75" i="45"/>
  <c r="L75" i="45"/>
  <c r="K75" i="45"/>
  <c r="H75" i="45"/>
  <c r="I75" i="45" s="1"/>
  <c r="F75" i="45"/>
  <c r="E75" i="45"/>
  <c r="N74" i="45"/>
  <c r="O74" i="45" s="1"/>
  <c r="L74" i="45"/>
  <c r="K74" i="45"/>
  <c r="H74" i="45"/>
  <c r="I74" i="45" s="1"/>
  <c r="F74" i="45"/>
  <c r="E74" i="45"/>
  <c r="N73" i="45"/>
  <c r="O73" i="45" s="1"/>
  <c r="K73" i="45"/>
  <c r="L73" i="45" s="1"/>
  <c r="H73" i="45"/>
  <c r="I73" i="45" s="1"/>
  <c r="F73" i="45"/>
  <c r="E73" i="45"/>
  <c r="O72" i="45"/>
  <c r="N72" i="45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H63" i="45"/>
  <c r="I63" i="45" s="1"/>
  <c r="F63" i="45"/>
  <c r="E63" i="45"/>
  <c r="N62" i="45"/>
  <c r="O62" i="45" s="1"/>
  <c r="K62" i="45"/>
  <c r="L62" i="45" s="1"/>
  <c r="H62" i="45"/>
  <c r="I62" i="45" s="1"/>
  <c r="F62" i="45"/>
  <c r="E62" i="45"/>
  <c r="O61" i="45"/>
  <c r="N61" i="45"/>
  <c r="K61" i="45"/>
  <c r="L61" i="45" s="1"/>
  <c r="H61" i="45"/>
  <c r="I61" i="45" s="1"/>
  <c r="F61" i="45"/>
  <c r="E61" i="45"/>
  <c r="N60" i="45"/>
  <c r="O60" i="45" s="1"/>
  <c r="K60" i="45"/>
  <c r="L60" i="45" s="1"/>
  <c r="H60" i="45"/>
  <c r="I60" i="45" s="1"/>
  <c r="F60" i="45"/>
  <c r="E60" i="45"/>
  <c r="O59" i="45"/>
  <c r="N59" i="45"/>
  <c r="L59" i="45"/>
  <c r="K59" i="45"/>
  <c r="H59" i="45"/>
  <c r="I59" i="45" s="1"/>
  <c r="F59" i="45"/>
  <c r="E59" i="45"/>
  <c r="O58" i="45"/>
  <c r="N58" i="45"/>
  <c r="K58" i="45"/>
  <c r="L58" i="45" s="1"/>
  <c r="H58" i="45"/>
  <c r="I58" i="45" s="1"/>
  <c r="F58" i="45"/>
  <c r="E58" i="45"/>
  <c r="O57" i="45"/>
  <c r="N57" i="45"/>
  <c r="K57" i="45"/>
  <c r="L57" i="45" s="1"/>
  <c r="H57" i="45"/>
  <c r="I57" i="45" s="1"/>
  <c r="F57" i="45"/>
  <c r="E57" i="45"/>
  <c r="O56" i="45"/>
  <c r="N56" i="45"/>
  <c r="K56" i="45"/>
  <c r="L56" i="45" s="1"/>
  <c r="H56" i="45"/>
  <c r="I56" i="45" s="1"/>
  <c r="F56" i="45"/>
  <c r="E56" i="45"/>
  <c r="N55" i="45"/>
  <c r="O55" i="45" s="1"/>
  <c r="L55" i="45"/>
  <c r="K55" i="45"/>
  <c r="H55" i="45"/>
  <c r="I55" i="45" s="1"/>
  <c r="F55" i="45"/>
  <c r="E55" i="45"/>
  <c r="N54" i="45"/>
  <c r="O54" i="45" s="1"/>
  <c r="K54" i="45"/>
  <c r="L54" i="45" s="1"/>
  <c r="H54" i="45"/>
  <c r="I54" i="45" s="1"/>
  <c r="F54" i="45"/>
  <c r="E54" i="45"/>
  <c r="N53" i="45"/>
  <c r="O53" i="45" s="1"/>
  <c r="K53" i="45"/>
  <c r="L53" i="45" s="1"/>
  <c r="H53" i="45"/>
  <c r="I53" i="45" s="1"/>
  <c r="F53" i="45"/>
  <c r="E53" i="45"/>
  <c r="N52" i="45"/>
  <c r="O52" i="45" s="1"/>
  <c r="K52" i="45"/>
  <c r="L52" i="45" s="1"/>
  <c r="H52" i="45"/>
  <c r="I52" i="45" s="1"/>
  <c r="F52" i="45"/>
  <c r="E52" i="45"/>
  <c r="N51" i="45"/>
  <c r="O51" i="45" s="1"/>
  <c r="L51" i="45"/>
  <c r="K51" i="45"/>
  <c r="H51" i="45"/>
  <c r="I51" i="45" s="1"/>
  <c r="F51" i="45"/>
  <c r="E51" i="45"/>
  <c r="O50" i="45"/>
  <c r="N50" i="45"/>
  <c r="K50" i="45"/>
  <c r="L50" i="45" s="1"/>
  <c r="H50" i="45"/>
  <c r="I50" i="45" s="1"/>
  <c r="F50" i="45"/>
  <c r="E50" i="45"/>
  <c r="O49" i="45"/>
  <c r="N49" i="45"/>
  <c r="K49" i="45"/>
  <c r="L49" i="45" s="1"/>
  <c r="H49" i="45"/>
  <c r="I49" i="45" s="1"/>
  <c r="F49" i="45"/>
  <c r="E49" i="45"/>
  <c r="O48" i="45"/>
  <c r="N48" i="45"/>
  <c r="K48" i="45"/>
  <c r="L48" i="45" s="1"/>
  <c r="H48" i="45"/>
  <c r="I48" i="45" s="1"/>
  <c r="F48" i="45"/>
  <c r="E48" i="45"/>
  <c r="O47" i="45"/>
  <c r="N47" i="45"/>
  <c r="L47" i="45"/>
  <c r="K47" i="45"/>
  <c r="H47" i="45"/>
  <c r="I47" i="45" s="1"/>
  <c r="F47" i="45"/>
  <c r="E47" i="45"/>
  <c r="N46" i="45"/>
  <c r="O46" i="45" s="1"/>
  <c r="K46" i="45"/>
  <c r="L46" i="45" s="1"/>
  <c r="H46" i="45"/>
  <c r="I46" i="45" s="1"/>
  <c r="F46" i="45"/>
  <c r="E46" i="45"/>
  <c r="N45" i="45"/>
  <c r="O45" i="45" s="1"/>
  <c r="K45" i="45"/>
  <c r="L45" i="45" s="1"/>
  <c r="H45" i="45"/>
  <c r="I45" i="45" s="1"/>
  <c r="F45" i="45"/>
  <c r="E45" i="45"/>
  <c r="N44" i="45"/>
  <c r="N64" i="45" s="1"/>
  <c r="K44" i="45"/>
  <c r="H44" i="45"/>
  <c r="H64" i="45" s="1"/>
  <c r="F44" i="45"/>
  <c r="F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B28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B25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C23" i="45"/>
  <c r="B23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C21" i="45"/>
  <c r="B21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B20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B19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B18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O196" i="44"/>
  <c r="N196" i="44"/>
  <c r="K196" i="44"/>
  <c r="L196" i="44" s="1"/>
  <c r="H196" i="44"/>
  <c r="I196" i="44" s="1"/>
  <c r="F196" i="44"/>
  <c r="E196" i="44"/>
  <c r="O195" i="44"/>
  <c r="N195" i="44"/>
  <c r="K195" i="44"/>
  <c r="L195" i="44" s="1"/>
  <c r="H195" i="44"/>
  <c r="I195" i="44" s="1"/>
  <c r="F195" i="44"/>
  <c r="E195" i="44"/>
  <c r="O194" i="44"/>
  <c r="N194" i="44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N192" i="44"/>
  <c r="O192" i="44" s="1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O187" i="44"/>
  <c r="N187" i="44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O181" i="44"/>
  <c r="N181" i="44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O179" i="44"/>
  <c r="N179" i="44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F144" i="44"/>
  <c r="E144" i="44"/>
  <c r="N143" i="44"/>
  <c r="O143" i="44" s="1"/>
  <c r="K143" i="44"/>
  <c r="L143" i="44" s="1"/>
  <c r="H143" i="44"/>
  <c r="I143" i="44" s="1"/>
  <c r="F143" i="44"/>
  <c r="E143" i="44"/>
  <c r="N142" i="44"/>
  <c r="O142" i="44" s="1"/>
  <c r="K142" i="44"/>
  <c r="L142" i="44" s="1"/>
  <c r="H142" i="44"/>
  <c r="I142" i="44" s="1"/>
  <c r="F142" i="44"/>
  <c r="E142" i="44"/>
  <c r="N141" i="44"/>
  <c r="O141" i="44" s="1"/>
  <c r="L141" i="44"/>
  <c r="K141" i="44"/>
  <c r="H141" i="44"/>
  <c r="I141" i="44" s="1"/>
  <c r="F141" i="44"/>
  <c r="E141" i="44"/>
  <c r="O140" i="44"/>
  <c r="N140" i="44"/>
  <c r="L140" i="44"/>
  <c r="K140" i="44"/>
  <c r="H140" i="44"/>
  <c r="I140" i="44" s="1"/>
  <c r="F140" i="44"/>
  <c r="E140" i="44"/>
  <c r="N139" i="44"/>
  <c r="O139" i="44" s="1"/>
  <c r="K139" i="44"/>
  <c r="L139" i="44" s="1"/>
  <c r="H139" i="44"/>
  <c r="I139" i="44" s="1"/>
  <c r="F139" i="44"/>
  <c r="E139" i="44"/>
  <c r="O138" i="44"/>
  <c r="N138" i="44"/>
  <c r="K138" i="44"/>
  <c r="L138" i="44" s="1"/>
  <c r="H138" i="44"/>
  <c r="I138" i="44" s="1"/>
  <c r="F138" i="44"/>
  <c r="E138" i="44"/>
  <c r="N137" i="44"/>
  <c r="O137" i="44" s="1"/>
  <c r="L137" i="44"/>
  <c r="K137" i="44"/>
  <c r="H137" i="44"/>
  <c r="I137" i="44" s="1"/>
  <c r="F137" i="44"/>
  <c r="E137" i="44"/>
  <c r="N136" i="44"/>
  <c r="O136" i="44" s="1"/>
  <c r="L136" i="44"/>
  <c r="K136" i="44"/>
  <c r="H136" i="44"/>
  <c r="I136" i="44" s="1"/>
  <c r="F136" i="44"/>
  <c r="E136" i="44"/>
  <c r="N135" i="44"/>
  <c r="O135" i="44" s="1"/>
  <c r="K135" i="44"/>
  <c r="L135" i="44" s="1"/>
  <c r="H135" i="44"/>
  <c r="I135" i="44" s="1"/>
  <c r="F135" i="44"/>
  <c r="E135" i="44"/>
  <c r="N134" i="44"/>
  <c r="O134" i="44" s="1"/>
  <c r="K134" i="44"/>
  <c r="L134" i="44" s="1"/>
  <c r="H134" i="44"/>
  <c r="I134" i="44" s="1"/>
  <c r="F134" i="44"/>
  <c r="E134" i="44"/>
  <c r="N133" i="44"/>
  <c r="O133" i="44" s="1"/>
  <c r="L133" i="44"/>
  <c r="K133" i="44"/>
  <c r="H133" i="44"/>
  <c r="I133" i="44" s="1"/>
  <c r="F133" i="44"/>
  <c r="E133" i="44"/>
  <c r="O132" i="44"/>
  <c r="N132" i="44"/>
  <c r="L132" i="44"/>
  <c r="K132" i="44"/>
  <c r="H132" i="44"/>
  <c r="I132" i="44" s="1"/>
  <c r="F132" i="44"/>
  <c r="E132" i="44"/>
  <c r="N131" i="44"/>
  <c r="O131" i="44" s="1"/>
  <c r="K131" i="44"/>
  <c r="L131" i="44" s="1"/>
  <c r="H131" i="44"/>
  <c r="I131" i="44" s="1"/>
  <c r="F131" i="44"/>
  <c r="E131" i="44"/>
  <c r="O130" i="44"/>
  <c r="N130" i="44"/>
  <c r="K130" i="44"/>
  <c r="L130" i="44" s="1"/>
  <c r="H130" i="44"/>
  <c r="I130" i="44" s="1"/>
  <c r="F130" i="44"/>
  <c r="E130" i="44"/>
  <c r="N129" i="44"/>
  <c r="O129" i="44" s="1"/>
  <c r="L129" i="44"/>
  <c r="K129" i="44"/>
  <c r="H129" i="44"/>
  <c r="I129" i="44" s="1"/>
  <c r="F129" i="44"/>
  <c r="E129" i="44"/>
  <c r="N128" i="44"/>
  <c r="O128" i="44" s="1"/>
  <c r="L128" i="44"/>
  <c r="K128" i="44"/>
  <c r="H128" i="44"/>
  <c r="I128" i="44" s="1"/>
  <c r="F128" i="44"/>
  <c r="E128" i="44"/>
  <c r="N127" i="44"/>
  <c r="O127" i="44" s="1"/>
  <c r="K127" i="44"/>
  <c r="L127" i="44" s="1"/>
  <c r="H127" i="44"/>
  <c r="I127" i="44" s="1"/>
  <c r="F127" i="44"/>
  <c r="E127" i="44"/>
  <c r="N126" i="44"/>
  <c r="O126" i="44" s="1"/>
  <c r="K126" i="44"/>
  <c r="L126" i="44" s="1"/>
  <c r="H126" i="44"/>
  <c r="I126" i="44" s="1"/>
  <c r="F126" i="44"/>
  <c r="E126" i="44"/>
  <c r="N125" i="44"/>
  <c r="L125" i="44"/>
  <c r="K125" i="44"/>
  <c r="H125" i="44"/>
  <c r="H145" i="44" s="1"/>
  <c r="F125" i="44"/>
  <c r="F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O115" i="44"/>
  <c r="N115" i="44"/>
  <c r="L115" i="44"/>
  <c r="K115" i="44"/>
  <c r="H115" i="44"/>
  <c r="I115" i="44" s="1"/>
  <c r="E115" i="44"/>
  <c r="F115" i="44" s="1"/>
  <c r="O114" i="44"/>
  <c r="N114" i="44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O111" i="44"/>
  <c r="N111" i="44"/>
  <c r="K111" i="44"/>
  <c r="L111" i="44" s="1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K108" i="44"/>
  <c r="L108" i="44" s="1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K106" i="44"/>
  <c r="L106" i="44" s="1"/>
  <c r="I106" i="44"/>
  <c r="H106" i="44"/>
  <c r="E106" i="44"/>
  <c r="F106" i="44" s="1"/>
  <c r="N105" i="44"/>
  <c r="O105" i="44" s="1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H103" i="44"/>
  <c r="I103" i="44" s="1"/>
  <c r="E103" i="44"/>
  <c r="F103" i="44" s="1"/>
  <c r="O102" i="44"/>
  <c r="N102" i="44"/>
  <c r="K102" i="44"/>
  <c r="L102" i="44" s="1"/>
  <c r="I102" i="44"/>
  <c r="H102" i="44"/>
  <c r="E102" i="44"/>
  <c r="F102" i="44" s="1"/>
  <c r="N101" i="44"/>
  <c r="O101" i="44" s="1"/>
  <c r="L101" i="44"/>
  <c r="K101" i="44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N99" i="44"/>
  <c r="O99" i="44" s="1"/>
  <c r="K99" i="44"/>
  <c r="L99" i="44" s="1"/>
  <c r="H99" i="44"/>
  <c r="I99" i="44" s="1"/>
  <c r="E99" i="44"/>
  <c r="F99" i="44" s="1"/>
  <c r="O98" i="44"/>
  <c r="N98" i="44"/>
  <c r="K98" i="44"/>
  <c r="K118" i="44" s="1"/>
  <c r="I98" i="44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N89" i="44"/>
  <c r="O89" i="44" s="1"/>
  <c r="K89" i="44"/>
  <c r="L89" i="44" s="1"/>
  <c r="H89" i="44"/>
  <c r="I89" i="44" s="1"/>
  <c r="E89" i="44"/>
  <c r="F89" i="44" s="1"/>
  <c r="O88" i="44"/>
  <c r="N88" i="44"/>
  <c r="L88" i="44"/>
  <c r="K88" i="44"/>
  <c r="H88" i="44"/>
  <c r="I88" i="44" s="1"/>
  <c r="E88" i="44"/>
  <c r="F88" i="44" s="1"/>
  <c r="N87" i="44"/>
  <c r="O87" i="44" s="1"/>
  <c r="K87" i="44"/>
  <c r="L87" i="44" s="1"/>
  <c r="I87" i="44"/>
  <c r="H87" i="44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L85" i="44"/>
  <c r="K85" i="44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L83" i="44"/>
  <c r="K83" i="44"/>
  <c r="I83" i="44"/>
  <c r="H83" i="44"/>
  <c r="E83" i="44"/>
  <c r="F83" i="44" s="1"/>
  <c r="O82" i="44"/>
  <c r="N82" i="44"/>
  <c r="K82" i="44"/>
  <c r="L82" i="44" s="1"/>
  <c r="I82" i="44"/>
  <c r="H82" i="44"/>
  <c r="E82" i="44"/>
  <c r="F82" i="44" s="1"/>
  <c r="N81" i="44"/>
  <c r="O81" i="44" s="1"/>
  <c r="K81" i="44"/>
  <c r="L81" i="44" s="1"/>
  <c r="H81" i="44"/>
  <c r="I81" i="44" s="1"/>
  <c r="E81" i="44"/>
  <c r="F81" i="44" s="1"/>
  <c r="N80" i="44"/>
  <c r="O80" i="44" s="1"/>
  <c r="L80" i="44"/>
  <c r="K80" i="44"/>
  <c r="H80" i="44"/>
  <c r="I80" i="44" s="1"/>
  <c r="E80" i="44"/>
  <c r="F80" i="44" s="1"/>
  <c r="N79" i="44"/>
  <c r="O79" i="44" s="1"/>
  <c r="K79" i="44"/>
  <c r="L79" i="44" s="1"/>
  <c r="H79" i="44"/>
  <c r="I79" i="44" s="1"/>
  <c r="E79" i="44"/>
  <c r="F79" i="44" s="1"/>
  <c r="N78" i="44"/>
  <c r="O78" i="44" s="1"/>
  <c r="L78" i="44"/>
  <c r="K78" i="44"/>
  <c r="I78" i="44"/>
  <c r="H78" i="44"/>
  <c r="E78" i="44"/>
  <c r="F78" i="44" s="1"/>
  <c r="N77" i="44"/>
  <c r="O77" i="44" s="1"/>
  <c r="K77" i="44"/>
  <c r="L77" i="44" s="1"/>
  <c r="H77" i="44"/>
  <c r="I77" i="44" s="1"/>
  <c r="E77" i="44"/>
  <c r="F77" i="44" s="1"/>
  <c r="N76" i="44"/>
  <c r="O76" i="44" s="1"/>
  <c r="K76" i="44"/>
  <c r="L76" i="44" s="1"/>
  <c r="H76" i="44"/>
  <c r="I76" i="44" s="1"/>
  <c r="E76" i="44"/>
  <c r="F76" i="44" s="1"/>
  <c r="N75" i="44"/>
  <c r="O75" i="44" s="1"/>
  <c r="K75" i="44"/>
  <c r="L75" i="44" s="1"/>
  <c r="I75" i="44"/>
  <c r="H75" i="44"/>
  <c r="E75" i="44"/>
  <c r="F75" i="44" s="1"/>
  <c r="N74" i="44"/>
  <c r="O74" i="44" s="1"/>
  <c r="K74" i="44"/>
  <c r="L74" i="44" s="1"/>
  <c r="I74" i="44"/>
  <c r="H74" i="44"/>
  <c r="E74" i="44"/>
  <c r="F74" i="44" s="1"/>
  <c r="N73" i="44"/>
  <c r="N91" i="44" s="1"/>
  <c r="K73" i="44"/>
  <c r="L73" i="44" s="1"/>
  <c r="H73" i="44"/>
  <c r="I73" i="44" s="1"/>
  <c r="E73" i="44"/>
  <c r="F73" i="44" s="1"/>
  <c r="O72" i="44"/>
  <c r="N72" i="44"/>
  <c r="K72" i="44"/>
  <c r="L72" i="44" s="1"/>
  <c r="H72" i="44"/>
  <c r="I72" i="44" s="1"/>
  <c r="E72" i="44"/>
  <c r="F72" i="44" s="1"/>
  <c r="N71" i="44"/>
  <c r="O71" i="44" s="1"/>
  <c r="K71" i="44"/>
  <c r="I71" i="44"/>
  <c r="H71" i="44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I63" i="44"/>
  <c r="H63" i="44"/>
  <c r="E63" i="44"/>
  <c r="F63" i="44" s="1"/>
  <c r="N62" i="44"/>
  <c r="O62" i="44" s="1"/>
  <c r="K62" i="44"/>
  <c r="L62" i="44" s="1"/>
  <c r="H62" i="44"/>
  <c r="I62" i="44" s="1"/>
  <c r="E62" i="44"/>
  <c r="F62" i="44" s="1"/>
  <c r="N61" i="44"/>
  <c r="O61" i="44" s="1"/>
  <c r="L61" i="44"/>
  <c r="K61" i="44"/>
  <c r="H61" i="44"/>
  <c r="I61" i="44" s="1"/>
  <c r="E61" i="44"/>
  <c r="F61" i="44" s="1"/>
  <c r="N60" i="44"/>
  <c r="O60" i="44" s="1"/>
  <c r="K60" i="44"/>
  <c r="L60" i="44" s="1"/>
  <c r="I60" i="44"/>
  <c r="H60" i="44"/>
  <c r="E60" i="44"/>
  <c r="F60" i="44" s="1"/>
  <c r="N59" i="44"/>
  <c r="O59" i="44" s="1"/>
  <c r="K59" i="44"/>
  <c r="L59" i="44" s="1"/>
  <c r="I59" i="44"/>
  <c r="H59" i="44"/>
  <c r="E59" i="44"/>
  <c r="F59" i="44" s="1"/>
  <c r="N58" i="44"/>
  <c r="O58" i="44" s="1"/>
  <c r="K58" i="44"/>
  <c r="L58" i="44" s="1"/>
  <c r="H58" i="44"/>
  <c r="I58" i="44" s="1"/>
  <c r="E58" i="44"/>
  <c r="F58" i="44" s="1"/>
  <c r="N57" i="44"/>
  <c r="O57" i="44" s="1"/>
  <c r="K57" i="44"/>
  <c r="L57" i="44" s="1"/>
  <c r="H57" i="44"/>
  <c r="I57" i="44" s="1"/>
  <c r="E57" i="44"/>
  <c r="F57" i="44" s="1"/>
  <c r="N56" i="44"/>
  <c r="O56" i="44" s="1"/>
  <c r="K56" i="44"/>
  <c r="L56" i="44" s="1"/>
  <c r="I56" i="44"/>
  <c r="H56" i="44"/>
  <c r="E56" i="44"/>
  <c r="F56" i="44" s="1"/>
  <c r="N55" i="44"/>
  <c r="O55" i="44" s="1"/>
  <c r="L55" i="44"/>
  <c r="K55" i="44"/>
  <c r="I55" i="44"/>
  <c r="H55" i="44"/>
  <c r="E55" i="44"/>
  <c r="F55" i="44" s="1"/>
  <c r="O54" i="44"/>
  <c r="N54" i="44"/>
  <c r="K54" i="44"/>
  <c r="L54" i="44" s="1"/>
  <c r="H54" i="44"/>
  <c r="I54" i="44" s="1"/>
  <c r="E54" i="44"/>
  <c r="F54" i="44" s="1"/>
  <c r="N53" i="44"/>
  <c r="O53" i="44" s="1"/>
  <c r="L53" i="44"/>
  <c r="K53" i="44"/>
  <c r="H53" i="44"/>
  <c r="I53" i="44" s="1"/>
  <c r="E53" i="44"/>
  <c r="F53" i="44" s="1"/>
  <c r="N52" i="44"/>
  <c r="O52" i="44" s="1"/>
  <c r="K52" i="44"/>
  <c r="L52" i="44" s="1"/>
  <c r="H52" i="44"/>
  <c r="I52" i="44" s="1"/>
  <c r="E52" i="44"/>
  <c r="F52" i="44" s="1"/>
  <c r="O51" i="44"/>
  <c r="N51" i="44"/>
  <c r="L51" i="44"/>
  <c r="K51" i="44"/>
  <c r="I51" i="44"/>
  <c r="H51" i="44"/>
  <c r="E51" i="44"/>
  <c r="F51" i="44" s="1"/>
  <c r="N50" i="44"/>
  <c r="O50" i="44" s="1"/>
  <c r="L50" i="44"/>
  <c r="K50" i="44"/>
  <c r="H50" i="44"/>
  <c r="I50" i="44" s="1"/>
  <c r="E50" i="44"/>
  <c r="F50" i="44" s="1"/>
  <c r="N49" i="44"/>
  <c r="O49" i="44" s="1"/>
  <c r="K49" i="44"/>
  <c r="L49" i="44" s="1"/>
  <c r="H49" i="44"/>
  <c r="I49" i="44" s="1"/>
  <c r="E49" i="44"/>
  <c r="F49" i="44" s="1"/>
  <c r="N48" i="44"/>
  <c r="O48" i="44" s="1"/>
  <c r="L48" i="44"/>
  <c r="K48" i="44"/>
  <c r="I48" i="44"/>
  <c r="H48" i="44"/>
  <c r="E48" i="44"/>
  <c r="F48" i="44" s="1"/>
  <c r="N47" i="44"/>
  <c r="O47" i="44" s="1"/>
  <c r="K47" i="44"/>
  <c r="L47" i="44" s="1"/>
  <c r="I47" i="44"/>
  <c r="H47" i="44"/>
  <c r="E47" i="44"/>
  <c r="F47" i="44" s="1"/>
  <c r="N46" i="44"/>
  <c r="O46" i="44" s="1"/>
  <c r="K46" i="44"/>
  <c r="L46" i="44" s="1"/>
  <c r="H46" i="44"/>
  <c r="I46" i="44" s="1"/>
  <c r="E46" i="44"/>
  <c r="F46" i="44" s="1"/>
  <c r="O45" i="44"/>
  <c r="N45" i="44"/>
  <c r="L45" i="44"/>
  <c r="K45" i="44"/>
  <c r="H45" i="44"/>
  <c r="I45" i="44" s="1"/>
  <c r="E45" i="44"/>
  <c r="F45" i="44" s="1"/>
  <c r="N44" i="44"/>
  <c r="K44" i="44"/>
  <c r="I44" i="44"/>
  <c r="H44" i="44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C29" i="44"/>
  <c r="B29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C28" i="44"/>
  <c r="B28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O194" i="43"/>
  <c r="N194" i="43"/>
  <c r="L194" i="43"/>
  <c r="K194" i="43"/>
  <c r="H194" i="43"/>
  <c r="I194" i="43" s="1"/>
  <c r="F194" i="43"/>
  <c r="E194" i="43"/>
  <c r="O193" i="43"/>
  <c r="N193" i="43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O191" i="43"/>
  <c r="N191" i="43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O186" i="43"/>
  <c r="N186" i="43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L171" i="43"/>
  <c r="K171" i="43"/>
  <c r="H171" i="43"/>
  <c r="I171" i="43" s="1"/>
  <c r="F171" i="43"/>
  <c r="E171" i="43"/>
  <c r="N170" i="43"/>
  <c r="O170" i="43" s="1"/>
  <c r="K170" i="43"/>
  <c r="L170" i="43" s="1"/>
  <c r="H170" i="43"/>
  <c r="I170" i="43" s="1"/>
  <c r="F170" i="43"/>
  <c r="E170" i="43"/>
  <c r="N169" i="43"/>
  <c r="O169" i="43" s="1"/>
  <c r="K169" i="43"/>
  <c r="L169" i="43" s="1"/>
  <c r="H169" i="43"/>
  <c r="I169" i="43" s="1"/>
  <c r="F169" i="43"/>
  <c r="E169" i="43"/>
  <c r="N168" i="43"/>
  <c r="O168" i="43" s="1"/>
  <c r="L168" i="43"/>
  <c r="K168" i="43"/>
  <c r="H168" i="43"/>
  <c r="I168" i="43" s="1"/>
  <c r="F168" i="43"/>
  <c r="E168" i="43"/>
  <c r="O167" i="43"/>
  <c r="N167" i="43"/>
  <c r="L167" i="43"/>
  <c r="K167" i="43"/>
  <c r="H167" i="43"/>
  <c r="I167" i="43" s="1"/>
  <c r="F167" i="43"/>
  <c r="E167" i="43"/>
  <c r="N166" i="43"/>
  <c r="O166" i="43" s="1"/>
  <c r="K166" i="43"/>
  <c r="L166" i="43" s="1"/>
  <c r="H166" i="43"/>
  <c r="I166" i="43" s="1"/>
  <c r="F166" i="43"/>
  <c r="E166" i="43"/>
  <c r="N165" i="43"/>
  <c r="O165" i="43" s="1"/>
  <c r="K165" i="43"/>
  <c r="L165" i="43" s="1"/>
  <c r="H165" i="43"/>
  <c r="I165" i="43" s="1"/>
  <c r="F165" i="43"/>
  <c r="E165" i="43"/>
  <c r="N164" i="43"/>
  <c r="O164" i="43" s="1"/>
  <c r="K164" i="43"/>
  <c r="L164" i="43" s="1"/>
  <c r="H164" i="43"/>
  <c r="I164" i="43" s="1"/>
  <c r="F164" i="43"/>
  <c r="E164" i="43"/>
  <c r="N163" i="43"/>
  <c r="O163" i="43" s="1"/>
  <c r="L163" i="43"/>
  <c r="K163" i="43"/>
  <c r="H163" i="43"/>
  <c r="I163" i="43" s="1"/>
  <c r="F163" i="43"/>
  <c r="E163" i="43"/>
  <c r="O162" i="43"/>
  <c r="N162" i="43"/>
  <c r="K162" i="43"/>
  <c r="L162" i="43" s="1"/>
  <c r="H162" i="43"/>
  <c r="I162" i="43" s="1"/>
  <c r="F162" i="43"/>
  <c r="E162" i="43"/>
  <c r="N161" i="43"/>
  <c r="O161" i="43" s="1"/>
  <c r="K161" i="43"/>
  <c r="L161" i="43" s="1"/>
  <c r="H161" i="43"/>
  <c r="I161" i="43" s="1"/>
  <c r="F161" i="43"/>
  <c r="E161" i="43"/>
  <c r="O160" i="43"/>
  <c r="N160" i="43"/>
  <c r="K160" i="43"/>
  <c r="L160" i="43" s="1"/>
  <c r="H160" i="43"/>
  <c r="I160" i="43" s="1"/>
  <c r="F160" i="43"/>
  <c r="E160" i="43"/>
  <c r="N159" i="43"/>
  <c r="O159" i="43" s="1"/>
  <c r="L159" i="43"/>
  <c r="K159" i="43"/>
  <c r="H159" i="43"/>
  <c r="I159" i="43" s="1"/>
  <c r="F159" i="43"/>
  <c r="E159" i="43"/>
  <c r="N158" i="43"/>
  <c r="O158" i="43" s="1"/>
  <c r="K158" i="43"/>
  <c r="L158" i="43" s="1"/>
  <c r="H158" i="43"/>
  <c r="I158" i="43" s="1"/>
  <c r="F158" i="43"/>
  <c r="E158" i="43"/>
  <c r="N157" i="43"/>
  <c r="O157" i="43" s="1"/>
  <c r="K157" i="43"/>
  <c r="L157" i="43" s="1"/>
  <c r="H157" i="43"/>
  <c r="I157" i="43" s="1"/>
  <c r="F157" i="43"/>
  <c r="E157" i="43"/>
  <c r="N156" i="43"/>
  <c r="O156" i="43" s="1"/>
  <c r="K156" i="43"/>
  <c r="L156" i="43" s="1"/>
  <c r="H156" i="43"/>
  <c r="I156" i="43" s="1"/>
  <c r="F156" i="43"/>
  <c r="E156" i="43"/>
  <c r="N155" i="43"/>
  <c r="O155" i="43" s="1"/>
  <c r="L155" i="43"/>
  <c r="K155" i="43"/>
  <c r="H155" i="43"/>
  <c r="I155" i="43" s="1"/>
  <c r="F155" i="43"/>
  <c r="E155" i="43"/>
  <c r="N154" i="43"/>
  <c r="O154" i="43" s="1"/>
  <c r="K154" i="43"/>
  <c r="L154" i="43" s="1"/>
  <c r="H154" i="43"/>
  <c r="I154" i="43" s="1"/>
  <c r="F154" i="43"/>
  <c r="E154" i="43"/>
  <c r="O153" i="43"/>
  <c r="N153" i="43"/>
  <c r="K153" i="43"/>
  <c r="L153" i="43" s="1"/>
  <c r="H153" i="43"/>
  <c r="I153" i="43" s="1"/>
  <c r="F153" i="43"/>
  <c r="E153" i="43"/>
  <c r="N152" i="43"/>
  <c r="K152" i="43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K144" i="43"/>
  <c r="L144" i="43" s="1"/>
  <c r="H144" i="43"/>
  <c r="I144" i="43" s="1"/>
  <c r="E144" i="43"/>
  <c r="F144" i="43" s="1"/>
  <c r="O143" i="43"/>
  <c r="N143" i="43"/>
  <c r="K143" i="43"/>
  <c r="L143" i="43" s="1"/>
  <c r="H143" i="43"/>
  <c r="I143" i="43" s="1"/>
  <c r="E143" i="43"/>
  <c r="F143" i="43" s="1"/>
  <c r="N142" i="43"/>
  <c r="O142" i="43" s="1"/>
  <c r="K142" i="43"/>
  <c r="L142" i="43" s="1"/>
  <c r="H142" i="43"/>
  <c r="I142" i="43" s="1"/>
  <c r="E142" i="43"/>
  <c r="F142" i="43" s="1"/>
  <c r="N141" i="43"/>
  <c r="O141" i="43" s="1"/>
  <c r="K141" i="43"/>
  <c r="L141" i="43" s="1"/>
  <c r="I141" i="43"/>
  <c r="H141" i="43"/>
  <c r="E141" i="43"/>
  <c r="F141" i="43" s="1"/>
  <c r="N140" i="43"/>
  <c r="O140" i="43" s="1"/>
  <c r="K140" i="43"/>
  <c r="L140" i="43" s="1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K138" i="43"/>
  <c r="L138" i="43" s="1"/>
  <c r="H138" i="43"/>
  <c r="I138" i="43" s="1"/>
  <c r="E138" i="43"/>
  <c r="F138" i="43" s="1"/>
  <c r="N137" i="43"/>
  <c r="O137" i="43" s="1"/>
  <c r="L137" i="43"/>
  <c r="K137" i="43"/>
  <c r="I137" i="43"/>
  <c r="H137" i="43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H134" i="43"/>
  <c r="I134" i="43" s="1"/>
  <c r="E134" i="43"/>
  <c r="F134" i="43" s="1"/>
  <c r="N133" i="43"/>
  <c r="O133" i="43" s="1"/>
  <c r="K133" i="43"/>
  <c r="L133" i="43" s="1"/>
  <c r="I133" i="43"/>
  <c r="H133" i="43"/>
  <c r="E133" i="43"/>
  <c r="F133" i="43" s="1"/>
  <c r="N132" i="43"/>
  <c r="O132" i="43" s="1"/>
  <c r="L132" i="43"/>
  <c r="K132" i="43"/>
  <c r="H132" i="43"/>
  <c r="I132" i="43" s="1"/>
  <c r="E132" i="43"/>
  <c r="F132" i="43" s="1"/>
  <c r="N131" i="43"/>
  <c r="O131" i="43" s="1"/>
  <c r="K131" i="43"/>
  <c r="L131" i="43" s="1"/>
  <c r="H131" i="43"/>
  <c r="I131" i="43" s="1"/>
  <c r="E131" i="43"/>
  <c r="F131" i="43" s="1"/>
  <c r="O130" i="43"/>
  <c r="N130" i="43"/>
  <c r="L130" i="43"/>
  <c r="K130" i="43"/>
  <c r="H130" i="43"/>
  <c r="I130" i="43" s="1"/>
  <c r="E130" i="43"/>
  <c r="F130" i="43" s="1"/>
  <c r="N129" i="43"/>
  <c r="O129" i="43" s="1"/>
  <c r="K129" i="43"/>
  <c r="L129" i="43" s="1"/>
  <c r="I129" i="43"/>
  <c r="H129" i="43"/>
  <c r="E129" i="43"/>
  <c r="F129" i="43" s="1"/>
  <c r="O128" i="43"/>
  <c r="N128" i="43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N126" i="43"/>
  <c r="O126" i="43" s="1"/>
  <c r="K126" i="43"/>
  <c r="L126" i="43" s="1"/>
  <c r="H126" i="43"/>
  <c r="I126" i="43" s="1"/>
  <c r="E126" i="43"/>
  <c r="F126" i="43" s="1"/>
  <c r="N125" i="43"/>
  <c r="N145" i="43" s="1"/>
  <c r="K125" i="43"/>
  <c r="K145" i="43" s="1"/>
  <c r="I125" i="43"/>
  <c r="H125" i="43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K116" i="43"/>
  <c r="L116" i="43" s="1"/>
  <c r="H116" i="43"/>
  <c r="I116" i="43" s="1"/>
  <c r="F116" i="43"/>
  <c r="E116" i="43"/>
  <c r="O115" i="43"/>
  <c r="N115" i="43"/>
  <c r="L115" i="43"/>
  <c r="K115" i="43"/>
  <c r="H115" i="43"/>
  <c r="I115" i="43" s="1"/>
  <c r="F115" i="43"/>
  <c r="E115" i="43"/>
  <c r="O114" i="43"/>
  <c r="N114" i="43"/>
  <c r="K114" i="43"/>
  <c r="L114" i="43" s="1"/>
  <c r="H114" i="43"/>
  <c r="I114" i="43" s="1"/>
  <c r="F114" i="43"/>
  <c r="E114" i="43"/>
  <c r="O113" i="43"/>
  <c r="N113" i="43"/>
  <c r="K113" i="43"/>
  <c r="L113" i="43" s="1"/>
  <c r="H113" i="43"/>
  <c r="I113" i="43" s="1"/>
  <c r="F113" i="43"/>
  <c r="E113" i="43"/>
  <c r="O112" i="43"/>
  <c r="N112" i="43"/>
  <c r="K112" i="43"/>
  <c r="L112" i="43" s="1"/>
  <c r="H112" i="43"/>
  <c r="I112" i="43" s="1"/>
  <c r="F112" i="43"/>
  <c r="E112" i="43"/>
  <c r="N111" i="43"/>
  <c r="O111" i="43" s="1"/>
  <c r="L111" i="43"/>
  <c r="K111" i="43"/>
  <c r="H111" i="43"/>
  <c r="I111" i="43" s="1"/>
  <c r="F111" i="43"/>
  <c r="E111" i="43"/>
  <c r="O110" i="43"/>
  <c r="N110" i="43"/>
  <c r="K110" i="43"/>
  <c r="L110" i="43" s="1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O108" i="43"/>
  <c r="N108" i="43"/>
  <c r="K108" i="43"/>
  <c r="L108" i="43" s="1"/>
  <c r="H108" i="43"/>
  <c r="I108" i="43" s="1"/>
  <c r="F108" i="43"/>
  <c r="E108" i="43"/>
  <c r="N107" i="43"/>
  <c r="O107" i="43" s="1"/>
  <c r="L107" i="43"/>
  <c r="K107" i="43"/>
  <c r="H107" i="43"/>
  <c r="I107" i="43" s="1"/>
  <c r="F107" i="43"/>
  <c r="E107" i="43"/>
  <c r="N106" i="43"/>
  <c r="O106" i="43" s="1"/>
  <c r="K106" i="43"/>
  <c r="L106" i="43" s="1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N104" i="43"/>
  <c r="O104" i="43" s="1"/>
  <c r="K104" i="43"/>
  <c r="L104" i="43" s="1"/>
  <c r="H104" i="43"/>
  <c r="I104" i="43" s="1"/>
  <c r="F104" i="43"/>
  <c r="E104" i="43"/>
  <c r="O103" i="43"/>
  <c r="N103" i="43"/>
  <c r="L103" i="43"/>
  <c r="K103" i="43"/>
  <c r="H103" i="43"/>
  <c r="I103" i="43" s="1"/>
  <c r="F103" i="43"/>
  <c r="E103" i="43"/>
  <c r="N102" i="43"/>
  <c r="O102" i="43" s="1"/>
  <c r="K102" i="43"/>
  <c r="L102" i="43" s="1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N100" i="43"/>
  <c r="O100" i="43" s="1"/>
  <c r="K100" i="43"/>
  <c r="L100" i="43" s="1"/>
  <c r="H100" i="43"/>
  <c r="I100" i="43" s="1"/>
  <c r="F100" i="43"/>
  <c r="E100" i="43"/>
  <c r="O99" i="43"/>
  <c r="N99" i="43"/>
  <c r="L99" i="43"/>
  <c r="K99" i="43"/>
  <c r="H99" i="43"/>
  <c r="I99" i="43" s="1"/>
  <c r="F99" i="43"/>
  <c r="E99" i="43"/>
  <c r="O98" i="43"/>
  <c r="N98" i="43"/>
  <c r="K98" i="43"/>
  <c r="K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H90" i="43"/>
  <c r="I90" i="43" s="1"/>
  <c r="E90" i="43"/>
  <c r="F90" i="43" s="1"/>
  <c r="N89" i="43"/>
  <c r="O89" i="43" s="1"/>
  <c r="L89" i="43"/>
  <c r="K89" i="43"/>
  <c r="H89" i="43"/>
  <c r="I89" i="43" s="1"/>
  <c r="F89" i="43"/>
  <c r="E89" i="43"/>
  <c r="N88" i="43"/>
  <c r="O88" i="43" s="1"/>
  <c r="K88" i="43"/>
  <c r="L88" i="43" s="1"/>
  <c r="H88" i="43"/>
  <c r="I88" i="43" s="1"/>
  <c r="F88" i="43"/>
  <c r="E88" i="43"/>
  <c r="O87" i="43"/>
  <c r="N87" i="43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O85" i="43"/>
  <c r="N85" i="43"/>
  <c r="L85" i="43"/>
  <c r="K85" i="43"/>
  <c r="H85" i="43"/>
  <c r="I85" i="43" s="1"/>
  <c r="F85" i="43"/>
  <c r="E85" i="43"/>
  <c r="N84" i="43"/>
  <c r="O84" i="43" s="1"/>
  <c r="K84" i="43"/>
  <c r="L84" i="43" s="1"/>
  <c r="H84" i="43"/>
  <c r="I84" i="43" s="1"/>
  <c r="F84" i="43"/>
  <c r="E84" i="43"/>
  <c r="N83" i="43"/>
  <c r="O83" i="43" s="1"/>
  <c r="K83" i="43"/>
  <c r="L83" i="43" s="1"/>
  <c r="H83" i="43"/>
  <c r="I83" i="43" s="1"/>
  <c r="F83" i="43"/>
  <c r="E83" i="43"/>
  <c r="N82" i="43"/>
  <c r="O82" i="43" s="1"/>
  <c r="L82" i="43"/>
  <c r="K82" i="43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N80" i="43"/>
  <c r="O80" i="43" s="1"/>
  <c r="K80" i="43"/>
  <c r="L80" i="43" s="1"/>
  <c r="H80" i="43"/>
  <c r="I80" i="43" s="1"/>
  <c r="F80" i="43"/>
  <c r="E80" i="43"/>
  <c r="N79" i="43"/>
  <c r="O79" i="43" s="1"/>
  <c r="K79" i="43"/>
  <c r="L79" i="43" s="1"/>
  <c r="H79" i="43"/>
  <c r="I79" i="43" s="1"/>
  <c r="F79" i="43"/>
  <c r="E79" i="43"/>
  <c r="N78" i="43"/>
  <c r="O78" i="43" s="1"/>
  <c r="K78" i="43"/>
  <c r="L78" i="43" s="1"/>
  <c r="H78" i="43"/>
  <c r="I78" i="43" s="1"/>
  <c r="F78" i="43"/>
  <c r="E78" i="43"/>
  <c r="N77" i="43"/>
  <c r="O77" i="43" s="1"/>
  <c r="L77" i="43"/>
  <c r="K77" i="43"/>
  <c r="H77" i="43"/>
  <c r="I77" i="43" s="1"/>
  <c r="F77" i="43"/>
  <c r="E77" i="43"/>
  <c r="N76" i="43"/>
  <c r="O76" i="43" s="1"/>
  <c r="K76" i="43"/>
  <c r="L76" i="43" s="1"/>
  <c r="H76" i="43"/>
  <c r="I76" i="43" s="1"/>
  <c r="F76" i="43"/>
  <c r="E76" i="43"/>
  <c r="O75" i="43"/>
  <c r="N75" i="43"/>
  <c r="K75" i="43"/>
  <c r="L75" i="43" s="1"/>
  <c r="H75" i="43"/>
  <c r="I75" i="43" s="1"/>
  <c r="F75" i="43"/>
  <c r="E75" i="43"/>
  <c r="N74" i="43"/>
  <c r="O74" i="43" s="1"/>
  <c r="K74" i="43"/>
  <c r="L74" i="43" s="1"/>
  <c r="H74" i="43"/>
  <c r="I74" i="43" s="1"/>
  <c r="F74" i="43"/>
  <c r="E74" i="43"/>
  <c r="O73" i="43"/>
  <c r="N73" i="43"/>
  <c r="L73" i="43"/>
  <c r="K73" i="43"/>
  <c r="H73" i="43"/>
  <c r="I73" i="43" s="1"/>
  <c r="F73" i="43"/>
  <c r="E73" i="43"/>
  <c r="N72" i="43"/>
  <c r="O72" i="43" s="1"/>
  <c r="K72" i="43"/>
  <c r="L72" i="43" s="1"/>
  <c r="H72" i="43"/>
  <c r="I72" i="43" s="1"/>
  <c r="F72" i="43"/>
  <c r="E72" i="43"/>
  <c r="O71" i="43"/>
  <c r="N71" i="43"/>
  <c r="K71" i="43"/>
  <c r="H71" i="43"/>
  <c r="F71" i="43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L62" i="43"/>
  <c r="K62" i="43"/>
  <c r="H62" i="43"/>
  <c r="I62" i="43" s="1"/>
  <c r="E62" i="43"/>
  <c r="F62" i="43" s="1"/>
  <c r="N61" i="43"/>
  <c r="O61" i="43" s="1"/>
  <c r="K61" i="43"/>
  <c r="L61" i="43" s="1"/>
  <c r="H61" i="43"/>
  <c r="I61" i="43" s="1"/>
  <c r="E61" i="43"/>
  <c r="F61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O57" i="43"/>
  <c r="N57" i="43"/>
  <c r="K57" i="43"/>
  <c r="L57" i="43" s="1"/>
  <c r="H57" i="43"/>
  <c r="I57" i="43" s="1"/>
  <c r="E57" i="43"/>
  <c r="F57" i="43" s="1"/>
  <c r="O56" i="43"/>
  <c r="N56" i="43"/>
  <c r="K56" i="43"/>
  <c r="L56" i="43" s="1"/>
  <c r="I56" i="43"/>
  <c r="H56" i="43"/>
  <c r="E56" i="43"/>
  <c r="F56" i="43" s="1"/>
  <c r="O55" i="43"/>
  <c r="N55" i="43"/>
  <c r="L55" i="43"/>
  <c r="K55" i="43"/>
  <c r="H55" i="43"/>
  <c r="I55" i="43" s="1"/>
  <c r="E55" i="43"/>
  <c r="F55" i="43" s="1"/>
  <c r="O54" i="43"/>
  <c r="N54" i="43"/>
  <c r="K54" i="43"/>
  <c r="L54" i="43" s="1"/>
  <c r="H54" i="43"/>
  <c r="I54" i="43" s="1"/>
  <c r="E54" i="43"/>
  <c r="F54" i="43" s="1"/>
  <c r="N53" i="43"/>
  <c r="O53" i="43" s="1"/>
  <c r="L53" i="43"/>
  <c r="K53" i="43"/>
  <c r="H53" i="43"/>
  <c r="I53" i="43" s="1"/>
  <c r="E53" i="43"/>
  <c r="F53" i="43" s="1"/>
  <c r="N52" i="43"/>
  <c r="O52" i="43" s="1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O49" i="43"/>
  <c r="N49" i="43"/>
  <c r="L49" i="43"/>
  <c r="K49" i="43"/>
  <c r="H49" i="43"/>
  <c r="I49" i="43" s="1"/>
  <c r="E49" i="43"/>
  <c r="F49" i="43" s="1"/>
  <c r="O48" i="43"/>
  <c r="N48" i="43"/>
  <c r="K48" i="43"/>
  <c r="L48" i="43" s="1"/>
  <c r="I48" i="43"/>
  <c r="H48" i="43"/>
  <c r="E48" i="43"/>
  <c r="F48" i="43" s="1"/>
  <c r="N47" i="43"/>
  <c r="O47" i="43" s="1"/>
  <c r="K47" i="43"/>
  <c r="L47" i="43" s="1"/>
  <c r="H47" i="43"/>
  <c r="I47" i="43" s="1"/>
  <c r="E47" i="43"/>
  <c r="F47" i="43" s="1"/>
  <c r="N46" i="43"/>
  <c r="O46" i="43" s="1"/>
  <c r="L46" i="43"/>
  <c r="K46" i="43"/>
  <c r="H46" i="43"/>
  <c r="I46" i="43" s="1"/>
  <c r="E46" i="43"/>
  <c r="F46" i="43" s="1"/>
  <c r="N45" i="43"/>
  <c r="O45" i="43" s="1"/>
  <c r="K45" i="43"/>
  <c r="L45" i="43" s="1"/>
  <c r="H45" i="43"/>
  <c r="I45" i="43" s="1"/>
  <c r="E45" i="43"/>
  <c r="F45" i="43" s="1"/>
  <c r="N44" i="43"/>
  <c r="N64" i="43" s="1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O198" i="42"/>
  <c r="N198" i="42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O196" i="42"/>
  <c r="N196" i="42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N192" i="42"/>
  <c r="O192" i="42" s="1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E188" i="42"/>
  <c r="F188" i="42" s="1"/>
  <c r="O187" i="42"/>
  <c r="N187" i="42"/>
  <c r="L187" i="42"/>
  <c r="K187" i="42"/>
  <c r="H187" i="42"/>
  <c r="I187" i="42" s="1"/>
  <c r="E187" i="42"/>
  <c r="F187" i="42" s="1"/>
  <c r="N186" i="42"/>
  <c r="O186" i="42" s="1"/>
  <c r="K186" i="42"/>
  <c r="L186" i="42" s="1"/>
  <c r="I186" i="42"/>
  <c r="H186" i="42"/>
  <c r="E186" i="42"/>
  <c r="F186" i="42" s="1"/>
  <c r="O185" i="42"/>
  <c r="N185" i="42"/>
  <c r="K185" i="42"/>
  <c r="L185" i="42" s="1"/>
  <c r="H185" i="42"/>
  <c r="I185" i="42" s="1"/>
  <c r="E185" i="42"/>
  <c r="F185" i="42" s="1"/>
  <c r="N184" i="42"/>
  <c r="O184" i="42" s="1"/>
  <c r="K184" i="42"/>
  <c r="L184" i="42" s="1"/>
  <c r="H184" i="42"/>
  <c r="I184" i="42" s="1"/>
  <c r="E184" i="42"/>
  <c r="F184" i="42" s="1"/>
  <c r="N183" i="42"/>
  <c r="O183" i="42" s="1"/>
  <c r="K183" i="42"/>
  <c r="L183" i="42" s="1"/>
  <c r="H183" i="42"/>
  <c r="I183" i="42" s="1"/>
  <c r="E183" i="42"/>
  <c r="F183" i="42" s="1"/>
  <c r="N182" i="42"/>
  <c r="O182" i="42" s="1"/>
  <c r="K182" i="42"/>
  <c r="L182" i="42" s="1"/>
  <c r="I182" i="42"/>
  <c r="H182" i="42"/>
  <c r="E182" i="42"/>
  <c r="F182" i="42" s="1"/>
  <c r="N181" i="42"/>
  <c r="O181" i="42" s="1"/>
  <c r="K181" i="42"/>
  <c r="L181" i="42" s="1"/>
  <c r="H181" i="42"/>
  <c r="I181" i="42" s="1"/>
  <c r="E181" i="42"/>
  <c r="F181" i="42" s="1"/>
  <c r="N180" i="42"/>
  <c r="O180" i="42" s="1"/>
  <c r="L180" i="42"/>
  <c r="K180" i="42"/>
  <c r="H180" i="42"/>
  <c r="I180" i="42" s="1"/>
  <c r="E180" i="42"/>
  <c r="F180" i="42" s="1"/>
  <c r="O179" i="42"/>
  <c r="N179" i="42"/>
  <c r="K179" i="42"/>
  <c r="H179" i="42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O168" i="42"/>
  <c r="N168" i="42"/>
  <c r="K168" i="42"/>
  <c r="L168" i="42" s="1"/>
  <c r="H168" i="42"/>
  <c r="I168" i="42" s="1"/>
  <c r="E168" i="42"/>
  <c r="F168" i="42" s="1"/>
  <c r="N167" i="42"/>
  <c r="O167" i="42" s="1"/>
  <c r="L167" i="42"/>
  <c r="K167" i="42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L165" i="42"/>
  <c r="K165" i="42"/>
  <c r="H165" i="42"/>
  <c r="I165" i="42" s="1"/>
  <c r="E165" i="42"/>
  <c r="F165" i="42" s="1"/>
  <c r="O164" i="42"/>
  <c r="N164" i="42"/>
  <c r="K164" i="42"/>
  <c r="L164" i="42" s="1"/>
  <c r="H164" i="42"/>
  <c r="I164" i="42" s="1"/>
  <c r="E164" i="42"/>
  <c r="F164" i="42" s="1"/>
  <c r="N163" i="42"/>
  <c r="O163" i="42" s="1"/>
  <c r="L163" i="42"/>
  <c r="K163" i="42"/>
  <c r="I163" i="42"/>
  <c r="H163" i="42"/>
  <c r="E163" i="42"/>
  <c r="F163" i="42" s="1"/>
  <c r="O162" i="42"/>
  <c r="N162" i="42"/>
  <c r="K162" i="42"/>
  <c r="L162" i="42" s="1"/>
  <c r="H162" i="42"/>
  <c r="I162" i="42" s="1"/>
  <c r="E162" i="42"/>
  <c r="F162" i="42" s="1"/>
  <c r="O161" i="42"/>
  <c r="N161" i="42"/>
  <c r="L161" i="42"/>
  <c r="K161" i="42"/>
  <c r="H161" i="42"/>
  <c r="I161" i="42" s="1"/>
  <c r="E161" i="42"/>
  <c r="F161" i="42" s="1"/>
  <c r="N160" i="42"/>
  <c r="O160" i="42" s="1"/>
  <c r="K160" i="42"/>
  <c r="L160" i="42" s="1"/>
  <c r="H160" i="42"/>
  <c r="I160" i="42" s="1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L157" i="42"/>
  <c r="K157" i="42"/>
  <c r="H157" i="42"/>
  <c r="I157" i="42" s="1"/>
  <c r="E157" i="42"/>
  <c r="F157" i="42" s="1"/>
  <c r="O156" i="42"/>
  <c r="N156" i="42"/>
  <c r="K156" i="42"/>
  <c r="L156" i="42" s="1"/>
  <c r="H156" i="42"/>
  <c r="I156" i="42" s="1"/>
  <c r="E156" i="42"/>
  <c r="F156" i="42" s="1"/>
  <c r="O155" i="42"/>
  <c r="N155" i="42"/>
  <c r="K155" i="42"/>
  <c r="L155" i="42" s="1"/>
  <c r="H155" i="42"/>
  <c r="I155" i="42" s="1"/>
  <c r="E155" i="42"/>
  <c r="F155" i="42" s="1"/>
  <c r="O154" i="42"/>
  <c r="N154" i="42"/>
  <c r="K154" i="42"/>
  <c r="L154" i="42" s="1"/>
  <c r="H154" i="42"/>
  <c r="I154" i="42" s="1"/>
  <c r="E154" i="42"/>
  <c r="F154" i="42" s="1"/>
  <c r="N153" i="42"/>
  <c r="O153" i="42" s="1"/>
  <c r="K153" i="42"/>
  <c r="L153" i="42" s="1"/>
  <c r="H153" i="42"/>
  <c r="I153" i="42" s="1"/>
  <c r="E153" i="42"/>
  <c r="F153" i="42" s="1"/>
  <c r="O152" i="42"/>
  <c r="N152" i="42"/>
  <c r="K152" i="42"/>
  <c r="K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H144" i="42"/>
  <c r="I144" i="42" s="1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K142" i="42"/>
  <c r="L142" i="42" s="1"/>
  <c r="H142" i="42"/>
  <c r="I142" i="42" s="1"/>
  <c r="E142" i="42"/>
  <c r="F142" i="42" s="1"/>
  <c r="N141" i="42"/>
  <c r="O141" i="42" s="1"/>
  <c r="L141" i="42"/>
  <c r="K141" i="42"/>
  <c r="H141" i="42"/>
  <c r="I141" i="42" s="1"/>
  <c r="E141" i="42"/>
  <c r="F141" i="42" s="1"/>
  <c r="O140" i="42"/>
  <c r="N140" i="42"/>
  <c r="K140" i="42"/>
  <c r="L140" i="42" s="1"/>
  <c r="H140" i="42"/>
  <c r="I140" i="42" s="1"/>
  <c r="E140" i="42"/>
  <c r="F140" i="42" s="1"/>
  <c r="N139" i="42"/>
  <c r="O139" i="42" s="1"/>
  <c r="L139" i="42"/>
  <c r="K139" i="42"/>
  <c r="H139" i="42"/>
  <c r="I139" i="42" s="1"/>
  <c r="E139" i="42"/>
  <c r="F139" i="42" s="1"/>
  <c r="N138" i="42"/>
  <c r="O138" i="42" s="1"/>
  <c r="K138" i="42"/>
  <c r="L138" i="42" s="1"/>
  <c r="H138" i="42"/>
  <c r="I138" i="42" s="1"/>
  <c r="E138" i="42"/>
  <c r="F138" i="42" s="1"/>
  <c r="O137" i="42"/>
  <c r="N137" i="42"/>
  <c r="L137" i="42"/>
  <c r="K137" i="42"/>
  <c r="H137" i="42"/>
  <c r="I137" i="42" s="1"/>
  <c r="E137" i="42"/>
  <c r="F137" i="42" s="1"/>
  <c r="N136" i="42"/>
  <c r="O136" i="42" s="1"/>
  <c r="K136" i="42"/>
  <c r="L136" i="42" s="1"/>
  <c r="H136" i="42"/>
  <c r="I136" i="42" s="1"/>
  <c r="E136" i="42"/>
  <c r="F136" i="42" s="1"/>
  <c r="N135" i="42"/>
  <c r="O135" i="42" s="1"/>
  <c r="L135" i="42"/>
  <c r="K135" i="42"/>
  <c r="I135" i="42"/>
  <c r="H135" i="42"/>
  <c r="E135" i="42"/>
  <c r="F135" i="42" s="1"/>
  <c r="N134" i="42"/>
  <c r="O134" i="42" s="1"/>
  <c r="K134" i="42"/>
  <c r="L134" i="42" s="1"/>
  <c r="H134" i="42"/>
  <c r="I134" i="42" s="1"/>
  <c r="E134" i="42"/>
  <c r="F134" i="42" s="1"/>
  <c r="N133" i="42"/>
  <c r="O133" i="42" s="1"/>
  <c r="K133" i="42"/>
  <c r="L133" i="42" s="1"/>
  <c r="H133" i="42"/>
  <c r="I133" i="42" s="1"/>
  <c r="E133" i="42"/>
  <c r="F133" i="42" s="1"/>
  <c r="O132" i="42"/>
  <c r="N132" i="42"/>
  <c r="K132" i="42"/>
  <c r="L132" i="42" s="1"/>
  <c r="H132" i="42"/>
  <c r="I132" i="42" s="1"/>
  <c r="E132" i="42"/>
  <c r="F132" i="42" s="1"/>
  <c r="O131" i="42"/>
  <c r="N131" i="42"/>
  <c r="L131" i="42"/>
  <c r="K131" i="42"/>
  <c r="H131" i="42"/>
  <c r="I131" i="42" s="1"/>
  <c r="E131" i="42"/>
  <c r="F131" i="42" s="1"/>
  <c r="N130" i="42"/>
  <c r="O130" i="42" s="1"/>
  <c r="K130" i="42"/>
  <c r="L130" i="42" s="1"/>
  <c r="H130" i="42"/>
  <c r="I130" i="42" s="1"/>
  <c r="E130" i="42"/>
  <c r="F130" i="42" s="1"/>
  <c r="O129" i="42"/>
  <c r="N129" i="42"/>
  <c r="K129" i="42"/>
  <c r="L129" i="42" s="1"/>
  <c r="H129" i="42"/>
  <c r="I129" i="42" s="1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N126" i="42"/>
  <c r="O126" i="42" s="1"/>
  <c r="K126" i="42"/>
  <c r="L126" i="42" s="1"/>
  <c r="H126" i="42"/>
  <c r="I126" i="42" s="1"/>
  <c r="E126" i="42"/>
  <c r="F126" i="42" s="1"/>
  <c r="O125" i="42"/>
  <c r="N125" i="42"/>
  <c r="K125" i="42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N115" i="42"/>
  <c r="O115" i="42" s="1"/>
  <c r="K115" i="42"/>
  <c r="L115" i="42" s="1"/>
  <c r="H115" i="42"/>
  <c r="I115" i="42" s="1"/>
  <c r="E115" i="42"/>
  <c r="F115" i="42" s="1"/>
  <c r="O114" i="42"/>
  <c r="N114" i="42"/>
  <c r="K114" i="42"/>
  <c r="L114" i="42" s="1"/>
  <c r="I114" i="42"/>
  <c r="H114" i="42"/>
  <c r="E114" i="42"/>
  <c r="F114" i="42" s="1"/>
  <c r="N113" i="42"/>
  <c r="O113" i="42" s="1"/>
  <c r="L113" i="42"/>
  <c r="K113" i="42"/>
  <c r="H113" i="42"/>
  <c r="I113" i="42" s="1"/>
  <c r="E113" i="42"/>
  <c r="F113" i="42" s="1"/>
  <c r="O112" i="42"/>
  <c r="N112" i="42"/>
  <c r="K112" i="42"/>
  <c r="L112" i="42" s="1"/>
  <c r="H112" i="42"/>
  <c r="I112" i="42" s="1"/>
  <c r="E112" i="42"/>
  <c r="F112" i="42" s="1"/>
  <c r="N111" i="42"/>
  <c r="O111" i="42" s="1"/>
  <c r="L111" i="42"/>
  <c r="K111" i="42"/>
  <c r="H111" i="42"/>
  <c r="I111" i="42" s="1"/>
  <c r="E111" i="42"/>
  <c r="F111" i="42" s="1"/>
  <c r="N110" i="42"/>
  <c r="O110" i="42" s="1"/>
  <c r="K110" i="42"/>
  <c r="L110" i="42" s="1"/>
  <c r="H110" i="42"/>
  <c r="I110" i="42" s="1"/>
  <c r="E110" i="42"/>
  <c r="F110" i="42" s="1"/>
  <c r="O109" i="42"/>
  <c r="N109" i="42"/>
  <c r="L109" i="42"/>
  <c r="K109" i="42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L107" i="42"/>
  <c r="K107" i="42"/>
  <c r="H107" i="42"/>
  <c r="I107" i="42" s="1"/>
  <c r="E107" i="42"/>
  <c r="F107" i="42" s="1"/>
  <c r="N106" i="42"/>
  <c r="O106" i="42" s="1"/>
  <c r="K106" i="42"/>
  <c r="L106" i="42" s="1"/>
  <c r="H106" i="42"/>
  <c r="I106" i="42" s="1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K104" i="42"/>
  <c r="L104" i="42" s="1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N102" i="42"/>
  <c r="O102" i="42" s="1"/>
  <c r="K102" i="42"/>
  <c r="L102" i="42" s="1"/>
  <c r="H102" i="42"/>
  <c r="I102" i="42" s="1"/>
  <c r="E102" i="42"/>
  <c r="F102" i="42" s="1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F98" i="42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H90" i="42"/>
  <c r="I90" i="42" s="1"/>
  <c r="E90" i="42"/>
  <c r="F90" i="42" s="1"/>
  <c r="N89" i="42"/>
  <c r="O89" i="42" s="1"/>
  <c r="K89" i="42"/>
  <c r="L89" i="42" s="1"/>
  <c r="I89" i="42"/>
  <c r="H89" i="42"/>
  <c r="E89" i="42"/>
  <c r="F89" i="42" s="1"/>
  <c r="N88" i="42"/>
  <c r="O88" i="42" s="1"/>
  <c r="L88" i="42"/>
  <c r="K88" i="42"/>
  <c r="H88" i="42"/>
  <c r="I88" i="42" s="1"/>
  <c r="E88" i="42"/>
  <c r="F88" i="42" s="1"/>
  <c r="N87" i="42"/>
  <c r="O87" i="42" s="1"/>
  <c r="K87" i="42"/>
  <c r="L87" i="42" s="1"/>
  <c r="H87" i="42"/>
  <c r="I87" i="42" s="1"/>
  <c r="E87" i="42"/>
  <c r="F87" i="42" s="1"/>
  <c r="O86" i="42"/>
  <c r="N86" i="42"/>
  <c r="K86" i="42"/>
  <c r="L86" i="42" s="1"/>
  <c r="H86" i="42"/>
  <c r="I86" i="42" s="1"/>
  <c r="E86" i="42"/>
  <c r="F86" i="42" s="1"/>
  <c r="O85" i="42"/>
  <c r="N85" i="42"/>
  <c r="K85" i="42"/>
  <c r="L85" i="42" s="1"/>
  <c r="H85" i="42"/>
  <c r="I85" i="42" s="1"/>
  <c r="E85" i="42"/>
  <c r="F85" i="42" s="1"/>
  <c r="O84" i="42"/>
  <c r="N84" i="42"/>
  <c r="L84" i="42"/>
  <c r="K84" i="42"/>
  <c r="H84" i="42"/>
  <c r="I84" i="42" s="1"/>
  <c r="E84" i="42"/>
  <c r="F84" i="42" s="1"/>
  <c r="O83" i="42"/>
  <c r="N83" i="42"/>
  <c r="K83" i="42"/>
  <c r="L83" i="42" s="1"/>
  <c r="H83" i="42"/>
  <c r="I83" i="42" s="1"/>
  <c r="E83" i="42"/>
  <c r="F83" i="42" s="1"/>
  <c r="O82" i="42"/>
  <c r="N82" i="42"/>
  <c r="L82" i="42"/>
  <c r="K82" i="42"/>
  <c r="H82" i="42"/>
  <c r="I82" i="42" s="1"/>
  <c r="E82" i="42"/>
  <c r="F82" i="42" s="1"/>
  <c r="N81" i="42"/>
  <c r="O81" i="42" s="1"/>
  <c r="K81" i="42"/>
  <c r="L81" i="42" s="1"/>
  <c r="I81" i="42"/>
  <c r="H81" i="42"/>
  <c r="E81" i="42"/>
  <c r="F81" i="42" s="1"/>
  <c r="N80" i="42"/>
  <c r="O80" i="42" s="1"/>
  <c r="K80" i="42"/>
  <c r="L80" i="42" s="1"/>
  <c r="H80" i="42"/>
  <c r="I80" i="42" s="1"/>
  <c r="E80" i="42"/>
  <c r="F80" i="42" s="1"/>
  <c r="O79" i="42"/>
  <c r="N79" i="42"/>
  <c r="L79" i="42"/>
  <c r="K79" i="42"/>
  <c r="H79" i="42"/>
  <c r="I79" i="42" s="1"/>
  <c r="E79" i="42"/>
  <c r="F79" i="42" s="1"/>
  <c r="O78" i="42"/>
  <c r="N78" i="42"/>
  <c r="K78" i="42"/>
  <c r="L78" i="42" s="1"/>
  <c r="H78" i="42"/>
  <c r="I78" i="42" s="1"/>
  <c r="E78" i="42"/>
  <c r="F78" i="42" s="1"/>
  <c r="N77" i="42"/>
  <c r="O77" i="42" s="1"/>
  <c r="L77" i="42"/>
  <c r="K77" i="42"/>
  <c r="I77" i="42"/>
  <c r="H77" i="42"/>
  <c r="E77" i="42"/>
  <c r="F77" i="42" s="1"/>
  <c r="O76" i="42"/>
  <c r="N76" i="42"/>
  <c r="K76" i="42"/>
  <c r="L76" i="42" s="1"/>
  <c r="H76" i="42"/>
  <c r="I76" i="42" s="1"/>
  <c r="E76" i="42"/>
  <c r="F76" i="42" s="1"/>
  <c r="O75" i="42"/>
  <c r="N75" i="42"/>
  <c r="K75" i="42"/>
  <c r="L75" i="42" s="1"/>
  <c r="H75" i="42"/>
  <c r="I75" i="42" s="1"/>
  <c r="E75" i="42"/>
  <c r="F75" i="42" s="1"/>
  <c r="O74" i="42"/>
  <c r="N74" i="42"/>
  <c r="K74" i="42"/>
  <c r="L74" i="42" s="1"/>
  <c r="H74" i="42"/>
  <c r="I74" i="42" s="1"/>
  <c r="E74" i="42"/>
  <c r="F74" i="42" s="1"/>
  <c r="N73" i="42"/>
  <c r="O73" i="42" s="1"/>
  <c r="K73" i="42"/>
  <c r="L73" i="42" s="1"/>
  <c r="H73" i="42"/>
  <c r="I73" i="42" s="1"/>
  <c r="E73" i="42"/>
  <c r="F73" i="42" s="1"/>
  <c r="O72" i="42"/>
  <c r="N72" i="42"/>
  <c r="K72" i="42"/>
  <c r="L72" i="42" s="1"/>
  <c r="H72" i="42"/>
  <c r="I72" i="42" s="1"/>
  <c r="E72" i="42"/>
  <c r="F72" i="42" s="1"/>
  <c r="N71" i="42"/>
  <c r="K71" i="42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N62" i="42"/>
  <c r="O62" i="42" s="1"/>
  <c r="K62" i="42"/>
  <c r="L62" i="42" s="1"/>
  <c r="H62" i="42"/>
  <c r="I62" i="42" s="1"/>
  <c r="E62" i="42"/>
  <c r="F62" i="42" s="1"/>
  <c r="O61" i="42"/>
  <c r="N61" i="42"/>
  <c r="L61" i="42"/>
  <c r="K61" i="42"/>
  <c r="H61" i="42"/>
  <c r="I61" i="42" s="1"/>
  <c r="E61" i="42"/>
  <c r="F61" i="42" s="1"/>
  <c r="O60" i="42"/>
  <c r="N60" i="42"/>
  <c r="K60" i="42"/>
  <c r="L60" i="42" s="1"/>
  <c r="H60" i="42"/>
  <c r="I60" i="42" s="1"/>
  <c r="E60" i="42"/>
  <c r="F60" i="42" s="1"/>
  <c r="N59" i="42"/>
  <c r="O59" i="42" s="1"/>
  <c r="L59" i="42"/>
  <c r="K59" i="42"/>
  <c r="H59" i="42"/>
  <c r="I59" i="42" s="1"/>
  <c r="E59" i="42"/>
  <c r="F59" i="42" s="1"/>
  <c r="N58" i="42"/>
  <c r="O58" i="42" s="1"/>
  <c r="K58" i="42"/>
  <c r="L58" i="42" s="1"/>
  <c r="H58" i="42"/>
  <c r="I58" i="42" s="1"/>
  <c r="E58" i="42"/>
  <c r="F58" i="42" s="1"/>
  <c r="O57" i="42"/>
  <c r="N57" i="42"/>
  <c r="L57" i="42"/>
  <c r="K57" i="42"/>
  <c r="H57" i="42"/>
  <c r="I57" i="42" s="1"/>
  <c r="E57" i="42"/>
  <c r="F57" i="42" s="1"/>
  <c r="N56" i="42"/>
  <c r="O56" i="42" s="1"/>
  <c r="K56" i="42"/>
  <c r="L56" i="42" s="1"/>
  <c r="H56" i="42"/>
  <c r="I56" i="42" s="1"/>
  <c r="E56" i="42"/>
  <c r="F56" i="42" s="1"/>
  <c r="N55" i="42"/>
  <c r="O55" i="42" s="1"/>
  <c r="L55" i="42"/>
  <c r="K55" i="42"/>
  <c r="H55" i="42"/>
  <c r="I55" i="42" s="1"/>
  <c r="E55" i="42"/>
  <c r="F55" i="42" s="1"/>
  <c r="N54" i="42"/>
  <c r="O54" i="42" s="1"/>
  <c r="K54" i="42"/>
  <c r="L54" i="42" s="1"/>
  <c r="H54" i="42"/>
  <c r="I54" i="42" s="1"/>
  <c r="E54" i="42"/>
  <c r="F54" i="42" s="1"/>
  <c r="O53" i="42"/>
  <c r="N53" i="42"/>
  <c r="L53" i="42"/>
  <c r="K53" i="42"/>
  <c r="H53" i="42"/>
  <c r="I53" i="42" s="1"/>
  <c r="E53" i="42"/>
  <c r="F53" i="42" s="1"/>
  <c r="O52" i="42"/>
  <c r="N52" i="42"/>
  <c r="K52" i="42"/>
  <c r="L52" i="42" s="1"/>
  <c r="H52" i="42"/>
  <c r="I52" i="42" s="1"/>
  <c r="E52" i="42"/>
  <c r="F52" i="42" s="1"/>
  <c r="N51" i="42"/>
  <c r="O51" i="42" s="1"/>
  <c r="L51" i="42"/>
  <c r="K51" i="42"/>
  <c r="H51" i="42"/>
  <c r="I51" i="42" s="1"/>
  <c r="E51" i="42"/>
  <c r="F51" i="42" s="1"/>
  <c r="N50" i="42"/>
  <c r="O50" i="42" s="1"/>
  <c r="K50" i="42"/>
  <c r="L50" i="42" s="1"/>
  <c r="I50" i="42"/>
  <c r="H50" i="42"/>
  <c r="E50" i="42"/>
  <c r="F50" i="42" s="1"/>
  <c r="N49" i="42"/>
  <c r="O49" i="42" s="1"/>
  <c r="L49" i="42"/>
  <c r="K49" i="42"/>
  <c r="H49" i="42"/>
  <c r="I49" i="42" s="1"/>
  <c r="E49" i="42"/>
  <c r="F49" i="42" s="1"/>
  <c r="N48" i="42"/>
  <c r="O48" i="42" s="1"/>
  <c r="K48" i="42"/>
  <c r="L48" i="42" s="1"/>
  <c r="H48" i="42"/>
  <c r="I48" i="42" s="1"/>
  <c r="E48" i="42"/>
  <c r="F48" i="42" s="1"/>
  <c r="O47" i="42"/>
  <c r="N47" i="42"/>
  <c r="L47" i="42"/>
  <c r="K47" i="42"/>
  <c r="H47" i="42"/>
  <c r="I47" i="42" s="1"/>
  <c r="E47" i="42"/>
  <c r="F47" i="42" s="1"/>
  <c r="O46" i="42"/>
  <c r="N46" i="42"/>
  <c r="K46" i="42"/>
  <c r="L46" i="42" s="1"/>
  <c r="I46" i="42"/>
  <c r="H46" i="42"/>
  <c r="E46" i="42"/>
  <c r="F46" i="42" s="1"/>
  <c r="O45" i="42"/>
  <c r="N45" i="42"/>
  <c r="K45" i="42"/>
  <c r="L45" i="42" s="1"/>
  <c r="H45" i="42"/>
  <c r="I45" i="42" s="1"/>
  <c r="E45" i="42"/>
  <c r="F45" i="42" s="1"/>
  <c r="N44" i="42"/>
  <c r="L44" i="42"/>
  <c r="K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L195" i="41"/>
  <c r="K195" i="4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O190" i="41"/>
  <c r="N190" i="41"/>
  <c r="L190" i="41"/>
  <c r="K190" i="4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N199" i="41" s="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O170" i="41"/>
  <c r="N170" i="4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O168" i="41"/>
  <c r="N168" i="41"/>
  <c r="L168" i="41"/>
  <c r="K168" i="4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N163" i="41"/>
  <c r="O163" i="41" s="1"/>
  <c r="L163" i="41"/>
  <c r="K163" i="41"/>
  <c r="H163" i="41"/>
  <c r="I163" i="41" s="1"/>
  <c r="F163" i="41"/>
  <c r="E163" i="41"/>
  <c r="O162" i="41"/>
  <c r="N162" i="4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O156" i="41"/>
  <c r="N156" i="41"/>
  <c r="L156" i="41"/>
  <c r="K156" i="4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K153" i="41"/>
  <c r="L153" i="41" s="1"/>
  <c r="H153" i="41"/>
  <c r="I153" i="41" s="1"/>
  <c r="F153" i="41"/>
  <c r="E153" i="4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N144" i="41"/>
  <c r="O144" i="41" s="1"/>
  <c r="L144" i="41"/>
  <c r="K144" i="41"/>
  <c r="H144" i="41"/>
  <c r="I144" i="41" s="1"/>
  <c r="F144" i="41"/>
  <c r="E144" i="41"/>
  <c r="O143" i="41"/>
  <c r="N143" i="41"/>
  <c r="K143" i="41"/>
  <c r="L143" i="41" s="1"/>
  <c r="H143" i="41"/>
  <c r="I143" i="41" s="1"/>
  <c r="F143" i="41"/>
  <c r="E143" i="41"/>
  <c r="O142" i="41"/>
  <c r="N142" i="41"/>
  <c r="K142" i="41"/>
  <c r="L142" i="41" s="1"/>
  <c r="H142" i="41"/>
  <c r="I142" i="41" s="1"/>
  <c r="F142" i="41"/>
  <c r="E142" i="41"/>
  <c r="O141" i="41"/>
  <c r="N141" i="41"/>
  <c r="L141" i="41"/>
  <c r="K141" i="41"/>
  <c r="H141" i="41"/>
  <c r="I141" i="41" s="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O138" i="41"/>
  <c r="N138" i="4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N136" i="41"/>
  <c r="O136" i="41" s="1"/>
  <c r="L136" i="41"/>
  <c r="K136" i="41"/>
  <c r="H136" i="41"/>
  <c r="I136" i="41" s="1"/>
  <c r="F136" i="41"/>
  <c r="E136" i="41"/>
  <c r="O135" i="41"/>
  <c r="N135" i="4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O130" i="41"/>
  <c r="N130" i="41"/>
  <c r="K130" i="41"/>
  <c r="L130" i="41" s="1"/>
  <c r="H130" i="41"/>
  <c r="I130" i="41" s="1"/>
  <c r="F130" i="41"/>
  <c r="E130" i="41"/>
  <c r="N129" i="41"/>
  <c r="O129" i="41" s="1"/>
  <c r="K129" i="41"/>
  <c r="L129" i="41" s="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O126" i="41"/>
  <c r="N126" i="4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L114" i="41"/>
  <c r="K114" i="41"/>
  <c r="H114" i="41"/>
  <c r="I114" i="41" s="1"/>
  <c r="F114" i="41"/>
  <c r="E114" i="41"/>
  <c r="O113" i="41"/>
  <c r="N113" i="4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N111" i="41"/>
  <c r="O111" i="41" s="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N109" i="41"/>
  <c r="O109" i="41" s="1"/>
  <c r="L109" i="41"/>
  <c r="K109" i="41"/>
  <c r="H109" i="41"/>
  <c r="I109" i="41" s="1"/>
  <c r="F109" i="41"/>
  <c r="E109" i="41"/>
  <c r="O108" i="41"/>
  <c r="N108" i="4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O106" i="41"/>
  <c r="N106" i="4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N104" i="41"/>
  <c r="O104" i="41" s="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N102" i="41"/>
  <c r="O102" i="41" s="1"/>
  <c r="K102" i="41"/>
  <c r="L102" i="41" s="1"/>
  <c r="H102" i="41"/>
  <c r="I102" i="41" s="1"/>
  <c r="E102" i="41"/>
  <c r="F102" i="41" s="1"/>
  <c r="O101" i="41"/>
  <c r="N101" i="41"/>
  <c r="K101" i="41"/>
  <c r="L101" i="41" s="1"/>
  <c r="H101" i="41"/>
  <c r="I101" i="41" s="1"/>
  <c r="F101" i="41"/>
  <c r="E101" i="41"/>
  <c r="O100" i="41"/>
  <c r="N100" i="41"/>
  <c r="K100" i="41"/>
  <c r="L100" i="41" s="1"/>
  <c r="H100" i="41"/>
  <c r="I100" i="41" s="1"/>
  <c r="F100" i="41"/>
  <c r="E100" i="41"/>
  <c r="O99" i="41"/>
  <c r="N99" i="41"/>
  <c r="K99" i="41"/>
  <c r="L99" i="41" s="1"/>
  <c r="H99" i="41"/>
  <c r="I99" i="41" s="1"/>
  <c r="F99" i="41"/>
  <c r="E99" i="41"/>
  <c r="O98" i="41"/>
  <c r="N98" i="41"/>
  <c r="L98" i="41"/>
  <c r="K98" i="41"/>
  <c r="H98" i="41"/>
  <c r="F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H90" i="41"/>
  <c r="I90" i="41" s="1"/>
  <c r="E90" i="41"/>
  <c r="F90" i="41" s="1"/>
  <c r="O89" i="41"/>
  <c r="N89" i="41"/>
  <c r="K89" i="41"/>
  <c r="L89" i="41" s="1"/>
  <c r="I89" i="41"/>
  <c r="H89" i="41"/>
  <c r="E89" i="41"/>
  <c r="F89" i="41" s="1"/>
  <c r="N88" i="41"/>
  <c r="O88" i="41" s="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N86" i="41"/>
  <c r="O86" i="41" s="1"/>
  <c r="K86" i="41"/>
  <c r="L86" i="41" s="1"/>
  <c r="H86" i="41"/>
  <c r="I86" i="41" s="1"/>
  <c r="E86" i="41"/>
  <c r="F86" i="41" s="1"/>
  <c r="N85" i="41"/>
  <c r="O85" i="41" s="1"/>
  <c r="K85" i="41"/>
  <c r="L85" i="41" s="1"/>
  <c r="I85" i="41"/>
  <c r="H85" i="41"/>
  <c r="E85" i="41"/>
  <c r="F85" i="41" s="1"/>
  <c r="O84" i="41"/>
  <c r="N84" i="41"/>
  <c r="K84" i="41"/>
  <c r="L84" i="41" s="1"/>
  <c r="H84" i="41"/>
  <c r="I84" i="41" s="1"/>
  <c r="E84" i="41"/>
  <c r="F84" i="41" s="1"/>
  <c r="N83" i="41"/>
  <c r="O83" i="41" s="1"/>
  <c r="L83" i="41"/>
  <c r="K83" i="4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K81" i="41"/>
  <c r="L81" i="41" s="1"/>
  <c r="I81" i="41"/>
  <c r="H81" i="41"/>
  <c r="E81" i="41"/>
  <c r="F81" i="41" s="1"/>
  <c r="O80" i="41"/>
  <c r="N80" i="41"/>
  <c r="L80" i="41"/>
  <c r="K80" i="41"/>
  <c r="H80" i="41"/>
  <c r="I80" i="41" s="1"/>
  <c r="E80" i="41"/>
  <c r="F80" i="41" s="1"/>
  <c r="N79" i="41"/>
  <c r="O79" i="41" s="1"/>
  <c r="K79" i="41"/>
  <c r="L79" i="41" s="1"/>
  <c r="H79" i="41"/>
  <c r="I79" i="41" s="1"/>
  <c r="E79" i="41"/>
  <c r="F79" i="41" s="1"/>
  <c r="N78" i="41"/>
  <c r="O78" i="41" s="1"/>
  <c r="L78" i="41"/>
  <c r="K78" i="41"/>
  <c r="H78" i="41"/>
  <c r="I78" i="41" s="1"/>
  <c r="E78" i="41"/>
  <c r="F78" i="41" s="1"/>
  <c r="O77" i="41"/>
  <c r="N77" i="41"/>
  <c r="K77" i="41"/>
  <c r="L77" i="41" s="1"/>
  <c r="I77" i="41"/>
  <c r="H77" i="4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H75" i="41"/>
  <c r="I75" i="41" s="1"/>
  <c r="E75" i="41"/>
  <c r="F75" i="41" s="1"/>
  <c r="O74" i="41"/>
  <c r="N74" i="41"/>
  <c r="K74" i="41"/>
  <c r="L74" i="41" s="1"/>
  <c r="H74" i="41"/>
  <c r="I74" i="41" s="1"/>
  <c r="E74" i="41"/>
  <c r="F74" i="41" s="1"/>
  <c r="N73" i="41"/>
  <c r="O73" i="41" s="1"/>
  <c r="K73" i="41"/>
  <c r="L73" i="41" s="1"/>
  <c r="I73" i="41"/>
  <c r="H73" i="41"/>
  <c r="E73" i="41"/>
  <c r="F73" i="41" s="1"/>
  <c r="O72" i="41"/>
  <c r="N72" i="41"/>
  <c r="K72" i="41"/>
  <c r="L72" i="41" s="1"/>
  <c r="H72" i="41"/>
  <c r="I72" i="41" s="1"/>
  <c r="E72" i="41"/>
  <c r="F72" i="41" s="1"/>
  <c r="O71" i="41"/>
  <c r="N71" i="41"/>
  <c r="L71" i="41"/>
  <c r="K71" i="41"/>
  <c r="H71" i="41"/>
  <c r="E71" i="41"/>
  <c r="E91" i="41" s="1"/>
  <c r="M69" i="41"/>
  <c r="J69" i="41"/>
  <c r="G69" i="41"/>
  <c r="D69" i="41"/>
  <c r="B69" i="41"/>
  <c r="M68" i="41"/>
  <c r="G68" i="41"/>
  <c r="B64" i="41"/>
  <c r="N63" i="41"/>
  <c r="O63" i="41" s="1"/>
  <c r="K63" i="41"/>
  <c r="L63" i="41" s="1"/>
  <c r="H63" i="41"/>
  <c r="I63" i="41" s="1"/>
  <c r="E63" i="41"/>
  <c r="F63" i="41" s="1"/>
  <c r="O62" i="41"/>
  <c r="N62" i="41"/>
  <c r="L62" i="41"/>
  <c r="K62" i="41"/>
  <c r="I62" i="41"/>
  <c r="H62" i="41"/>
  <c r="E62" i="41"/>
  <c r="F62" i="41" s="1"/>
  <c r="N61" i="41"/>
  <c r="O61" i="41" s="1"/>
  <c r="K61" i="41"/>
  <c r="L61" i="41" s="1"/>
  <c r="H61" i="41"/>
  <c r="I61" i="41" s="1"/>
  <c r="E61" i="41"/>
  <c r="F61" i="41" s="1"/>
  <c r="O60" i="41"/>
  <c r="N60" i="41"/>
  <c r="K60" i="41"/>
  <c r="L60" i="41" s="1"/>
  <c r="H60" i="41"/>
  <c r="I60" i="41" s="1"/>
  <c r="E60" i="41"/>
  <c r="F60" i="41" s="1"/>
  <c r="O59" i="41"/>
  <c r="N59" i="41"/>
  <c r="K59" i="41"/>
  <c r="L59" i="41" s="1"/>
  <c r="H59" i="41"/>
  <c r="I59" i="41" s="1"/>
  <c r="E59" i="41"/>
  <c r="F59" i="41" s="1"/>
  <c r="N58" i="41"/>
  <c r="O58" i="41" s="1"/>
  <c r="K58" i="41"/>
  <c r="L58" i="41" s="1"/>
  <c r="I58" i="41"/>
  <c r="H58" i="41"/>
  <c r="E58" i="41"/>
  <c r="F58" i="41" s="1"/>
  <c r="O57" i="41"/>
  <c r="N57" i="41"/>
  <c r="L57" i="41"/>
  <c r="K57" i="41"/>
  <c r="H57" i="41"/>
  <c r="I57" i="41" s="1"/>
  <c r="E57" i="41"/>
  <c r="F57" i="41" s="1"/>
  <c r="N56" i="41"/>
  <c r="O56" i="41" s="1"/>
  <c r="K56" i="41"/>
  <c r="L56" i="41" s="1"/>
  <c r="H56" i="41"/>
  <c r="I56" i="41" s="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H52" i="41"/>
  <c r="I52" i="41" s="1"/>
  <c r="E52" i="41"/>
  <c r="F52" i="41" s="1"/>
  <c r="O51" i="41"/>
  <c r="N51" i="41"/>
  <c r="K51" i="41"/>
  <c r="L51" i="41" s="1"/>
  <c r="H51" i="41"/>
  <c r="I51" i="41" s="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K49" i="41"/>
  <c r="L49" i="41" s="1"/>
  <c r="H49" i="41"/>
  <c r="I49" i="41" s="1"/>
  <c r="E49" i="41"/>
  <c r="F49" i="41" s="1"/>
  <c r="O48" i="41"/>
  <c r="N48" i="41"/>
  <c r="L48" i="41"/>
  <c r="K48" i="41"/>
  <c r="H48" i="41"/>
  <c r="I48" i="41" s="1"/>
  <c r="E48" i="41"/>
  <c r="F48" i="41" s="1"/>
  <c r="N47" i="41"/>
  <c r="O47" i="41" s="1"/>
  <c r="K47" i="41"/>
  <c r="L47" i="41" s="1"/>
  <c r="H47" i="41"/>
  <c r="I47" i="41" s="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F171" i="40"/>
  <c r="E171" i="40"/>
  <c r="N170" i="40"/>
  <c r="O170" i="40" s="1"/>
  <c r="K170" i="40"/>
  <c r="L170" i="40" s="1"/>
  <c r="H170" i="40"/>
  <c r="I170" i="40" s="1"/>
  <c r="F170" i="40"/>
  <c r="E170" i="40"/>
  <c r="O169" i="40"/>
  <c r="N169" i="40"/>
  <c r="K169" i="40"/>
  <c r="L169" i="40" s="1"/>
  <c r="H169" i="40"/>
  <c r="I169" i="40" s="1"/>
  <c r="F169" i="40"/>
  <c r="E169" i="40"/>
  <c r="N168" i="40"/>
  <c r="O168" i="40" s="1"/>
  <c r="L168" i="40"/>
  <c r="K168" i="40"/>
  <c r="H168" i="40"/>
  <c r="I168" i="40" s="1"/>
  <c r="F168" i="40"/>
  <c r="E168" i="40"/>
  <c r="N167" i="40"/>
  <c r="O167" i="40" s="1"/>
  <c r="L167" i="40"/>
  <c r="K167" i="40"/>
  <c r="H167" i="40"/>
  <c r="I167" i="40" s="1"/>
  <c r="F167" i="40"/>
  <c r="E167" i="40"/>
  <c r="N166" i="40"/>
  <c r="O166" i="40" s="1"/>
  <c r="K166" i="40"/>
  <c r="L166" i="40" s="1"/>
  <c r="H166" i="40"/>
  <c r="I166" i="40" s="1"/>
  <c r="F166" i="40"/>
  <c r="E166" i="40"/>
  <c r="N165" i="40"/>
  <c r="O165" i="40" s="1"/>
  <c r="K165" i="40"/>
  <c r="L165" i="40" s="1"/>
  <c r="H165" i="40"/>
  <c r="I165" i="40" s="1"/>
  <c r="F165" i="40"/>
  <c r="E165" i="40"/>
  <c r="N164" i="40"/>
  <c r="O164" i="40" s="1"/>
  <c r="K164" i="40"/>
  <c r="L164" i="40" s="1"/>
  <c r="H164" i="40"/>
  <c r="I164" i="40" s="1"/>
  <c r="F164" i="40"/>
  <c r="E164" i="40"/>
  <c r="N163" i="40"/>
  <c r="O163" i="40" s="1"/>
  <c r="L163" i="40"/>
  <c r="K163" i="40"/>
  <c r="H163" i="40"/>
  <c r="I163" i="40" s="1"/>
  <c r="F163" i="40"/>
  <c r="E163" i="40"/>
  <c r="N162" i="40"/>
  <c r="O162" i="40" s="1"/>
  <c r="K162" i="40"/>
  <c r="L162" i="40" s="1"/>
  <c r="H162" i="40"/>
  <c r="I162" i="40" s="1"/>
  <c r="F162" i="40"/>
  <c r="E162" i="40"/>
  <c r="O161" i="40"/>
  <c r="N161" i="40"/>
  <c r="K161" i="40"/>
  <c r="L161" i="40" s="1"/>
  <c r="H161" i="40"/>
  <c r="I161" i="40" s="1"/>
  <c r="F161" i="40"/>
  <c r="E161" i="40"/>
  <c r="N160" i="40"/>
  <c r="O160" i="40" s="1"/>
  <c r="L160" i="40"/>
  <c r="K160" i="40"/>
  <c r="H160" i="40"/>
  <c r="I160" i="40" s="1"/>
  <c r="F160" i="40"/>
  <c r="E160" i="40"/>
  <c r="N159" i="40"/>
  <c r="O159" i="40" s="1"/>
  <c r="L159" i="40"/>
  <c r="K159" i="40"/>
  <c r="H159" i="40"/>
  <c r="I159" i="40" s="1"/>
  <c r="F159" i="40"/>
  <c r="E159" i="40"/>
  <c r="O158" i="40"/>
  <c r="N158" i="40"/>
  <c r="K158" i="40"/>
  <c r="L158" i="40" s="1"/>
  <c r="H158" i="40"/>
  <c r="I158" i="40" s="1"/>
  <c r="F158" i="40"/>
  <c r="E158" i="40"/>
  <c r="O157" i="40"/>
  <c r="N157" i="40"/>
  <c r="K157" i="40"/>
  <c r="L157" i="40" s="1"/>
  <c r="H157" i="40"/>
  <c r="I157" i="40" s="1"/>
  <c r="F157" i="40"/>
  <c r="E157" i="40"/>
  <c r="O156" i="40"/>
  <c r="N156" i="40"/>
  <c r="K156" i="40"/>
  <c r="L156" i="40" s="1"/>
  <c r="H156" i="40"/>
  <c r="I156" i="40" s="1"/>
  <c r="F156" i="40"/>
  <c r="E156" i="40"/>
  <c r="O155" i="40"/>
  <c r="N155" i="40"/>
  <c r="L155" i="40"/>
  <c r="K155" i="40"/>
  <c r="H155" i="40"/>
  <c r="I155" i="40" s="1"/>
  <c r="F155" i="40"/>
  <c r="E155" i="40"/>
  <c r="N154" i="40"/>
  <c r="O154" i="40" s="1"/>
  <c r="K154" i="40"/>
  <c r="L154" i="40" s="1"/>
  <c r="H154" i="40"/>
  <c r="I154" i="40" s="1"/>
  <c r="F154" i="40"/>
  <c r="E154" i="40"/>
  <c r="N153" i="40"/>
  <c r="O153" i="40" s="1"/>
  <c r="K153" i="40"/>
  <c r="L153" i="40" s="1"/>
  <c r="H153" i="40"/>
  <c r="I153" i="40" s="1"/>
  <c r="F153" i="40"/>
  <c r="E153" i="40"/>
  <c r="N152" i="40"/>
  <c r="K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L144" i="40"/>
  <c r="K144" i="40"/>
  <c r="H144" i="40"/>
  <c r="I144" i="40" s="1"/>
  <c r="F144" i="40"/>
  <c r="E144" i="40"/>
  <c r="N143" i="40"/>
  <c r="O143" i="40" s="1"/>
  <c r="K143" i="40"/>
  <c r="L143" i="40" s="1"/>
  <c r="H143" i="40"/>
  <c r="I143" i="40" s="1"/>
  <c r="F143" i="40"/>
  <c r="E143" i="40"/>
  <c r="O142" i="40"/>
  <c r="N142" i="40"/>
  <c r="K142" i="40"/>
  <c r="L142" i="40" s="1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F138" i="40"/>
  <c r="E138" i="40"/>
  <c r="N137" i="40"/>
  <c r="O137" i="40" s="1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O135" i="40"/>
  <c r="N135" i="40"/>
  <c r="K135" i="40"/>
  <c r="L135" i="40" s="1"/>
  <c r="H135" i="40"/>
  <c r="I135" i="40" s="1"/>
  <c r="F135" i="40"/>
  <c r="E135" i="40"/>
  <c r="N134" i="40"/>
  <c r="O134" i="40" s="1"/>
  <c r="K134" i="40"/>
  <c r="L134" i="40" s="1"/>
  <c r="H134" i="40"/>
  <c r="I134" i="40" s="1"/>
  <c r="F134" i="40"/>
  <c r="E134" i="40"/>
  <c r="O133" i="40"/>
  <c r="N133" i="40"/>
  <c r="K133" i="40"/>
  <c r="L133" i="40" s="1"/>
  <c r="H133" i="40"/>
  <c r="I133" i="40" s="1"/>
  <c r="F133" i="40"/>
  <c r="E133" i="40"/>
  <c r="N132" i="40"/>
  <c r="O132" i="40" s="1"/>
  <c r="L132" i="40"/>
  <c r="K132" i="40"/>
  <c r="H132" i="40"/>
  <c r="I132" i="40" s="1"/>
  <c r="F132" i="40"/>
  <c r="E132" i="40"/>
  <c r="O131" i="40"/>
  <c r="N131" i="40"/>
  <c r="K131" i="40"/>
  <c r="L131" i="40" s="1"/>
  <c r="H131" i="40"/>
  <c r="I131" i="40" s="1"/>
  <c r="F131" i="40"/>
  <c r="E131" i="40"/>
  <c r="N130" i="40"/>
  <c r="O130" i="40" s="1"/>
  <c r="K130" i="40"/>
  <c r="L130" i="40" s="1"/>
  <c r="H130" i="40"/>
  <c r="I130" i="40" s="1"/>
  <c r="F130" i="40"/>
  <c r="E130" i="40"/>
  <c r="N129" i="40"/>
  <c r="O129" i="40" s="1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O126" i="40"/>
  <c r="N126" i="40"/>
  <c r="K126" i="40"/>
  <c r="L126" i="40" s="1"/>
  <c r="H126" i="40"/>
  <c r="I126" i="40" s="1"/>
  <c r="F126" i="40"/>
  <c r="E126" i="40"/>
  <c r="O125" i="40"/>
  <c r="N125" i="40"/>
  <c r="K125" i="40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O115" i="40"/>
  <c r="N115" i="40"/>
  <c r="K115" i="40"/>
  <c r="L115" i="40" s="1"/>
  <c r="H115" i="40"/>
  <c r="I115" i="40" s="1"/>
  <c r="F115" i="40"/>
  <c r="E115" i="40"/>
  <c r="N114" i="40"/>
  <c r="O114" i="40" s="1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N111" i="40"/>
  <c r="O111" i="40" s="1"/>
  <c r="K111" i="40"/>
  <c r="L111" i="40" s="1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O107" i="40"/>
  <c r="N107" i="40"/>
  <c r="K107" i="40"/>
  <c r="L107" i="40" s="1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O102" i="40"/>
  <c r="N102" i="40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K99" i="40"/>
  <c r="L99" i="40" s="1"/>
  <c r="H99" i="40"/>
  <c r="I99" i="40" s="1"/>
  <c r="F99" i="40"/>
  <c r="E99" i="40"/>
  <c r="N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L90" i="40"/>
  <c r="K90" i="40"/>
  <c r="H90" i="40"/>
  <c r="I90" i="40" s="1"/>
  <c r="E90" i="40"/>
  <c r="F90" i="40" s="1"/>
  <c r="N89" i="40"/>
  <c r="O89" i="40" s="1"/>
  <c r="K89" i="40"/>
  <c r="L89" i="40" s="1"/>
  <c r="H89" i="40"/>
  <c r="I89" i="40" s="1"/>
  <c r="F89" i="40"/>
  <c r="E89" i="40"/>
  <c r="N88" i="40"/>
  <c r="O88" i="40" s="1"/>
  <c r="L88" i="40"/>
  <c r="K88" i="40"/>
  <c r="H88" i="40"/>
  <c r="I88" i="40" s="1"/>
  <c r="F88" i="40"/>
  <c r="E88" i="40"/>
  <c r="N87" i="40"/>
  <c r="O87" i="40" s="1"/>
  <c r="L87" i="40"/>
  <c r="K87" i="40"/>
  <c r="H87" i="40"/>
  <c r="I87" i="40" s="1"/>
  <c r="F87" i="40"/>
  <c r="E87" i="40"/>
  <c r="N86" i="40"/>
  <c r="O86" i="40" s="1"/>
  <c r="K86" i="40"/>
  <c r="L86" i="40" s="1"/>
  <c r="H86" i="40"/>
  <c r="I86" i="40" s="1"/>
  <c r="F86" i="40"/>
  <c r="E86" i="40"/>
  <c r="N85" i="40"/>
  <c r="O85" i="40" s="1"/>
  <c r="K85" i="40"/>
  <c r="L85" i="40" s="1"/>
  <c r="H85" i="40"/>
  <c r="I85" i="40" s="1"/>
  <c r="F85" i="40"/>
  <c r="E85" i="40"/>
  <c r="N84" i="40"/>
  <c r="O84" i="40" s="1"/>
  <c r="L84" i="40"/>
  <c r="K84" i="40"/>
  <c r="H84" i="40"/>
  <c r="I84" i="40" s="1"/>
  <c r="F84" i="40"/>
  <c r="E84" i="40"/>
  <c r="O83" i="40"/>
  <c r="N83" i="40"/>
  <c r="L83" i="40"/>
  <c r="K83" i="40"/>
  <c r="H83" i="40"/>
  <c r="I83" i="40" s="1"/>
  <c r="F83" i="40"/>
  <c r="E83" i="40"/>
  <c r="N82" i="40"/>
  <c r="O82" i="40" s="1"/>
  <c r="K82" i="40"/>
  <c r="L82" i="40" s="1"/>
  <c r="H82" i="40"/>
  <c r="I82" i="40" s="1"/>
  <c r="F82" i="40"/>
  <c r="E82" i="40"/>
  <c r="N81" i="40"/>
  <c r="O81" i="40" s="1"/>
  <c r="K81" i="40"/>
  <c r="L81" i="40" s="1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N79" i="40"/>
  <c r="O79" i="40" s="1"/>
  <c r="L79" i="40"/>
  <c r="K79" i="40"/>
  <c r="H79" i="40"/>
  <c r="I79" i="40" s="1"/>
  <c r="F79" i="40"/>
  <c r="E79" i="40"/>
  <c r="O78" i="40"/>
  <c r="N78" i="40"/>
  <c r="K78" i="40"/>
  <c r="L78" i="40" s="1"/>
  <c r="H78" i="40"/>
  <c r="I78" i="40" s="1"/>
  <c r="F78" i="40"/>
  <c r="E78" i="40"/>
  <c r="N77" i="40"/>
  <c r="O77" i="40" s="1"/>
  <c r="K77" i="40"/>
  <c r="L77" i="40" s="1"/>
  <c r="H77" i="40"/>
  <c r="I77" i="40" s="1"/>
  <c r="F77" i="40"/>
  <c r="E77" i="40"/>
  <c r="O76" i="40"/>
  <c r="N76" i="40"/>
  <c r="K76" i="40"/>
  <c r="L76" i="40" s="1"/>
  <c r="H76" i="40"/>
  <c r="I76" i="40" s="1"/>
  <c r="F76" i="40"/>
  <c r="E76" i="40"/>
  <c r="N75" i="40"/>
  <c r="O75" i="40" s="1"/>
  <c r="L75" i="40"/>
  <c r="K75" i="40"/>
  <c r="H75" i="40"/>
  <c r="I75" i="40" s="1"/>
  <c r="F75" i="40"/>
  <c r="E75" i="40"/>
  <c r="N74" i="40"/>
  <c r="O74" i="40" s="1"/>
  <c r="K74" i="40"/>
  <c r="L74" i="40" s="1"/>
  <c r="H74" i="40"/>
  <c r="I74" i="40" s="1"/>
  <c r="F74" i="40"/>
  <c r="E74" i="40"/>
  <c r="N73" i="40"/>
  <c r="O73" i="40" s="1"/>
  <c r="K73" i="40"/>
  <c r="L73" i="40" s="1"/>
  <c r="H73" i="40"/>
  <c r="I73" i="40" s="1"/>
  <c r="E73" i="40"/>
  <c r="F73" i="40" s="1"/>
  <c r="O72" i="40"/>
  <c r="N72" i="40"/>
  <c r="L72" i="40"/>
  <c r="K72" i="40"/>
  <c r="I72" i="40"/>
  <c r="H72" i="40"/>
  <c r="E72" i="40"/>
  <c r="F72" i="40" s="1"/>
  <c r="N71" i="40"/>
  <c r="N91" i="40" s="1"/>
  <c r="K71" i="40"/>
  <c r="K91" i="40" s="1"/>
  <c r="H71" i="40"/>
  <c r="H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K63" i="40"/>
  <c r="L63" i="40" s="1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F62" i="40" s="1"/>
  <c r="O61" i="40"/>
  <c r="N61" i="40"/>
  <c r="K61" i="40"/>
  <c r="L61" i="40" s="1"/>
  <c r="I61" i="40"/>
  <c r="H61" i="40"/>
  <c r="E61" i="40"/>
  <c r="F61" i="40" s="1"/>
  <c r="O60" i="40"/>
  <c r="N60" i="40"/>
  <c r="L60" i="40"/>
  <c r="K60" i="40"/>
  <c r="H60" i="40"/>
  <c r="I60" i="40" s="1"/>
  <c r="E60" i="40"/>
  <c r="F60" i="40" s="1"/>
  <c r="O59" i="40"/>
  <c r="N59" i="40"/>
  <c r="K59" i="40"/>
  <c r="L59" i="40" s="1"/>
  <c r="H59" i="40"/>
  <c r="I59" i="40" s="1"/>
  <c r="E59" i="40"/>
  <c r="F59" i="40" s="1"/>
  <c r="N58" i="40"/>
  <c r="O58" i="40" s="1"/>
  <c r="L58" i="40"/>
  <c r="K58" i="40"/>
  <c r="H58" i="40"/>
  <c r="I58" i="40" s="1"/>
  <c r="E58" i="40"/>
  <c r="F58" i="40" s="1"/>
  <c r="N57" i="40"/>
  <c r="O57" i="40" s="1"/>
  <c r="K57" i="40"/>
  <c r="L57" i="40" s="1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O55" i="40"/>
  <c r="N55" i="40"/>
  <c r="K55" i="40"/>
  <c r="L55" i="40" s="1"/>
  <c r="H55" i="40"/>
  <c r="I55" i="40" s="1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I53" i="40"/>
  <c r="H53" i="40"/>
  <c r="E53" i="40"/>
  <c r="F53" i="40" s="1"/>
  <c r="O52" i="40"/>
  <c r="N52" i="40"/>
  <c r="K52" i="40"/>
  <c r="L52" i="40" s="1"/>
  <c r="H52" i="40"/>
  <c r="I52" i="40" s="1"/>
  <c r="E52" i="40"/>
  <c r="F52" i="40" s="1"/>
  <c r="N51" i="40"/>
  <c r="O51" i="40" s="1"/>
  <c r="L51" i="40"/>
  <c r="K51" i="40"/>
  <c r="H51" i="40"/>
  <c r="I51" i="40" s="1"/>
  <c r="E51" i="40"/>
  <c r="F51" i="40" s="1"/>
  <c r="N50" i="40"/>
  <c r="O50" i="40" s="1"/>
  <c r="K50" i="40"/>
  <c r="L50" i="40" s="1"/>
  <c r="H50" i="40"/>
  <c r="I50" i="40" s="1"/>
  <c r="E50" i="40"/>
  <c r="F50" i="40" s="1"/>
  <c r="O49" i="40"/>
  <c r="N49" i="40"/>
  <c r="L49" i="40"/>
  <c r="K49" i="40"/>
  <c r="I49" i="40"/>
  <c r="H49" i="40"/>
  <c r="E49" i="40"/>
  <c r="F49" i="40" s="1"/>
  <c r="N48" i="40"/>
  <c r="O48" i="40" s="1"/>
  <c r="K48" i="40"/>
  <c r="L48" i="40" s="1"/>
  <c r="H48" i="40"/>
  <c r="I48" i="40" s="1"/>
  <c r="E48" i="40"/>
  <c r="F48" i="40" s="1"/>
  <c r="O47" i="40"/>
  <c r="N47" i="40"/>
  <c r="K47" i="40"/>
  <c r="L47" i="40" s="1"/>
  <c r="H47" i="40"/>
  <c r="I47" i="40" s="1"/>
  <c r="E47" i="40"/>
  <c r="F47" i="40" s="1"/>
  <c r="N46" i="40"/>
  <c r="O46" i="40" s="1"/>
  <c r="K46" i="40"/>
  <c r="L46" i="40" s="1"/>
  <c r="H46" i="40"/>
  <c r="I46" i="40" s="1"/>
  <c r="E46" i="40"/>
  <c r="F46" i="40" s="1"/>
  <c r="O45" i="40"/>
  <c r="N45" i="40"/>
  <c r="K45" i="40"/>
  <c r="L45" i="40" s="1"/>
  <c r="I45" i="40"/>
  <c r="H45" i="40"/>
  <c r="E45" i="40"/>
  <c r="F45" i="40" s="1"/>
  <c r="O44" i="40"/>
  <c r="N44" i="40"/>
  <c r="L44" i="40"/>
  <c r="K44" i="40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L195" i="39"/>
  <c r="K195" i="39"/>
  <c r="H195" i="39"/>
  <c r="I195" i="39" s="1"/>
  <c r="F195" i="39"/>
  <c r="E195" i="39"/>
  <c r="O194" i="39"/>
  <c r="N194" i="39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O189" i="39"/>
  <c r="N189" i="39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L187" i="39"/>
  <c r="K187" i="39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O184" i="39"/>
  <c r="N184" i="39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O182" i="39"/>
  <c r="N182" i="39"/>
  <c r="L182" i="39"/>
  <c r="K182" i="39"/>
  <c r="H182" i="39"/>
  <c r="I182" i="39" s="1"/>
  <c r="F182" i="39"/>
  <c r="E182" i="39"/>
  <c r="N181" i="39"/>
  <c r="O181" i="39" s="1"/>
  <c r="K181" i="39"/>
  <c r="L181" i="39" s="1"/>
  <c r="I181" i="39"/>
  <c r="H181" i="39"/>
  <c r="F181" i="39"/>
  <c r="E181" i="39"/>
  <c r="N180" i="39"/>
  <c r="O180" i="39" s="1"/>
  <c r="K180" i="39"/>
  <c r="L180" i="39" s="1"/>
  <c r="I180" i="39"/>
  <c r="H180" i="39"/>
  <c r="F180" i="39"/>
  <c r="E180" i="39"/>
  <c r="N179" i="39"/>
  <c r="O179" i="39" s="1"/>
  <c r="K179" i="39"/>
  <c r="K199" i="39" s="1"/>
  <c r="I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K167" i="39"/>
  <c r="L167" i="39" s="1"/>
  <c r="H167" i="39"/>
  <c r="I167" i="39" s="1"/>
  <c r="F167" i="39"/>
  <c r="E167" i="39"/>
  <c r="N166" i="39"/>
  <c r="O166" i="39" s="1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N164" i="39"/>
  <c r="O164" i="39" s="1"/>
  <c r="L164" i="39"/>
  <c r="K164" i="39"/>
  <c r="H164" i="39"/>
  <c r="I164" i="39" s="1"/>
  <c r="F164" i="39"/>
  <c r="E164" i="39"/>
  <c r="N163" i="39"/>
  <c r="O163" i="39" s="1"/>
  <c r="K163" i="39"/>
  <c r="L163" i="39" s="1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N161" i="39"/>
  <c r="O161" i="39" s="1"/>
  <c r="K161" i="39"/>
  <c r="L161" i="39" s="1"/>
  <c r="H161" i="39"/>
  <c r="I161" i="39" s="1"/>
  <c r="F161" i="39"/>
  <c r="E161" i="39"/>
  <c r="O160" i="39"/>
  <c r="N160" i="39"/>
  <c r="L160" i="39"/>
  <c r="K160" i="39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N156" i="39"/>
  <c r="O156" i="39" s="1"/>
  <c r="L156" i="39"/>
  <c r="K156" i="39"/>
  <c r="H156" i="39"/>
  <c r="I156" i="39" s="1"/>
  <c r="F156" i="39"/>
  <c r="E156" i="39"/>
  <c r="O155" i="39"/>
  <c r="N155" i="39"/>
  <c r="K155" i="39"/>
  <c r="L155" i="39" s="1"/>
  <c r="H155" i="39"/>
  <c r="I155" i="39" s="1"/>
  <c r="F155" i="39"/>
  <c r="E155" i="39"/>
  <c r="O154" i="39"/>
  <c r="N154" i="39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O152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N144" i="39"/>
  <c r="O144" i="39" s="1"/>
  <c r="L144" i="39"/>
  <c r="K144" i="39"/>
  <c r="I144" i="39"/>
  <c r="H144" i="39"/>
  <c r="E144" i="39"/>
  <c r="F144" i="39" s="1"/>
  <c r="O143" i="39"/>
  <c r="N143" i="39"/>
  <c r="L143" i="39"/>
  <c r="K143" i="39"/>
  <c r="H143" i="39"/>
  <c r="I143" i="39" s="1"/>
  <c r="E143" i="39"/>
  <c r="F143" i="39" s="1"/>
  <c r="N142" i="39"/>
  <c r="O142" i="39" s="1"/>
  <c r="K142" i="39"/>
  <c r="L142" i="39" s="1"/>
  <c r="H142" i="39"/>
  <c r="I142" i="39" s="1"/>
  <c r="E142" i="39"/>
  <c r="F142" i="39" s="1"/>
  <c r="N141" i="39"/>
  <c r="O141" i="39" s="1"/>
  <c r="L141" i="39"/>
  <c r="K141" i="39"/>
  <c r="H141" i="39"/>
  <c r="I141" i="39" s="1"/>
  <c r="E141" i="39"/>
  <c r="F141" i="39" s="1"/>
  <c r="N140" i="39"/>
  <c r="O140" i="39" s="1"/>
  <c r="K140" i="39"/>
  <c r="L140" i="39" s="1"/>
  <c r="I140" i="39"/>
  <c r="H140" i="39"/>
  <c r="E140" i="39"/>
  <c r="F140" i="39" s="1"/>
  <c r="N139" i="39"/>
  <c r="O139" i="39" s="1"/>
  <c r="L139" i="39"/>
  <c r="K139" i="39"/>
  <c r="H139" i="39"/>
  <c r="I139" i="39" s="1"/>
  <c r="E139" i="39"/>
  <c r="F139" i="39" s="1"/>
  <c r="N138" i="39"/>
  <c r="O138" i="39" s="1"/>
  <c r="K138" i="39"/>
  <c r="L138" i="39" s="1"/>
  <c r="H138" i="39"/>
  <c r="I138" i="39" s="1"/>
  <c r="E138" i="39"/>
  <c r="F138" i="39" s="1"/>
  <c r="N137" i="39"/>
  <c r="O137" i="39" s="1"/>
  <c r="L137" i="39"/>
  <c r="K137" i="39"/>
  <c r="H137" i="39"/>
  <c r="I137" i="39" s="1"/>
  <c r="E137" i="39"/>
  <c r="F137" i="39" s="1"/>
  <c r="O136" i="39"/>
  <c r="N136" i="39"/>
  <c r="K136" i="39"/>
  <c r="L136" i="39" s="1"/>
  <c r="I136" i="39"/>
  <c r="H136" i="39"/>
  <c r="E136" i="39"/>
  <c r="F136" i="39" s="1"/>
  <c r="N135" i="39"/>
  <c r="O135" i="39" s="1"/>
  <c r="K135" i="39"/>
  <c r="L135" i="39" s="1"/>
  <c r="H135" i="39"/>
  <c r="I135" i="39" s="1"/>
  <c r="E135" i="39"/>
  <c r="F135" i="39" s="1"/>
  <c r="N134" i="39"/>
  <c r="O134" i="39" s="1"/>
  <c r="L134" i="39"/>
  <c r="K134" i="39"/>
  <c r="H134" i="39"/>
  <c r="I134" i="39" s="1"/>
  <c r="E134" i="39"/>
  <c r="F134" i="39" s="1"/>
  <c r="N133" i="39"/>
  <c r="O133" i="39" s="1"/>
  <c r="K133" i="39"/>
  <c r="L133" i="39" s="1"/>
  <c r="H133" i="39"/>
  <c r="I133" i="39" s="1"/>
  <c r="E133" i="39"/>
  <c r="F133" i="39" s="1"/>
  <c r="N132" i="39"/>
  <c r="O132" i="39" s="1"/>
  <c r="L132" i="39"/>
  <c r="K132" i="39"/>
  <c r="I132" i="39"/>
  <c r="H132" i="39"/>
  <c r="E132" i="39"/>
  <c r="F132" i="39" s="1"/>
  <c r="N131" i="39"/>
  <c r="O131" i="39" s="1"/>
  <c r="K131" i="39"/>
  <c r="L131" i="39" s="1"/>
  <c r="H131" i="39"/>
  <c r="I131" i="39" s="1"/>
  <c r="E131" i="39"/>
  <c r="F131" i="39" s="1"/>
  <c r="N130" i="39"/>
  <c r="O130" i="39" s="1"/>
  <c r="K130" i="39"/>
  <c r="L130" i="39" s="1"/>
  <c r="H130" i="39"/>
  <c r="I130" i="39" s="1"/>
  <c r="E130" i="39"/>
  <c r="F130" i="39" s="1"/>
  <c r="N129" i="39"/>
  <c r="O129" i="39" s="1"/>
  <c r="K129" i="39"/>
  <c r="L129" i="39" s="1"/>
  <c r="H129" i="39"/>
  <c r="I129" i="39" s="1"/>
  <c r="E129" i="39"/>
  <c r="F129" i="39" s="1"/>
  <c r="O128" i="39"/>
  <c r="N128" i="39"/>
  <c r="K128" i="39"/>
  <c r="L128" i="39" s="1"/>
  <c r="I128" i="39"/>
  <c r="H128" i="39"/>
  <c r="E128" i="39"/>
  <c r="F128" i="39" s="1"/>
  <c r="N127" i="39"/>
  <c r="O127" i="39" s="1"/>
  <c r="L127" i="39"/>
  <c r="K127" i="39"/>
  <c r="H127" i="39"/>
  <c r="I127" i="39" s="1"/>
  <c r="E127" i="39"/>
  <c r="F127" i="39" s="1"/>
  <c r="O126" i="39"/>
  <c r="N126" i="39"/>
  <c r="K126" i="39"/>
  <c r="L126" i="39" s="1"/>
  <c r="H126" i="39"/>
  <c r="I126" i="39" s="1"/>
  <c r="E126" i="39"/>
  <c r="F126" i="39" s="1"/>
  <c r="N125" i="39"/>
  <c r="L125" i="39"/>
  <c r="K125" i="39"/>
  <c r="K145" i="39" s="1"/>
  <c r="H125" i="39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I117" i="39"/>
  <c r="H117" i="39"/>
  <c r="E117" i="39"/>
  <c r="F117" i="39" s="1"/>
  <c r="N116" i="39"/>
  <c r="O116" i="39" s="1"/>
  <c r="K116" i="39"/>
  <c r="L116" i="39" s="1"/>
  <c r="H116" i="39"/>
  <c r="I116" i="39" s="1"/>
  <c r="E116" i="39"/>
  <c r="F116" i="39" s="1"/>
  <c r="N115" i="39"/>
  <c r="O115" i="39" s="1"/>
  <c r="K115" i="39"/>
  <c r="L115" i="39" s="1"/>
  <c r="H115" i="39"/>
  <c r="I115" i="39" s="1"/>
  <c r="E115" i="39"/>
  <c r="F115" i="39" s="1"/>
  <c r="N114" i="39"/>
  <c r="O114" i="39" s="1"/>
  <c r="K114" i="39"/>
  <c r="L114" i="39" s="1"/>
  <c r="I114" i="39"/>
  <c r="H114" i="39"/>
  <c r="E114" i="39"/>
  <c r="F114" i="39" s="1"/>
  <c r="N113" i="39"/>
  <c r="O113" i="39" s="1"/>
  <c r="L113" i="39"/>
  <c r="K113" i="39"/>
  <c r="I113" i="39"/>
  <c r="H113" i="39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L111" i="39"/>
  <c r="K111" i="39"/>
  <c r="H111" i="39"/>
  <c r="I111" i="39" s="1"/>
  <c r="E111" i="39"/>
  <c r="F111" i="39" s="1"/>
  <c r="N110" i="39"/>
  <c r="O110" i="39" s="1"/>
  <c r="K110" i="39"/>
  <c r="L110" i="39" s="1"/>
  <c r="I110" i="39"/>
  <c r="H110" i="39"/>
  <c r="E110" i="39"/>
  <c r="F110" i="39" s="1"/>
  <c r="N109" i="39"/>
  <c r="O109" i="39" s="1"/>
  <c r="K109" i="39"/>
  <c r="L109" i="39" s="1"/>
  <c r="I109" i="39"/>
  <c r="H109" i="39"/>
  <c r="E109" i="39"/>
  <c r="F109" i="39" s="1"/>
  <c r="N108" i="39"/>
  <c r="O108" i="39" s="1"/>
  <c r="K108" i="39"/>
  <c r="L108" i="39" s="1"/>
  <c r="H108" i="39"/>
  <c r="I108" i="39" s="1"/>
  <c r="E108" i="39"/>
  <c r="F108" i="39" s="1"/>
  <c r="O107" i="39"/>
  <c r="N107" i="39"/>
  <c r="K107" i="39"/>
  <c r="L107" i="39" s="1"/>
  <c r="H107" i="39"/>
  <c r="I107" i="39" s="1"/>
  <c r="E107" i="39"/>
  <c r="F107" i="39" s="1"/>
  <c r="O106" i="39"/>
  <c r="N106" i="39"/>
  <c r="K106" i="39"/>
  <c r="L106" i="39" s="1"/>
  <c r="H106" i="39"/>
  <c r="I106" i="39" s="1"/>
  <c r="E106" i="39"/>
  <c r="F106" i="39" s="1"/>
  <c r="O105" i="39"/>
  <c r="N105" i="39"/>
  <c r="K105" i="39"/>
  <c r="L105" i="39" s="1"/>
  <c r="I105" i="39"/>
  <c r="H105" i="39"/>
  <c r="E105" i="39"/>
  <c r="F105" i="39" s="1"/>
  <c r="O104" i="39"/>
  <c r="N104" i="39"/>
  <c r="K104" i="39"/>
  <c r="L104" i="39" s="1"/>
  <c r="H104" i="39"/>
  <c r="I104" i="39" s="1"/>
  <c r="E104" i="39"/>
  <c r="F104" i="39" s="1"/>
  <c r="O103" i="39"/>
  <c r="N103" i="39"/>
  <c r="L103" i="39"/>
  <c r="K103" i="39"/>
  <c r="H103" i="39"/>
  <c r="I103" i="39" s="1"/>
  <c r="E103" i="39"/>
  <c r="F103" i="39" s="1"/>
  <c r="N102" i="39"/>
  <c r="O102" i="39" s="1"/>
  <c r="K102" i="39"/>
  <c r="L102" i="39" s="1"/>
  <c r="H102" i="39"/>
  <c r="I102" i="39" s="1"/>
  <c r="E102" i="39"/>
  <c r="F102" i="39" s="1"/>
  <c r="O101" i="39"/>
  <c r="N101" i="39"/>
  <c r="L101" i="39"/>
  <c r="K101" i="39"/>
  <c r="I101" i="39"/>
  <c r="H101" i="39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H99" i="39"/>
  <c r="I99" i="39" s="1"/>
  <c r="E99" i="39"/>
  <c r="F99" i="39" s="1"/>
  <c r="N98" i="39"/>
  <c r="K98" i="39"/>
  <c r="K118" i="39" s="1"/>
  <c r="H98" i="39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I90" i="39"/>
  <c r="H90" i="39"/>
  <c r="E90" i="39"/>
  <c r="F90" i="39" s="1"/>
  <c r="N89" i="39"/>
  <c r="O89" i="39" s="1"/>
  <c r="L89" i="39"/>
  <c r="K89" i="39"/>
  <c r="H89" i="39"/>
  <c r="I89" i="39" s="1"/>
  <c r="E89" i="39"/>
  <c r="F89" i="39" s="1"/>
  <c r="N88" i="39"/>
  <c r="O88" i="39" s="1"/>
  <c r="L88" i="39"/>
  <c r="K88" i="39"/>
  <c r="H88" i="39"/>
  <c r="I88" i="39" s="1"/>
  <c r="E88" i="39"/>
  <c r="F88" i="39" s="1"/>
  <c r="N87" i="39"/>
  <c r="O87" i="39" s="1"/>
  <c r="L87" i="39"/>
  <c r="K87" i="39"/>
  <c r="I87" i="39"/>
  <c r="H87" i="39"/>
  <c r="E87" i="39"/>
  <c r="F87" i="39" s="1"/>
  <c r="O86" i="39"/>
  <c r="N86" i="39"/>
  <c r="K86" i="39"/>
  <c r="L86" i="39" s="1"/>
  <c r="I86" i="39"/>
  <c r="H86" i="39"/>
  <c r="E86" i="39"/>
  <c r="F86" i="39" s="1"/>
  <c r="N85" i="39"/>
  <c r="O85" i="39" s="1"/>
  <c r="K85" i="39"/>
  <c r="L85" i="39" s="1"/>
  <c r="H85" i="39"/>
  <c r="I85" i="39" s="1"/>
  <c r="E85" i="39"/>
  <c r="F85" i="39" s="1"/>
  <c r="N84" i="39"/>
  <c r="O84" i="39" s="1"/>
  <c r="L84" i="39"/>
  <c r="K84" i="39"/>
  <c r="H84" i="39"/>
  <c r="I84" i="39" s="1"/>
  <c r="E84" i="39"/>
  <c r="F84" i="39" s="1"/>
  <c r="N83" i="39"/>
  <c r="O83" i="39" s="1"/>
  <c r="K83" i="39"/>
  <c r="L83" i="39" s="1"/>
  <c r="I83" i="39"/>
  <c r="H83" i="39"/>
  <c r="E83" i="39"/>
  <c r="F83" i="39" s="1"/>
  <c r="N82" i="39"/>
  <c r="O82" i="39" s="1"/>
  <c r="K82" i="39"/>
  <c r="L82" i="39" s="1"/>
  <c r="I82" i="39"/>
  <c r="H82" i="39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L80" i="39"/>
  <c r="K80" i="39"/>
  <c r="H80" i="39"/>
  <c r="I80" i="39" s="1"/>
  <c r="E80" i="39"/>
  <c r="F80" i="39" s="1"/>
  <c r="N79" i="39"/>
  <c r="O79" i="39" s="1"/>
  <c r="L79" i="39"/>
  <c r="K79" i="39"/>
  <c r="H79" i="39"/>
  <c r="I79" i="39" s="1"/>
  <c r="E79" i="39"/>
  <c r="F79" i="39" s="1"/>
  <c r="N78" i="39"/>
  <c r="O78" i="39" s="1"/>
  <c r="L78" i="39"/>
  <c r="K78" i="39"/>
  <c r="I78" i="39"/>
  <c r="H78" i="39"/>
  <c r="E78" i="39"/>
  <c r="F78" i="39" s="1"/>
  <c r="N77" i="39"/>
  <c r="O77" i="39" s="1"/>
  <c r="K77" i="39"/>
  <c r="L77" i="39" s="1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K75" i="39"/>
  <c r="L75" i="39" s="1"/>
  <c r="H75" i="39"/>
  <c r="I75" i="39" s="1"/>
  <c r="E75" i="39"/>
  <c r="F75" i="39" s="1"/>
  <c r="N74" i="39"/>
  <c r="O74" i="39" s="1"/>
  <c r="K74" i="39"/>
  <c r="L74" i="39" s="1"/>
  <c r="I74" i="39"/>
  <c r="H74" i="39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N71" i="39"/>
  <c r="N91" i="39" s="1"/>
  <c r="K71" i="39"/>
  <c r="K91" i="39" s="1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I63" i="39"/>
  <c r="H63" i="39"/>
  <c r="E63" i="39"/>
  <c r="F63" i="39" s="1"/>
  <c r="N62" i="39"/>
  <c r="O62" i="39" s="1"/>
  <c r="L62" i="39"/>
  <c r="K62" i="39"/>
  <c r="H62" i="39"/>
  <c r="I62" i="39" s="1"/>
  <c r="E62" i="39"/>
  <c r="F62" i="39" s="1"/>
  <c r="O61" i="39"/>
  <c r="N61" i="39"/>
  <c r="K61" i="39"/>
  <c r="L61" i="39" s="1"/>
  <c r="H61" i="39"/>
  <c r="I61" i="39" s="1"/>
  <c r="E61" i="39"/>
  <c r="F61" i="39" s="1"/>
  <c r="O60" i="39"/>
  <c r="N60" i="39"/>
  <c r="L60" i="39"/>
  <c r="K60" i="39"/>
  <c r="I60" i="39"/>
  <c r="H60" i="39"/>
  <c r="E60" i="39"/>
  <c r="F60" i="39" s="1"/>
  <c r="O59" i="39"/>
  <c r="N59" i="39"/>
  <c r="K59" i="39"/>
  <c r="L59" i="39" s="1"/>
  <c r="I59" i="39"/>
  <c r="H59" i="39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L57" i="39"/>
  <c r="K57" i="39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I55" i="39"/>
  <c r="H55" i="39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L52" i="39"/>
  <c r="K52" i="39"/>
  <c r="I52" i="39"/>
  <c r="H52" i="39"/>
  <c r="E52" i="39"/>
  <c r="F52" i="39" s="1"/>
  <c r="N51" i="39"/>
  <c r="O51" i="39" s="1"/>
  <c r="K51" i="39"/>
  <c r="L51" i="39" s="1"/>
  <c r="I51" i="39"/>
  <c r="H51" i="39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L49" i="39"/>
  <c r="K49" i="39"/>
  <c r="H49" i="39"/>
  <c r="I49" i="39" s="1"/>
  <c r="E49" i="39"/>
  <c r="F49" i="39" s="1"/>
  <c r="O48" i="39"/>
  <c r="N48" i="39"/>
  <c r="K48" i="39"/>
  <c r="L48" i="39" s="1"/>
  <c r="H48" i="39"/>
  <c r="I48" i="39" s="1"/>
  <c r="E48" i="39"/>
  <c r="F48" i="39" s="1"/>
  <c r="O47" i="39"/>
  <c r="N47" i="39"/>
  <c r="L47" i="39"/>
  <c r="K47" i="39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K6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L198" i="38" s="1"/>
  <c r="H198" i="38"/>
  <c r="I198" i="38" s="1"/>
  <c r="E198" i="38"/>
  <c r="F198" i="38" s="1"/>
  <c r="O197" i="38"/>
  <c r="N197" i="38"/>
  <c r="K197" i="38"/>
  <c r="L197" i="38" s="1"/>
  <c r="H197" i="38"/>
  <c r="I197" i="38" s="1"/>
  <c r="E197" i="38"/>
  <c r="F197" i="38" s="1"/>
  <c r="O196" i="38"/>
  <c r="N196" i="38"/>
  <c r="K196" i="38"/>
  <c r="L196" i="38" s="1"/>
  <c r="H196" i="38"/>
  <c r="I196" i="38" s="1"/>
  <c r="E196" i="38"/>
  <c r="F196" i="38" s="1"/>
  <c r="N195" i="38"/>
  <c r="O195" i="38" s="1"/>
  <c r="K195" i="38"/>
  <c r="L195" i="38" s="1"/>
  <c r="I195" i="38"/>
  <c r="H195" i="38"/>
  <c r="E195" i="38"/>
  <c r="F195" i="38" s="1"/>
  <c r="O194" i="38"/>
  <c r="N194" i="38"/>
  <c r="K194" i="38"/>
  <c r="L194" i="38" s="1"/>
  <c r="H194" i="38"/>
  <c r="I194" i="38" s="1"/>
  <c r="E194" i="38"/>
  <c r="F194" i="38" s="1"/>
  <c r="N193" i="38"/>
  <c r="O193" i="38" s="1"/>
  <c r="L193" i="38"/>
  <c r="K193" i="38"/>
  <c r="H193" i="38"/>
  <c r="I193" i="38" s="1"/>
  <c r="E193" i="38"/>
  <c r="F193" i="38" s="1"/>
  <c r="N192" i="38"/>
  <c r="O192" i="38" s="1"/>
  <c r="K192" i="38"/>
  <c r="L192" i="38" s="1"/>
  <c r="H192" i="38"/>
  <c r="I192" i="38" s="1"/>
  <c r="E192" i="38"/>
  <c r="F192" i="38" s="1"/>
  <c r="O191" i="38"/>
  <c r="N191" i="38"/>
  <c r="L191" i="38"/>
  <c r="K191" i="38"/>
  <c r="I191" i="38"/>
  <c r="H191" i="38"/>
  <c r="E191" i="38"/>
  <c r="F191" i="38" s="1"/>
  <c r="N190" i="38"/>
  <c r="O190" i="38" s="1"/>
  <c r="K190" i="38"/>
  <c r="L190" i="38" s="1"/>
  <c r="H190" i="38"/>
  <c r="I190" i="38" s="1"/>
  <c r="F190" i="38"/>
  <c r="E190" i="38"/>
  <c r="O189" i="38"/>
  <c r="N189" i="38"/>
  <c r="K189" i="38"/>
  <c r="L189" i="38" s="1"/>
  <c r="H189" i="38"/>
  <c r="I189" i="38" s="1"/>
  <c r="F189" i="38"/>
  <c r="E189" i="38"/>
  <c r="N188" i="38"/>
  <c r="O188" i="38" s="1"/>
  <c r="K188" i="38"/>
  <c r="L188" i="38" s="1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O186" i="38"/>
  <c r="N186" i="38"/>
  <c r="K186" i="38"/>
  <c r="L186" i="38" s="1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N199" i="38" s="1"/>
  <c r="L179" i="38"/>
  <c r="K179" i="38"/>
  <c r="H179" i="38"/>
  <c r="I17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K171" i="38"/>
  <c r="L171" i="38" s="1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O169" i="38"/>
  <c r="N169" i="38"/>
  <c r="K169" i="38"/>
  <c r="L169" i="38" s="1"/>
  <c r="I169" i="38"/>
  <c r="H169" i="38"/>
  <c r="E169" i="38"/>
  <c r="F169" i="38" s="1"/>
  <c r="O168" i="38"/>
  <c r="N168" i="38"/>
  <c r="K168" i="38"/>
  <c r="L168" i="38" s="1"/>
  <c r="H168" i="38"/>
  <c r="I168" i="38" s="1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I165" i="38"/>
  <c r="H165" i="38"/>
  <c r="E165" i="38"/>
  <c r="F165" i="38" s="1"/>
  <c r="N164" i="38"/>
  <c r="O164" i="38" s="1"/>
  <c r="K164" i="38"/>
  <c r="L164" i="38" s="1"/>
  <c r="H164" i="38"/>
  <c r="I164" i="38" s="1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K162" i="38"/>
  <c r="L162" i="38" s="1"/>
  <c r="H162" i="38"/>
  <c r="I162" i="38" s="1"/>
  <c r="E162" i="38"/>
  <c r="F162" i="38" s="1"/>
  <c r="N161" i="38"/>
  <c r="O161" i="38" s="1"/>
  <c r="L161" i="38"/>
  <c r="K161" i="38"/>
  <c r="I161" i="38"/>
  <c r="H161" i="38"/>
  <c r="E161" i="38"/>
  <c r="F161" i="38" s="1"/>
  <c r="N160" i="38"/>
  <c r="O160" i="38" s="1"/>
  <c r="K160" i="38"/>
  <c r="L160" i="38" s="1"/>
  <c r="H160" i="38"/>
  <c r="I160" i="38" s="1"/>
  <c r="E160" i="38"/>
  <c r="F160" i="38" s="1"/>
  <c r="N159" i="38"/>
  <c r="O159" i="38" s="1"/>
  <c r="K159" i="38"/>
  <c r="L159" i="38" s="1"/>
  <c r="H159" i="38"/>
  <c r="I159" i="38" s="1"/>
  <c r="E159" i="38"/>
  <c r="F159" i="38" s="1"/>
  <c r="O158" i="38"/>
  <c r="N158" i="38"/>
  <c r="K158" i="38"/>
  <c r="L158" i="38" s="1"/>
  <c r="H158" i="38"/>
  <c r="I158" i="38" s="1"/>
  <c r="E158" i="38"/>
  <c r="F158" i="38" s="1"/>
  <c r="N157" i="38"/>
  <c r="O157" i="38" s="1"/>
  <c r="K157" i="38"/>
  <c r="L157" i="38" s="1"/>
  <c r="I157" i="38"/>
  <c r="H157" i="38"/>
  <c r="E157" i="38"/>
  <c r="F157" i="38" s="1"/>
  <c r="N156" i="38"/>
  <c r="O156" i="38" s="1"/>
  <c r="L156" i="38"/>
  <c r="K156" i="38"/>
  <c r="H156" i="38"/>
  <c r="I156" i="38" s="1"/>
  <c r="E156" i="38"/>
  <c r="F156" i="38" s="1"/>
  <c r="N155" i="38"/>
  <c r="O155" i="38" s="1"/>
  <c r="K155" i="38"/>
  <c r="L155" i="38" s="1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O153" i="38"/>
  <c r="N153" i="38"/>
  <c r="K153" i="38"/>
  <c r="L153" i="38" s="1"/>
  <c r="I153" i="38"/>
  <c r="H153" i="38"/>
  <c r="E153" i="38"/>
  <c r="F153" i="38" s="1"/>
  <c r="O152" i="38"/>
  <c r="N152" i="38"/>
  <c r="K152" i="38"/>
  <c r="H152" i="38"/>
  <c r="H172" i="38" s="1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K143" i="38"/>
  <c r="L143" i="38" s="1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N141" i="38"/>
  <c r="O141" i="38" s="1"/>
  <c r="L141" i="38"/>
  <c r="K141" i="38"/>
  <c r="H141" i="38"/>
  <c r="I141" i="38" s="1"/>
  <c r="F141" i="38"/>
  <c r="E141" i="38"/>
  <c r="O140" i="38"/>
  <c r="N140" i="38"/>
  <c r="K140" i="38"/>
  <c r="L140" i="38" s="1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N137" i="38"/>
  <c r="O137" i="38" s="1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F135" i="38"/>
  <c r="E135" i="38"/>
  <c r="N134" i="38"/>
  <c r="O134" i="38" s="1"/>
  <c r="K134" i="38"/>
  <c r="L134" i="38" s="1"/>
  <c r="H134" i="38"/>
  <c r="I134" i="38" s="1"/>
  <c r="F134" i="38"/>
  <c r="E134" i="38"/>
  <c r="N133" i="38"/>
  <c r="O133" i="38" s="1"/>
  <c r="L133" i="38"/>
  <c r="K133" i="38"/>
  <c r="H133" i="38"/>
  <c r="I133" i="38" s="1"/>
  <c r="F133" i="38"/>
  <c r="E133" i="38"/>
  <c r="N132" i="38"/>
  <c r="O132" i="38" s="1"/>
  <c r="K132" i="38"/>
  <c r="L132" i="38" s="1"/>
  <c r="H132" i="38"/>
  <c r="I132" i="38" s="1"/>
  <c r="F132" i="38"/>
  <c r="E132" i="38"/>
  <c r="O131" i="38"/>
  <c r="N131" i="38"/>
  <c r="K131" i="38"/>
  <c r="L131" i="38" s="1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O129" i="38"/>
  <c r="N129" i="38"/>
  <c r="L129" i="38"/>
  <c r="K129" i="38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K127" i="38"/>
  <c r="L127" i="38" s="1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N125" i="38"/>
  <c r="L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O116" i="38"/>
  <c r="N116" i="38"/>
  <c r="K116" i="38"/>
  <c r="L116" i="38" s="1"/>
  <c r="H116" i="38"/>
  <c r="I116" i="38" s="1"/>
  <c r="E116" i="38"/>
  <c r="F116" i="38" s="1"/>
  <c r="O115" i="38"/>
  <c r="N115" i="38"/>
  <c r="K115" i="38"/>
  <c r="L115" i="38" s="1"/>
  <c r="I115" i="38"/>
  <c r="H115" i="38"/>
  <c r="E115" i="38"/>
  <c r="F115" i="38" s="1"/>
  <c r="O114" i="38"/>
  <c r="N114" i="38"/>
  <c r="K114" i="38"/>
  <c r="L114" i="38" s="1"/>
  <c r="H114" i="38"/>
  <c r="I114" i="38" s="1"/>
  <c r="E114" i="38"/>
  <c r="F114" i="38" s="1"/>
  <c r="O113" i="38"/>
  <c r="N113" i="38"/>
  <c r="L113" i="38"/>
  <c r="K113" i="38"/>
  <c r="H113" i="38"/>
  <c r="I113" i="38" s="1"/>
  <c r="E113" i="38"/>
  <c r="F113" i="38" s="1"/>
  <c r="N112" i="38"/>
  <c r="O112" i="38" s="1"/>
  <c r="K112" i="38"/>
  <c r="L112" i="38" s="1"/>
  <c r="H112" i="38"/>
  <c r="I112" i="38" s="1"/>
  <c r="E112" i="38"/>
  <c r="F112" i="38" s="1"/>
  <c r="O111" i="38"/>
  <c r="N111" i="38"/>
  <c r="L111" i="38"/>
  <c r="K111" i="38"/>
  <c r="I111" i="38"/>
  <c r="H111" i="38"/>
  <c r="E111" i="38"/>
  <c r="F111" i="38" s="1"/>
  <c r="N110" i="38"/>
  <c r="O110" i="38" s="1"/>
  <c r="K110" i="38"/>
  <c r="L110" i="38" s="1"/>
  <c r="H110" i="38"/>
  <c r="I110" i="38" s="1"/>
  <c r="E110" i="38"/>
  <c r="F110" i="38" s="1"/>
  <c r="O109" i="38"/>
  <c r="N109" i="38"/>
  <c r="K109" i="38"/>
  <c r="L109" i="38" s="1"/>
  <c r="H109" i="38"/>
  <c r="I109" i="38" s="1"/>
  <c r="E109" i="38"/>
  <c r="F109" i="38" s="1"/>
  <c r="O108" i="38"/>
  <c r="N108" i="38"/>
  <c r="K108" i="38"/>
  <c r="L108" i="38" s="1"/>
  <c r="H108" i="38"/>
  <c r="I108" i="38" s="1"/>
  <c r="E108" i="38"/>
  <c r="F108" i="38" s="1"/>
  <c r="N107" i="38"/>
  <c r="O107" i="38" s="1"/>
  <c r="K107" i="38"/>
  <c r="L107" i="38" s="1"/>
  <c r="I107" i="38"/>
  <c r="H107" i="38"/>
  <c r="E107" i="38"/>
  <c r="F107" i="38" s="1"/>
  <c r="O106" i="38"/>
  <c r="N106" i="38"/>
  <c r="L106" i="38"/>
  <c r="K106" i="38"/>
  <c r="H106" i="38"/>
  <c r="I106" i="38" s="1"/>
  <c r="E106" i="38"/>
  <c r="F106" i="38" s="1"/>
  <c r="N105" i="38"/>
  <c r="O105" i="38" s="1"/>
  <c r="L105" i="38"/>
  <c r="K105" i="38"/>
  <c r="H105" i="38"/>
  <c r="I105" i="38" s="1"/>
  <c r="E105" i="38"/>
  <c r="F105" i="38" s="1"/>
  <c r="O104" i="38"/>
  <c r="N104" i="38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O102" i="38"/>
  <c r="N102" i="38"/>
  <c r="K102" i="38"/>
  <c r="L102" i="38" s="1"/>
  <c r="H102" i="38"/>
  <c r="I102" i="38" s="1"/>
  <c r="E102" i="38"/>
  <c r="F102" i="38" s="1"/>
  <c r="O101" i="38"/>
  <c r="N101" i="38"/>
  <c r="K101" i="38"/>
  <c r="L101" i="38" s="1"/>
  <c r="H101" i="38"/>
  <c r="I101" i="38" s="1"/>
  <c r="E101" i="38"/>
  <c r="F101" i="38" s="1"/>
  <c r="O100" i="38"/>
  <c r="N100" i="38"/>
  <c r="K100" i="38"/>
  <c r="L100" i="38" s="1"/>
  <c r="H100" i="38"/>
  <c r="I100" i="38" s="1"/>
  <c r="E100" i="38"/>
  <c r="F100" i="38" s="1"/>
  <c r="N99" i="38"/>
  <c r="O99" i="38" s="1"/>
  <c r="K99" i="38"/>
  <c r="L99" i="38" s="1"/>
  <c r="I99" i="38"/>
  <c r="H99" i="38"/>
  <c r="E99" i="38"/>
  <c r="F99" i="38" s="1"/>
  <c r="N98" i="38"/>
  <c r="K98" i="38"/>
  <c r="H98" i="38"/>
  <c r="H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E90" i="38"/>
  <c r="F90" i="38" s="1"/>
  <c r="O89" i="38"/>
  <c r="N89" i="38"/>
  <c r="K89" i="38"/>
  <c r="L89" i="38" s="1"/>
  <c r="H89" i="38"/>
  <c r="I89" i="38" s="1"/>
  <c r="E89" i="38"/>
  <c r="F89" i="38" s="1"/>
  <c r="N88" i="38"/>
  <c r="O88" i="38" s="1"/>
  <c r="L88" i="38"/>
  <c r="K88" i="38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I85" i="38"/>
  <c r="H85" i="38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I81" i="38"/>
  <c r="H81" i="38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L63" i="38"/>
  <c r="K63" i="38"/>
  <c r="H63" i="38"/>
  <c r="I63" i="38" s="1"/>
  <c r="E63" i="38"/>
  <c r="F63" i="38" s="1"/>
  <c r="N62" i="38"/>
  <c r="O62" i="38" s="1"/>
  <c r="K62" i="38"/>
  <c r="L62" i="38" s="1"/>
  <c r="H62" i="38"/>
  <c r="I62" i="38" s="1"/>
  <c r="E62" i="38"/>
  <c r="F62" i="38" s="1"/>
  <c r="O61" i="38"/>
  <c r="N61" i="38"/>
  <c r="L61" i="38"/>
  <c r="K61" i="38"/>
  <c r="H61" i="38"/>
  <c r="I61" i="38" s="1"/>
  <c r="E61" i="38"/>
  <c r="F61" i="38" s="1"/>
  <c r="N60" i="38"/>
  <c r="O60" i="38" s="1"/>
  <c r="K60" i="38"/>
  <c r="L60" i="38" s="1"/>
  <c r="I60" i="38"/>
  <c r="H60" i="38"/>
  <c r="E60" i="38"/>
  <c r="F60" i="38" s="1"/>
  <c r="O59" i="38"/>
  <c r="N59" i="38"/>
  <c r="K59" i="38"/>
  <c r="L59" i="38" s="1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N57" i="38"/>
  <c r="O57" i="38" s="1"/>
  <c r="K57" i="38"/>
  <c r="L57" i="38" s="1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N55" i="38"/>
  <c r="O55" i="38" s="1"/>
  <c r="L55" i="38"/>
  <c r="K55" i="38"/>
  <c r="H55" i="38"/>
  <c r="I55" i="38" s="1"/>
  <c r="E55" i="38"/>
  <c r="F55" i="38" s="1"/>
  <c r="N54" i="38"/>
  <c r="O54" i="38" s="1"/>
  <c r="L54" i="38"/>
  <c r="K54" i="38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L52" i="38"/>
  <c r="K52" i="38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N50" i="38"/>
  <c r="O50" i="38" s="1"/>
  <c r="K50" i="38"/>
  <c r="L50" i="38" s="1"/>
  <c r="H50" i="38"/>
  <c r="I50" i="38" s="1"/>
  <c r="E50" i="38"/>
  <c r="F50" i="38" s="1"/>
  <c r="O49" i="38"/>
  <c r="N49" i="38"/>
  <c r="K49" i="38"/>
  <c r="L49" i="38" s="1"/>
  <c r="H49" i="38"/>
  <c r="I49" i="38" s="1"/>
  <c r="E49" i="38"/>
  <c r="F49" i="38" s="1"/>
  <c r="N48" i="38"/>
  <c r="O48" i="38" s="1"/>
  <c r="K48" i="38"/>
  <c r="L48" i="38" s="1"/>
  <c r="I48" i="38"/>
  <c r="H48" i="38"/>
  <c r="E48" i="38"/>
  <c r="F48" i="38" s="1"/>
  <c r="N47" i="38"/>
  <c r="O47" i="38" s="1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H45" i="38"/>
  <c r="I45" i="38" s="1"/>
  <c r="E45" i="38"/>
  <c r="F45" i="38" s="1"/>
  <c r="O44" i="38"/>
  <c r="N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L165" i="37"/>
  <c r="K165" i="37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N160" i="37"/>
  <c r="O160" i="37" s="1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L157" i="37"/>
  <c r="K157" i="37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N152" i="37"/>
  <c r="N172" i="37" s="1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N144" i="37"/>
  <c r="O144" i="37" s="1"/>
  <c r="L144" i="37"/>
  <c r="K144" i="37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N142" i="37"/>
  <c r="O142" i="37" s="1"/>
  <c r="K142" i="37"/>
  <c r="L142" i="37" s="1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K138" i="37"/>
  <c r="L138" i="37" s="1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N136" i="37"/>
  <c r="O136" i="37" s="1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O134" i="37"/>
  <c r="N134" i="37"/>
  <c r="K134" i="37"/>
  <c r="L134" i="37" s="1"/>
  <c r="H134" i="37"/>
  <c r="I134" i="37" s="1"/>
  <c r="F134" i="37"/>
  <c r="E134" i="37"/>
  <c r="N133" i="37"/>
  <c r="O133" i="37" s="1"/>
  <c r="K133" i="37"/>
  <c r="L133" i="37" s="1"/>
  <c r="H133" i="37"/>
  <c r="I133" i="37" s="1"/>
  <c r="F133" i="37"/>
  <c r="E133" i="37"/>
  <c r="O132" i="37"/>
  <c r="N132" i="37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K130" i="37"/>
  <c r="L130" i="37" s="1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N128" i="37"/>
  <c r="O128" i="37" s="1"/>
  <c r="L128" i="37"/>
  <c r="K128" i="37"/>
  <c r="H128" i="37"/>
  <c r="I128" i="37" s="1"/>
  <c r="F128" i="37"/>
  <c r="E128" i="37"/>
  <c r="O127" i="37"/>
  <c r="N127" i="37"/>
  <c r="K127" i="37"/>
  <c r="L127" i="37" s="1"/>
  <c r="H127" i="37"/>
  <c r="I127" i="37" s="1"/>
  <c r="F127" i="37"/>
  <c r="E127" i="37"/>
  <c r="N126" i="37"/>
  <c r="O126" i="37" s="1"/>
  <c r="K126" i="37"/>
  <c r="L126" i="37" s="1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N114" i="37"/>
  <c r="O114" i="37" s="1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N106" i="37"/>
  <c r="O106" i="37" s="1"/>
  <c r="K106" i="37"/>
  <c r="L106" i="37" s="1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N100" i="37"/>
  <c r="O100" i="37" s="1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N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F89" i="37"/>
  <c r="E89" i="37"/>
  <c r="N88" i="37"/>
  <c r="O88" i="37" s="1"/>
  <c r="K88" i="37"/>
  <c r="L88" i="37" s="1"/>
  <c r="H88" i="37"/>
  <c r="I88" i="37" s="1"/>
  <c r="F88" i="37"/>
  <c r="E88" i="37"/>
  <c r="N87" i="37"/>
  <c r="O87" i="37" s="1"/>
  <c r="L87" i="37"/>
  <c r="K87" i="37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O84" i="37"/>
  <c r="N84" i="37"/>
  <c r="K84" i="37"/>
  <c r="L84" i="37" s="1"/>
  <c r="H84" i="37"/>
  <c r="I84" i="37" s="1"/>
  <c r="F84" i="37"/>
  <c r="E84" i="37"/>
  <c r="N83" i="37"/>
  <c r="O83" i="37" s="1"/>
  <c r="L83" i="37"/>
  <c r="K83" i="37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N79" i="37"/>
  <c r="O79" i="37" s="1"/>
  <c r="L79" i="37"/>
  <c r="K79" i="37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K77" i="37"/>
  <c r="L77" i="37" s="1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O75" i="37"/>
  <c r="N75" i="37"/>
  <c r="L75" i="37"/>
  <c r="K75" i="37"/>
  <c r="H75" i="37"/>
  <c r="I75" i="37" s="1"/>
  <c r="F75" i="37"/>
  <c r="E75" i="37"/>
  <c r="N74" i="37"/>
  <c r="O74" i="37" s="1"/>
  <c r="K74" i="37"/>
  <c r="L74" i="37" s="1"/>
  <c r="H74" i="37"/>
  <c r="I74" i="37" s="1"/>
  <c r="E74" i="37"/>
  <c r="F74" i="37" s="1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K63" i="37"/>
  <c r="L63" i="37" s="1"/>
  <c r="I63" i="37"/>
  <c r="H63" i="37"/>
  <c r="F63" i="37"/>
  <c r="E63" i="37"/>
  <c r="N62" i="37"/>
  <c r="O62" i="37" s="1"/>
  <c r="K62" i="37"/>
  <c r="L62" i="37" s="1"/>
  <c r="I62" i="37"/>
  <c r="H62" i="37"/>
  <c r="F62" i="37"/>
  <c r="E62" i="37"/>
  <c r="N61" i="37"/>
  <c r="O61" i="37" s="1"/>
  <c r="K61" i="37"/>
  <c r="L61" i="37" s="1"/>
  <c r="I61" i="37"/>
  <c r="H61" i="37"/>
  <c r="F61" i="37"/>
  <c r="E61" i="37"/>
  <c r="O60" i="37"/>
  <c r="N60" i="37"/>
  <c r="K60" i="37"/>
  <c r="L60" i="37" s="1"/>
  <c r="I60" i="37"/>
  <c r="H60" i="37"/>
  <c r="F60" i="37"/>
  <c r="E60" i="37"/>
  <c r="N59" i="37"/>
  <c r="O59" i="37" s="1"/>
  <c r="K59" i="37"/>
  <c r="L59" i="37" s="1"/>
  <c r="I59" i="37"/>
  <c r="H59" i="37"/>
  <c r="F59" i="37"/>
  <c r="E59" i="37"/>
  <c r="N58" i="37"/>
  <c r="O58" i="37" s="1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O56" i="37"/>
  <c r="N56" i="37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N54" i="37"/>
  <c r="O54" i="37" s="1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O52" i="37"/>
  <c r="N52" i="37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N46" i="37"/>
  <c r="O46" i="37" s="1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O44" i="37"/>
  <c r="N44" i="37"/>
  <c r="K44" i="37"/>
  <c r="K64" i="37" s="1"/>
  <c r="I44" i="37"/>
  <c r="I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O196" i="36"/>
  <c r="N196" i="36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O193" i="36"/>
  <c r="N193" i="36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O180" i="36"/>
  <c r="N180" i="36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H116" i="36"/>
  <c r="I116" i="36" s="1"/>
  <c r="F116" i="36"/>
  <c r="E116" i="36"/>
  <c r="N115" i="36"/>
  <c r="O115" i="36" s="1"/>
  <c r="L115" i="36"/>
  <c r="K115" i="36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L111" i="36"/>
  <c r="K111" i="36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O108" i="36"/>
  <c r="N108" i="36"/>
  <c r="K108" i="36"/>
  <c r="L108" i="36" s="1"/>
  <c r="H108" i="36"/>
  <c r="I108" i="36" s="1"/>
  <c r="F108" i="36"/>
  <c r="E108" i="36"/>
  <c r="N107" i="36"/>
  <c r="O107" i="36" s="1"/>
  <c r="L107" i="36"/>
  <c r="K107" i="36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O103" i="36"/>
  <c r="N103" i="36"/>
  <c r="L103" i="36"/>
  <c r="K103" i="36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L99" i="36"/>
  <c r="K99" i="36"/>
  <c r="H99" i="36"/>
  <c r="I99" i="36" s="1"/>
  <c r="F99" i="36"/>
  <c r="E99" i="36"/>
  <c r="N98" i="36"/>
  <c r="K98" i="36"/>
  <c r="K118" i="36" s="1"/>
  <c r="H98" i="36"/>
  <c r="F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K88" i="36"/>
  <c r="L88" i="36" s="1"/>
  <c r="H88" i="36"/>
  <c r="I88" i="36" s="1"/>
  <c r="E88" i="36"/>
  <c r="F88" i="36" s="1"/>
  <c r="N87" i="36"/>
  <c r="O87" i="36" s="1"/>
  <c r="K87" i="36"/>
  <c r="L87" i="36" s="1"/>
  <c r="I87" i="36"/>
  <c r="H87" i="36"/>
  <c r="E87" i="36"/>
  <c r="F87" i="36" s="1"/>
  <c r="N86" i="36"/>
  <c r="O86" i="36" s="1"/>
  <c r="K86" i="36"/>
  <c r="L86" i="36" s="1"/>
  <c r="H86" i="36"/>
  <c r="I86" i="36" s="1"/>
  <c r="E86" i="36"/>
  <c r="F86" i="36" s="1"/>
  <c r="O85" i="36"/>
  <c r="N85" i="36"/>
  <c r="L85" i="36"/>
  <c r="K85" i="36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K83" i="36"/>
  <c r="L83" i="36" s="1"/>
  <c r="I83" i="36"/>
  <c r="H83" i="36"/>
  <c r="E83" i="36"/>
  <c r="F83" i="36" s="1"/>
  <c r="O82" i="36"/>
  <c r="N82" i="36"/>
  <c r="L82" i="36"/>
  <c r="K82" i="36"/>
  <c r="H82" i="36"/>
  <c r="I82" i="36" s="1"/>
  <c r="E82" i="36"/>
  <c r="F82" i="36" s="1"/>
  <c r="O81" i="36"/>
  <c r="N81" i="36"/>
  <c r="K81" i="36"/>
  <c r="L81" i="36" s="1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K79" i="36"/>
  <c r="L79" i="36" s="1"/>
  <c r="I79" i="36"/>
  <c r="H79" i="36"/>
  <c r="E79" i="36"/>
  <c r="F79" i="36" s="1"/>
  <c r="N78" i="36"/>
  <c r="O78" i="36" s="1"/>
  <c r="K78" i="36"/>
  <c r="L78" i="36" s="1"/>
  <c r="H78" i="36"/>
  <c r="I78" i="36" s="1"/>
  <c r="E78" i="36"/>
  <c r="F78" i="36" s="1"/>
  <c r="O77" i="36"/>
  <c r="N77" i="36"/>
  <c r="K77" i="36"/>
  <c r="L77" i="36" s="1"/>
  <c r="H77" i="36"/>
  <c r="I77" i="36" s="1"/>
  <c r="E77" i="36"/>
  <c r="F77" i="36" s="1"/>
  <c r="N76" i="36"/>
  <c r="O76" i="36" s="1"/>
  <c r="K76" i="36"/>
  <c r="L76" i="36" s="1"/>
  <c r="H76" i="36"/>
  <c r="I76" i="36" s="1"/>
  <c r="E76" i="36"/>
  <c r="F76" i="36" s="1"/>
  <c r="O75" i="36"/>
  <c r="N75" i="36"/>
  <c r="K75" i="36"/>
  <c r="L75" i="36" s="1"/>
  <c r="I75" i="36"/>
  <c r="H75" i="36"/>
  <c r="E75" i="36"/>
  <c r="F75" i="36" s="1"/>
  <c r="O74" i="36"/>
  <c r="N74" i="36"/>
  <c r="K74" i="36"/>
  <c r="L74" i="36" s="1"/>
  <c r="H74" i="36"/>
  <c r="I74" i="36" s="1"/>
  <c r="E74" i="36"/>
  <c r="F74" i="36" s="1"/>
  <c r="N73" i="36"/>
  <c r="O73" i="36" s="1"/>
  <c r="L73" i="36"/>
  <c r="K73" i="36"/>
  <c r="I73" i="36"/>
  <c r="H73" i="36"/>
  <c r="E73" i="36"/>
  <c r="F73" i="36" s="1"/>
  <c r="O72" i="36"/>
  <c r="N72" i="36"/>
  <c r="K72" i="36"/>
  <c r="L72" i="36" s="1"/>
  <c r="H72" i="36"/>
  <c r="I72" i="36" s="1"/>
  <c r="E72" i="36"/>
  <c r="F72" i="36" s="1"/>
  <c r="N71" i="36"/>
  <c r="O71" i="36" s="1"/>
  <c r="O91" i="36" s="1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N61" i="36"/>
  <c r="O61" i="36" s="1"/>
  <c r="L61" i="36"/>
  <c r="K61" i="36"/>
  <c r="H61" i="36"/>
  <c r="I61" i="36" s="1"/>
  <c r="E61" i="36"/>
  <c r="F61" i="36" s="1"/>
  <c r="O60" i="36"/>
  <c r="N60" i="36"/>
  <c r="K60" i="36"/>
  <c r="L60" i="36" s="1"/>
  <c r="H60" i="36"/>
  <c r="I60" i="36" s="1"/>
  <c r="E60" i="36"/>
  <c r="F60" i="36" s="1"/>
  <c r="O59" i="36"/>
  <c r="N59" i="36"/>
  <c r="L59" i="36"/>
  <c r="K59" i="36"/>
  <c r="I59" i="36"/>
  <c r="H59" i="36"/>
  <c r="E59" i="36"/>
  <c r="F59" i="36" s="1"/>
  <c r="O58" i="36"/>
  <c r="N58" i="36"/>
  <c r="K58" i="36"/>
  <c r="L58" i="36" s="1"/>
  <c r="I58" i="36"/>
  <c r="H58" i="36"/>
  <c r="E58" i="36"/>
  <c r="F58" i="36" s="1"/>
  <c r="N57" i="36"/>
  <c r="O57" i="36" s="1"/>
  <c r="K57" i="36"/>
  <c r="L57" i="36" s="1"/>
  <c r="H57" i="36"/>
  <c r="I57" i="36" s="1"/>
  <c r="E57" i="36"/>
  <c r="F57" i="36" s="1"/>
  <c r="N56" i="36"/>
  <c r="O56" i="36" s="1"/>
  <c r="L56" i="36"/>
  <c r="K56" i="36"/>
  <c r="H56" i="36"/>
  <c r="I56" i="36" s="1"/>
  <c r="E56" i="36"/>
  <c r="F56" i="36" s="1"/>
  <c r="N55" i="36"/>
  <c r="O55" i="36" s="1"/>
  <c r="K55" i="36"/>
  <c r="L55" i="36" s="1"/>
  <c r="I55" i="36"/>
  <c r="H55" i="36"/>
  <c r="E55" i="36"/>
  <c r="F55" i="36" s="1"/>
  <c r="N54" i="36"/>
  <c r="O54" i="36" s="1"/>
  <c r="L54" i="36"/>
  <c r="K54" i="36"/>
  <c r="I54" i="36"/>
  <c r="H54" i="36"/>
  <c r="E54" i="36"/>
  <c r="F54" i="36" s="1"/>
  <c r="N53" i="36"/>
  <c r="O53" i="36" s="1"/>
  <c r="L53" i="36"/>
  <c r="K53" i="36"/>
  <c r="H53" i="36"/>
  <c r="I53" i="36" s="1"/>
  <c r="E53" i="36"/>
  <c r="F53" i="36" s="1"/>
  <c r="O52" i="36"/>
  <c r="N52" i="36"/>
  <c r="K52" i="36"/>
  <c r="L52" i="36" s="1"/>
  <c r="H52" i="36"/>
  <c r="I52" i="36" s="1"/>
  <c r="E52" i="36"/>
  <c r="F52" i="36" s="1"/>
  <c r="N51" i="36"/>
  <c r="O51" i="36" s="1"/>
  <c r="L51" i="36"/>
  <c r="K51" i="36"/>
  <c r="I51" i="36"/>
  <c r="H51" i="36"/>
  <c r="E51" i="36"/>
  <c r="F51" i="36" s="1"/>
  <c r="O50" i="36"/>
  <c r="N50" i="36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N48" i="36"/>
  <c r="O48" i="36" s="1"/>
  <c r="L48" i="36"/>
  <c r="K48" i="36"/>
  <c r="H48" i="36"/>
  <c r="I48" i="36" s="1"/>
  <c r="E48" i="36"/>
  <c r="F48" i="36" s="1"/>
  <c r="N47" i="36"/>
  <c r="O47" i="36" s="1"/>
  <c r="K47" i="36"/>
  <c r="L47" i="36" s="1"/>
  <c r="I47" i="36"/>
  <c r="H47" i="36"/>
  <c r="E47" i="36"/>
  <c r="F47" i="36" s="1"/>
  <c r="N46" i="36"/>
  <c r="O46" i="36" s="1"/>
  <c r="L46" i="36"/>
  <c r="K46" i="36"/>
  <c r="I46" i="36"/>
  <c r="H46" i="36"/>
  <c r="E46" i="36"/>
  <c r="F46" i="36" s="1"/>
  <c r="N45" i="36"/>
  <c r="O45" i="36" s="1"/>
  <c r="L45" i="36"/>
  <c r="K45" i="36"/>
  <c r="H45" i="36"/>
  <c r="I45" i="36" s="1"/>
  <c r="E45" i="36"/>
  <c r="F45" i="36" s="1"/>
  <c r="O44" i="36"/>
  <c r="N44" i="36"/>
  <c r="K44" i="36"/>
  <c r="H44" i="36"/>
  <c r="I4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O187" i="35"/>
  <c r="N187" i="35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L163" i="35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N161" i="35"/>
  <c r="O161" i="35" s="1"/>
  <c r="L161" i="35"/>
  <c r="K161" i="35"/>
  <c r="I161" i="35"/>
  <c r="H161" i="35"/>
  <c r="F161" i="35"/>
  <c r="E161" i="35"/>
  <c r="N160" i="35"/>
  <c r="O160" i="35" s="1"/>
  <c r="L160" i="35"/>
  <c r="K160" i="35"/>
  <c r="I160" i="35"/>
  <c r="H160" i="35"/>
  <c r="F160" i="35"/>
  <c r="E160" i="35"/>
  <c r="N159" i="35"/>
  <c r="O159" i="35" s="1"/>
  <c r="L159" i="35"/>
  <c r="K159" i="35"/>
  <c r="I159" i="35"/>
  <c r="H159" i="35"/>
  <c r="F159" i="35"/>
  <c r="E159" i="35"/>
  <c r="N158" i="35"/>
  <c r="O158" i="35" s="1"/>
  <c r="L158" i="35"/>
  <c r="K158" i="35"/>
  <c r="I158" i="35"/>
  <c r="H158" i="35"/>
  <c r="F158" i="35"/>
  <c r="E158" i="35"/>
  <c r="N157" i="35"/>
  <c r="O157" i="35" s="1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N142" i="35"/>
  <c r="O142" i="35" s="1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O136" i="35"/>
  <c r="N136" i="35"/>
  <c r="L136" i="35"/>
  <c r="K136" i="35"/>
  <c r="H136" i="35"/>
  <c r="I136" i="35" s="1"/>
  <c r="F136" i="35"/>
  <c r="E136" i="35"/>
  <c r="N135" i="35"/>
  <c r="O135" i="35" s="1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N133" i="35"/>
  <c r="O133" i="35" s="1"/>
  <c r="K133" i="35"/>
  <c r="L133" i="35" s="1"/>
  <c r="H133" i="35"/>
  <c r="I133" i="35" s="1"/>
  <c r="F133" i="35"/>
  <c r="E133" i="35"/>
  <c r="N132" i="35"/>
  <c r="O132" i="35" s="1"/>
  <c r="L132" i="35"/>
  <c r="K132" i="35"/>
  <c r="H132" i="35"/>
  <c r="I132" i="35" s="1"/>
  <c r="F132" i="35"/>
  <c r="E132" i="35"/>
  <c r="O131" i="35"/>
  <c r="N131" i="35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F130" i="35"/>
  <c r="E130" i="35"/>
  <c r="O129" i="35"/>
  <c r="N129" i="35"/>
  <c r="K129" i="35"/>
  <c r="L129" i="35" s="1"/>
  <c r="H129" i="35"/>
  <c r="I129" i="35" s="1"/>
  <c r="F129" i="35"/>
  <c r="E129" i="35"/>
  <c r="N128" i="35"/>
  <c r="O128" i="35" s="1"/>
  <c r="L128" i="35"/>
  <c r="K128" i="35"/>
  <c r="H128" i="35"/>
  <c r="I128" i="35" s="1"/>
  <c r="F128" i="35"/>
  <c r="E128" i="35"/>
  <c r="N127" i="35"/>
  <c r="O127" i="35" s="1"/>
  <c r="K127" i="35"/>
  <c r="L127" i="35" s="1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I117" i="35"/>
  <c r="H117" i="35"/>
  <c r="F117" i="35"/>
  <c r="E117" i="35"/>
  <c r="N116" i="35"/>
  <c r="O116" i="35" s="1"/>
  <c r="L116" i="35"/>
  <c r="K116" i="35"/>
  <c r="I116" i="35"/>
  <c r="H116" i="35"/>
  <c r="F116" i="35"/>
  <c r="E116" i="35"/>
  <c r="N115" i="35"/>
  <c r="O115" i="35" s="1"/>
  <c r="L115" i="35"/>
  <c r="K115" i="35"/>
  <c r="I115" i="35"/>
  <c r="H115" i="35"/>
  <c r="F115" i="35"/>
  <c r="E115" i="35"/>
  <c r="N114" i="35"/>
  <c r="O114" i="35" s="1"/>
  <c r="L114" i="35"/>
  <c r="K114" i="35"/>
  <c r="I114" i="35"/>
  <c r="H114" i="35"/>
  <c r="F114" i="35"/>
  <c r="E114" i="35"/>
  <c r="N113" i="35"/>
  <c r="O113" i="35" s="1"/>
  <c r="L113" i="35"/>
  <c r="K113" i="35"/>
  <c r="I113" i="35"/>
  <c r="H113" i="35"/>
  <c r="F113" i="35"/>
  <c r="E113" i="35"/>
  <c r="N112" i="35"/>
  <c r="O112" i="35" s="1"/>
  <c r="L112" i="35"/>
  <c r="K112" i="35"/>
  <c r="I112" i="35"/>
  <c r="H112" i="35"/>
  <c r="F112" i="35"/>
  <c r="E112" i="35"/>
  <c r="N111" i="35"/>
  <c r="O111" i="35" s="1"/>
  <c r="L111" i="35"/>
  <c r="K111" i="35"/>
  <c r="I111" i="35"/>
  <c r="H111" i="35"/>
  <c r="F111" i="35"/>
  <c r="E111" i="35"/>
  <c r="N110" i="35"/>
  <c r="O110" i="35" s="1"/>
  <c r="L110" i="35"/>
  <c r="K110" i="35"/>
  <c r="I110" i="35"/>
  <c r="H110" i="35"/>
  <c r="F110" i="35"/>
  <c r="E110" i="35"/>
  <c r="N109" i="35"/>
  <c r="O109" i="35" s="1"/>
  <c r="L109" i="35"/>
  <c r="K109" i="35"/>
  <c r="I109" i="35"/>
  <c r="H109" i="35"/>
  <c r="F109" i="35"/>
  <c r="E109" i="35"/>
  <c r="N108" i="35"/>
  <c r="O108" i="35" s="1"/>
  <c r="L108" i="35"/>
  <c r="K108" i="35"/>
  <c r="I108" i="35"/>
  <c r="H108" i="35"/>
  <c r="E108" i="35"/>
  <c r="F108" i="35" s="1"/>
  <c r="N107" i="35"/>
  <c r="O107" i="35" s="1"/>
  <c r="K107" i="35"/>
  <c r="L107" i="35" s="1"/>
  <c r="H107" i="35"/>
  <c r="I107" i="35" s="1"/>
  <c r="F107" i="35"/>
  <c r="E107" i="35"/>
  <c r="O106" i="35"/>
  <c r="N106" i="35"/>
  <c r="K106" i="35"/>
  <c r="L106" i="35" s="1"/>
  <c r="H106" i="35"/>
  <c r="I106" i="35" s="1"/>
  <c r="F106" i="35"/>
  <c r="E106" i="35"/>
  <c r="N105" i="35"/>
  <c r="O105" i="35" s="1"/>
  <c r="L105" i="35"/>
  <c r="K105" i="35"/>
  <c r="H105" i="35"/>
  <c r="I105" i="35" s="1"/>
  <c r="F105" i="35"/>
  <c r="E105" i="35"/>
  <c r="N104" i="35"/>
  <c r="O104" i="35" s="1"/>
  <c r="L104" i="35"/>
  <c r="K104" i="35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L102" i="35"/>
  <c r="K102" i="35"/>
  <c r="I102" i="35"/>
  <c r="H102" i="35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K99" i="35"/>
  <c r="H99" i="35"/>
  <c r="I99" i="35" s="1"/>
  <c r="E99" i="35"/>
  <c r="F99" i="35" s="1"/>
  <c r="N98" i="35"/>
  <c r="K98" i="35"/>
  <c r="K118" i="35" s="1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F90" i="35" s="1"/>
  <c r="O89" i="35"/>
  <c r="N89" i="35"/>
  <c r="L89" i="35"/>
  <c r="K89" i="35"/>
  <c r="H89" i="35"/>
  <c r="I89" i="35" s="1"/>
  <c r="E89" i="35"/>
  <c r="F89" i="35" s="1"/>
  <c r="N88" i="35"/>
  <c r="O88" i="35" s="1"/>
  <c r="K88" i="35"/>
  <c r="L88" i="35" s="1"/>
  <c r="H88" i="35"/>
  <c r="I88" i="35" s="1"/>
  <c r="E88" i="35"/>
  <c r="F88" i="35" s="1"/>
  <c r="O87" i="35"/>
  <c r="N87" i="35"/>
  <c r="L87" i="35"/>
  <c r="K87" i="35"/>
  <c r="I87" i="35"/>
  <c r="H87" i="35"/>
  <c r="E87" i="35"/>
  <c r="F87" i="35" s="1"/>
  <c r="N86" i="35"/>
  <c r="O86" i="35" s="1"/>
  <c r="K86" i="35"/>
  <c r="L86" i="35" s="1"/>
  <c r="H86" i="35"/>
  <c r="I86" i="35" s="1"/>
  <c r="E86" i="35"/>
  <c r="F86" i="35" s="1"/>
  <c r="O85" i="35"/>
  <c r="N85" i="35"/>
  <c r="L85" i="35"/>
  <c r="K85" i="35"/>
  <c r="H85" i="35"/>
  <c r="I85" i="35" s="1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L83" i="35"/>
  <c r="K83" i="35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L80" i="35"/>
  <c r="K80" i="35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O78" i="35"/>
  <c r="N78" i="35"/>
  <c r="L78" i="35"/>
  <c r="K78" i="35"/>
  <c r="H78" i="35"/>
  <c r="I78" i="35" s="1"/>
  <c r="E78" i="35"/>
  <c r="F78" i="35" s="1"/>
  <c r="N77" i="35"/>
  <c r="O77" i="35" s="1"/>
  <c r="K77" i="35"/>
  <c r="L77" i="35" s="1"/>
  <c r="H77" i="35"/>
  <c r="I77" i="35" s="1"/>
  <c r="E77" i="35"/>
  <c r="F77" i="35" s="1"/>
  <c r="O76" i="35"/>
  <c r="N76" i="35"/>
  <c r="L76" i="35"/>
  <c r="K76" i="35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O74" i="35"/>
  <c r="N74" i="35"/>
  <c r="K74" i="35"/>
  <c r="L74" i="35" s="1"/>
  <c r="H74" i="35"/>
  <c r="I74" i="35" s="1"/>
  <c r="E74" i="35"/>
  <c r="F74" i="35" s="1"/>
  <c r="O73" i="35"/>
  <c r="N73" i="35"/>
  <c r="L73" i="35"/>
  <c r="K73" i="35"/>
  <c r="H73" i="35"/>
  <c r="I73" i="35" s="1"/>
  <c r="E73" i="35"/>
  <c r="F73" i="35" s="1"/>
  <c r="N72" i="35"/>
  <c r="O72" i="35" s="1"/>
  <c r="K72" i="35"/>
  <c r="L72" i="35" s="1"/>
  <c r="H72" i="35"/>
  <c r="I72" i="35" s="1"/>
  <c r="E72" i="35"/>
  <c r="F72" i="35" s="1"/>
  <c r="O71" i="35"/>
  <c r="N71" i="35"/>
  <c r="L71" i="35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K63" i="35"/>
  <c r="L63" i="35" s="1"/>
  <c r="H63" i="35"/>
  <c r="I63" i="35" s="1"/>
  <c r="E63" i="35"/>
  <c r="F63" i="35" s="1"/>
  <c r="O62" i="35"/>
  <c r="N62" i="35"/>
  <c r="K62" i="35"/>
  <c r="L62" i="35" s="1"/>
  <c r="H62" i="35"/>
  <c r="I62" i="35" s="1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K58" i="35"/>
  <c r="L58" i="35" s="1"/>
  <c r="H58" i="35"/>
  <c r="I58" i="35" s="1"/>
  <c r="F58" i="35"/>
  <c r="E58" i="35"/>
  <c r="O57" i="35"/>
  <c r="N57" i="35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N53" i="35"/>
  <c r="O53" i="35" s="1"/>
  <c r="L53" i="35"/>
  <c r="K53" i="35"/>
  <c r="H53" i="35"/>
  <c r="I53" i="35" s="1"/>
  <c r="F53" i="35"/>
  <c r="E53" i="35"/>
  <c r="N52" i="35"/>
  <c r="O52" i="35" s="1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O49" i="35"/>
  <c r="N49" i="35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O46" i="35"/>
  <c r="N46" i="35"/>
  <c r="K46" i="35"/>
  <c r="L46" i="35" s="1"/>
  <c r="H46" i="35"/>
  <c r="I46" i="35" s="1"/>
  <c r="F46" i="35"/>
  <c r="E46" i="35"/>
  <c r="O45" i="35"/>
  <c r="N45" i="35"/>
  <c r="L45" i="35"/>
  <c r="K45" i="35"/>
  <c r="H45" i="35"/>
  <c r="I45" i="35" s="1"/>
  <c r="F45" i="35"/>
  <c r="E45" i="35"/>
  <c r="N44" i="35"/>
  <c r="K44" i="35"/>
  <c r="K64" i="35" s="1"/>
  <c r="H44" i="35"/>
  <c r="F44" i="35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N192" i="34"/>
  <c r="O192" i="34" s="1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N184" i="34"/>
  <c r="O184" i="34" s="1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H171" i="34"/>
  <c r="I171" i="34" s="1"/>
  <c r="F171" i="34"/>
  <c r="E171" i="34"/>
  <c r="N170" i="34"/>
  <c r="O170" i="34" s="1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N168" i="34"/>
  <c r="O168" i="34" s="1"/>
  <c r="K168" i="34"/>
  <c r="L168" i="34" s="1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N165" i="34"/>
  <c r="O165" i="34" s="1"/>
  <c r="L165" i="34"/>
  <c r="K165" i="34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N162" i="34"/>
  <c r="O162" i="34" s="1"/>
  <c r="K162" i="34"/>
  <c r="L162" i="34" s="1"/>
  <c r="H162" i="34"/>
  <c r="I162" i="34" s="1"/>
  <c r="F162" i="34"/>
  <c r="E162" i="34"/>
  <c r="O161" i="34"/>
  <c r="N161" i="34"/>
  <c r="L161" i="34"/>
  <c r="K161" i="34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N157" i="34"/>
  <c r="O157" i="34" s="1"/>
  <c r="K157" i="34"/>
  <c r="L157" i="34" s="1"/>
  <c r="H157" i="34"/>
  <c r="I157" i="34" s="1"/>
  <c r="F157" i="34"/>
  <c r="E157" i="34"/>
  <c r="O156" i="34"/>
  <c r="N156" i="34"/>
  <c r="K156" i="34"/>
  <c r="L156" i="34" s="1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N154" i="34"/>
  <c r="O154" i="34" s="1"/>
  <c r="K154" i="34"/>
  <c r="L154" i="34" s="1"/>
  <c r="H154" i="34"/>
  <c r="I154" i="34" s="1"/>
  <c r="F154" i="34"/>
  <c r="E154" i="34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O142" i="34"/>
  <c r="N142" i="34"/>
  <c r="K142" i="34"/>
  <c r="L142" i="34" s="1"/>
  <c r="H142" i="34"/>
  <c r="I142" i="34" s="1"/>
  <c r="F142" i="34"/>
  <c r="E142" i="34"/>
  <c r="N141" i="34"/>
  <c r="O141" i="34" s="1"/>
  <c r="K141" i="34"/>
  <c r="L141" i="34" s="1"/>
  <c r="H141" i="34"/>
  <c r="I141" i="34" s="1"/>
  <c r="F141" i="34"/>
  <c r="E141" i="34"/>
  <c r="O140" i="34"/>
  <c r="N140" i="34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F138" i="34"/>
  <c r="E138" i="34"/>
  <c r="N137" i="34"/>
  <c r="O137" i="34" s="1"/>
  <c r="L137" i="34"/>
  <c r="K137" i="34"/>
  <c r="H137" i="34"/>
  <c r="I137" i="34" s="1"/>
  <c r="F137" i="34"/>
  <c r="E137" i="34"/>
  <c r="N136" i="34"/>
  <c r="O136" i="34" s="1"/>
  <c r="L136" i="34"/>
  <c r="K136" i="34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N134" i="34"/>
  <c r="O134" i="34" s="1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F133" i="34"/>
  <c r="E133" i="34"/>
  <c r="O132" i="34"/>
  <c r="N132" i="34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K130" i="34"/>
  <c r="L130" i="34" s="1"/>
  <c r="H130" i="34"/>
  <c r="I130" i="34" s="1"/>
  <c r="F130" i="34"/>
  <c r="E130" i="34"/>
  <c r="N129" i="34"/>
  <c r="O129" i="34" s="1"/>
  <c r="L129" i="34"/>
  <c r="K129" i="34"/>
  <c r="H129" i="34"/>
  <c r="I129" i="34" s="1"/>
  <c r="F129" i="34"/>
  <c r="E129" i="34"/>
  <c r="N128" i="34"/>
  <c r="O128" i="34" s="1"/>
  <c r="L128" i="34"/>
  <c r="K128" i="34"/>
  <c r="H128" i="34"/>
  <c r="I128" i="34" s="1"/>
  <c r="F128" i="34"/>
  <c r="E128" i="34"/>
  <c r="N127" i="34"/>
  <c r="O127" i="34" s="1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N125" i="34"/>
  <c r="L125" i="34"/>
  <c r="K125" i="34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L117" i="34"/>
  <c r="K117" i="34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N114" i="34"/>
  <c r="O114" i="34" s="1"/>
  <c r="L114" i="34"/>
  <c r="K114" i="34"/>
  <c r="H114" i="34"/>
  <c r="I114" i="34" s="1"/>
  <c r="F114" i="34"/>
  <c r="E114" i="34"/>
  <c r="N113" i="34"/>
  <c r="O113" i="34" s="1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L110" i="34"/>
  <c r="K110" i="34"/>
  <c r="H110" i="34"/>
  <c r="I110" i="34" s="1"/>
  <c r="F110" i="34"/>
  <c r="E110" i="34"/>
  <c r="O109" i="34"/>
  <c r="N109" i="34"/>
  <c r="L109" i="34"/>
  <c r="K109" i="34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K107" i="34"/>
  <c r="L107" i="34" s="1"/>
  <c r="H107" i="34"/>
  <c r="I107" i="34" s="1"/>
  <c r="F107" i="34"/>
  <c r="E107" i="34"/>
  <c r="N106" i="34"/>
  <c r="O106" i="34" s="1"/>
  <c r="L106" i="34"/>
  <c r="K106" i="34"/>
  <c r="H106" i="34"/>
  <c r="I106" i="34" s="1"/>
  <c r="F106" i="34"/>
  <c r="E106" i="34"/>
  <c r="N105" i="34"/>
  <c r="O105" i="34" s="1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L102" i="34"/>
  <c r="K102" i="34"/>
  <c r="H102" i="34"/>
  <c r="I102" i="34" s="1"/>
  <c r="F102" i="34"/>
  <c r="E102" i="34"/>
  <c r="O101" i="34"/>
  <c r="N101" i="34"/>
  <c r="L101" i="34"/>
  <c r="K101" i="34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N98" i="34"/>
  <c r="N118" i="34" s="1"/>
  <c r="L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H90" i="34"/>
  <c r="I90" i="34" s="1"/>
  <c r="F90" i="34"/>
  <c r="E90" i="34"/>
  <c r="N89" i="34"/>
  <c r="O89" i="34" s="1"/>
  <c r="K89" i="34"/>
  <c r="L89" i="34" s="1"/>
  <c r="I89" i="34"/>
  <c r="H89" i="34"/>
  <c r="F89" i="34"/>
  <c r="E89" i="34"/>
  <c r="O88" i="34"/>
  <c r="N88" i="34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E87" i="34"/>
  <c r="F87" i="34" s="1"/>
  <c r="N86" i="34"/>
  <c r="O86" i="34" s="1"/>
  <c r="K86" i="34"/>
  <c r="L86" i="34" s="1"/>
  <c r="H86" i="34"/>
  <c r="I86" i="34" s="1"/>
  <c r="E86" i="34"/>
  <c r="F86" i="34" s="1"/>
  <c r="O85" i="34"/>
  <c r="N85" i="34"/>
  <c r="L85" i="34"/>
  <c r="K85" i="34"/>
  <c r="I85" i="34"/>
  <c r="H85" i="34"/>
  <c r="E85" i="34"/>
  <c r="F85" i="34" s="1"/>
  <c r="N84" i="34"/>
  <c r="O84" i="34" s="1"/>
  <c r="K84" i="34"/>
  <c r="L84" i="34" s="1"/>
  <c r="H84" i="34"/>
  <c r="I84" i="34" s="1"/>
  <c r="E84" i="34"/>
  <c r="F84" i="34" s="1"/>
  <c r="O83" i="34"/>
  <c r="N83" i="34"/>
  <c r="L83" i="34"/>
  <c r="K83" i="34"/>
  <c r="I83" i="34"/>
  <c r="H83" i="34"/>
  <c r="E83" i="34"/>
  <c r="F83" i="34" s="1"/>
  <c r="N82" i="34"/>
  <c r="O82" i="34" s="1"/>
  <c r="L82" i="34"/>
  <c r="K82" i="34"/>
  <c r="H82" i="34"/>
  <c r="I82" i="34" s="1"/>
  <c r="E82" i="34"/>
  <c r="F82" i="34" s="1"/>
  <c r="N81" i="34"/>
  <c r="O81" i="34" s="1"/>
  <c r="K81" i="34"/>
  <c r="L81" i="34" s="1"/>
  <c r="I81" i="34"/>
  <c r="H81" i="34"/>
  <c r="E81" i="34"/>
  <c r="F81" i="34" s="1"/>
  <c r="N80" i="34"/>
  <c r="O80" i="34" s="1"/>
  <c r="K80" i="34"/>
  <c r="L80" i="34" s="1"/>
  <c r="H80" i="34"/>
  <c r="I80" i="34" s="1"/>
  <c r="E80" i="34"/>
  <c r="F80" i="34" s="1"/>
  <c r="O79" i="34"/>
  <c r="N79" i="34"/>
  <c r="K79" i="34"/>
  <c r="L79" i="34" s="1"/>
  <c r="I79" i="34"/>
  <c r="H79" i="34"/>
  <c r="E79" i="34"/>
  <c r="F79" i="34" s="1"/>
  <c r="O78" i="34"/>
  <c r="N78" i="34"/>
  <c r="K78" i="34"/>
  <c r="L78" i="34" s="1"/>
  <c r="H78" i="34"/>
  <c r="I78" i="34" s="1"/>
  <c r="E78" i="34"/>
  <c r="F78" i="34" s="1"/>
  <c r="N77" i="34"/>
  <c r="O77" i="34" s="1"/>
  <c r="L77" i="34"/>
  <c r="K77" i="34"/>
  <c r="I77" i="34"/>
  <c r="H77" i="34"/>
  <c r="E77" i="34"/>
  <c r="F77" i="34" s="1"/>
  <c r="O76" i="34"/>
  <c r="N76" i="34"/>
  <c r="K76" i="34"/>
  <c r="L76" i="34" s="1"/>
  <c r="H76" i="34"/>
  <c r="I76" i="34" s="1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H74" i="34"/>
  <c r="I74" i="34" s="1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K72" i="34"/>
  <c r="L72" i="34" s="1"/>
  <c r="H72" i="34"/>
  <c r="I72" i="34" s="1"/>
  <c r="E72" i="34"/>
  <c r="F72" i="34" s="1"/>
  <c r="O71" i="34"/>
  <c r="N71" i="34"/>
  <c r="K71" i="34"/>
  <c r="K91" i="34" s="1"/>
  <c r="I71" i="34"/>
  <c r="H71" i="34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K63" i="34"/>
  <c r="L63" i="34" s="1"/>
  <c r="H63" i="34"/>
  <c r="I63" i="34" s="1"/>
  <c r="E63" i="34"/>
  <c r="F63" i="34" s="1"/>
  <c r="N62" i="34"/>
  <c r="O62" i="34" s="1"/>
  <c r="L62" i="34"/>
  <c r="K62" i="34"/>
  <c r="I62" i="34"/>
  <c r="H62" i="34"/>
  <c r="F62" i="34"/>
  <c r="E62" i="34"/>
  <c r="N61" i="34"/>
  <c r="O61" i="34" s="1"/>
  <c r="L61" i="34"/>
  <c r="K61" i="34"/>
  <c r="I61" i="34"/>
  <c r="H61" i="34"/>
  <c r="F61" i="34"/>
  <c r="E61" i="34"/>
  <c r="N60" i="34"/>
  <c r="O60" i="34" s="1"/>
  <c r="L60" i="34"/>
  <c r="K60" i="34"/>
  <c r="I60" i="34"/>
  <c r="H60" i="34"/>
  <c r="F60" i="34"/>
  <c r="E60" i="34"/>
  <c r="N59" i="34"/>
  <c r="O59" i="34" s="1"/>
  <c r="L59" i="34"/>
  <c r="K59" i="34"/>
  <c r="I59" i="34"/>
  <c r="H59" i="34"/>
  <c r="F59" i="34"/>
  <c r="E59" i="34"/>
  <c r="N58" i="34"/>
  <c r="O58" i="34" s="1"/>
  <c r="L58" i="34"/>
  <c r="K58" i="34"/>
  <c r="I58" i="34"/>
  <c r="H58" i="34"/>
  <c r="F58" i="34"/>
  <c r="E58" i="34"/>
  <c r="N57" i="34"/>
  <c r="O57" i="34" s="1"/>
  <c r="L57" i="34"/>
  <c r="K57" i="34"/>
  <c r="I57" i="34"/>
  <c r="H57" i="34"/>
  <c r="F57" i="34"/>
  <c r="E57" i="34"/>
  <c r="N56" i="34"/>
  <c r="O56" i="34" s="1"/>
  <c r="L56" i="34"/>
  <c r="K56" i="34"/>
  <c r="I56" i="34"/>
  <c r="H56" i="34"/>
  <c r="F56" i="34"/>
  <c r="E56" i="34"/>
  <c r="N55" i="34"/>
  <c r="O55" i="34" s="1"/>
  <c r="L55" i="34"/>
  <c r="K55" i="34"/>
  <c r="I55" i="34"/>
  <c r="H55" i="34"/>
  <c r="F55" i="34"/>
  <c r="E55" i="34"/>
  <c r="N54" i="34"/>
  <c r="O54" i="34" s="1"/>
  <c r="L54" i="34"/>
  <c r="K54" i="34"/>
  <c r="I54" i="34"/>
  <c r="H54" i="34"/>
  <c r="F54" i="34"/>
  <c r="E54" i="34"/>
  <c r="N53" i="34"/>
  <c r="O53" i="34" s="1"/>
  <c r="L53" i="34"/>
  <c r="K53" i="34"/>
  <c r="I53" i="34"/>
  <c r="H53" i="34"/>
  <c r="F53" i="34"/>
  <c r="E53" i="34"/>
  <c r="N52" i="34"/>
  <c r="O52" i="34" s="1"/>
  <c r="L52" i="34"/>
  <c r="K52" i="34"/>
  <c r="I52" i="34"/>
  <c r="H52" i="34"/>
  <c r="F52" i="34"/>
  <c r="E52" i="34"/>
  <c r="N51" i="34"/>
  <c r="O51" i="34" s="1"/>
  <c r="L51" i="34"/>
  <c r="K51" i="34"/>
  <c r="I51" i="34"/>
  <c r="H51" i="34"/>
  <c r="F51" i="34"/>
  <c r="E51" i="34"/>
  <c r="N50" i="34"/>
  <c r="O50" i="34" s="1"/>
  <c r="L50" i="34"/>
  <c r="K50" i="34"/>
  <c r="I50" i="34"/>
  <c r="H50" i="34"/>
  <c r="F50" i="34"/>
  <c r="E50" i="34"/>
  <c r="N49" i="34"/>
  <c r="O49" i="34" s="1"/>
  <c r="L49" i="34"/>
  <c r="K49" i="34"/>
  <c r="I49" i="34"/>
  <c r="H49" i="34"/>
  <c r="F49" i="34"/>
  <c r="E49" i="34"/>
  <c r="N48" i="34"/>
  <c r="O48" i="34" s="1"/>
  <c r="L48" i="34"/>
  <c r="K48" i="34"/>
  <c r="I48" i="34"/>
  <c r="H48" i="34"/>
  <c r="F48" i="34"/>
  <c r="E48" i="34"/>
  <c r="N47" i="34"/>
  <c r="O47" i="34" s="1"/>
  <c r="L47" i="34"/>
  <c r="K47" i="34"/>
  <c r="I47" i="34"/>
  <c r="H47" i="34"/>
  <c r="F47" i="34"/>
  <c r="E47" i="34"/>
  <c r="N46" i="34"/>
  <c r="O46" i="34" s="1"/>
  <c r="L46" i="34"/>
  <c r="K46" i="34"/>
  <c r="I46" i="34"/>
  <c r="H46" i="34"/>
  <c r="F46" i="34"/>
  <c r="E46" i="34"/>
  <c r="N45" i="34"/>
  <c r="O45" i="34" s="1"/>
  <c r="L45" i="34"/>
  <c r="K45" i="34"/>
  <c r="I45" i="34"/>
  <c r="H45" i="34"/>
  <c r="F45" i="34"/>
  <c r="E45" i="34"/>
  <c r="N44" i="34"/>
  <c r="N64" i="34" s="1"/>
  <c r="L44" i="34"/>
  <c r="K44" i="34"/>
  <c r="K64" i="34" s="1"/>
  <c r="I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I171" i="33"/>
  <c r="H171" i="33"/>
  <c r="F171" i="33"/>
  <c r="E171" i="33"/>
  <c r="O170" i="33"/>
  <c r="N170" i="33"/>
  <c r="L170" i="33"/>
  <c r="K170" i="33"/>
  <c r="I170" i="33"/>
  <c r="H170" i="33"/>
  <c r="F170" i="33"/>
  <c r="E170" i="33"/>
  <c r="O169" i="33"/>
  <c r="N169" i="33"/>
  <c r="L169" i="33"/>
  <c r="K169" i="33"/>
  <c r="I169" i="33"/>
  <c r="H169" i="33"/>
  <c r="F169" i="33"/>
  <c r="E169" i="33"/>
  <c r="O168" i="33"/>
  <c r="N168" i="33"/>
  <c r="L168" i="33"/>
  <c r="K168" i="33"/>
  <c r="I168" i="33"/>
  <c r="H168" i="33"/>
  <c r="F168" i="33"/>
  <c r="E168" i="33"/>
  <c r="O167" i="33"/>
  <c r="N167" i="33"/>
  <c r="L167" i="33"/>
  <c r="K167" i="33"/>
  <c r="I167" i="33"/>
  <c r="H167" i="33"/>
  <c r="F167" i="33"/>
  <c r="E167" i="33"/>
  <c r="O166" i="33"/>
  <c r="N166" i="33"/>
  <c r="L166" i="33"/>
  <c r="K166" i="33"/>
  <c r="I166" i="33"/>
  <c r="H166" i="33"/>
  <c r="F166" i="33"/>
  <c r="E166" i="33"/>
  <c r="O165" i="33"/>
  <c r="N165" i="33"/>
  <c r="L165" i="33"/>
  <c r="K165" i="33"/>
  <c r="I165" i="33"/>
  <c r="H165" i="33"/>
  <c r="F165" i="33"/>
  <c r="E165" i="33"/>
  <c r="O164" i="33"/>
  <c r="N164" i="33"/>
  <c r="L164" i="33"/>
  <c r="K164" i="33"/>
  <c r="I164" i="33"/>
  <c r="H164" i="33"/>
  <c r="F164" i="33"/>
  <c r="E164" i="33"/>
  <c r="O163" i="33"/>
  <c r="N163" i="33"/>
  <c r="L163" i="33"/>
  <c r="K163" i="33"/>
  <c r="I163" i="33"/>
  <c r="H163" i="33"/>
  <c r="F163" i="33"/>
  <c r="E163" i="33"/>
  <c r="O162" i="33"/>
  <c r="N162" i="33"/>
  <c r="L162" i="33"/>
  <c r="K162" i="33"/>
  <c r="I162" i="33"/>
  <c r="H162" i="33"/>
  <c r="F162" i="33"/>
  <c r="E162" i="33"/>
  <c r="O161" i="33"/>
  <c r="N161" i="33"/>
  <c r="L161" i="33"/>
  <c r="K161" i="33"/>
  <c r="I161" i="33"/>
  <c r="H161" i="33"/>
  <c r="F161" i="33"/>
  <c r="E161" i="33"/>
  <c r="O160" i="33"/>
  <c r="N160" i="33"/>
  <c r="L160" i="33"/>
  <c r="K160" i="33"/>
  <c r="I160" i="33"/>
  <c r="H160" i="33"/>
  <c r="F160" i="33"/>
  <c r="E160" i="33"/>
  <c r="O159" i="33"/>
  <c r="N159" i="33"/>
  <c r="L159" i="33"/>
  <c r="K159" i="33"/>
  <c r="I159" i="33"/>
  <c r="H159" i="33"/>
  <c r="F159" i="33"/>
  <c r="E159" i="33"/>
  <c r="O158" i="33"/>
  <c r="N158" i="33"/>
  <c r="L158" i="33"/>
  <c r="K158" i="33"/>
  <c r="I158" i="33"/>
  <c r="H158" i="33"/>
  <c r="F158" i="33"/>
  <c r="E158" i="33"/>
  <c r="O157" i="33"/>
  <c r="N157" i="33"/>
  <c r="L157" i="33"/>
  <c r="K157" i="33"/>
  <c r="I157" i="33"/>
  <c r="H157" i="33"/>
  <c r="F157" i="33"/>
  <c r="E157" i="33"/>
  <c r="O156" i="33"/>
  <c r="N156" i="33"/>
  <c r="L156" i="33"/>
  <c r="K156" i="33"/>
  <c r="I156" i="33"/>
  <c r="H156" i="33"/>
  <c r="F156" i="33"/>
  <c r="E156" i="33"/>
  <c r="O155" i="33"/>
  <c r="N155" i="33"/>
  <c r="L155" i="33"/>
  <c r="K155" i="33"/>
  <c r="I155" i="33"/>
  <c r="H155" i="33"/>
  <c r="F155" i="33"/>
  <c r="E155" i="33"/>
  <c r="O154" i="33"/>
  <c r="N154" i="33"/>
  <c r="L154" i="33"/>
  <c r="K154" i="33"/>
  <c r="I154" i="33"/>
  <c r="H154" i="33"/>
  <c r="F154" i="33"/>
  <c r="E154" i="33"/>
  <c r="O153" i="33"/>
  <c r="N153" i="33"/>
  <c r="L153" i="33"/>
  <c r="K153" i="33"/>
  <c r="I153" i="33"/>
  <c r="H153" i="33"/>
  <c r="F153" i="33"/>
  <c r="E153" i="33"/>
  <c r="O152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E144" i="33"/>
  <c r="F144" i="33" s="1"/>
  <c r="N143" i="33"/>
  <c r="O143" i="33" s="1"/>
  <c r="K143" i="33"/>
  <c r="L143" i="33" s="1"/>
  <c r="H143" i="33"/>
  <c r="I143" i="33" s="1"/>
  <c r="E143" i="33"/>
  <c r="F143" i="33" s="1"/>
  <c r="N142" i="33"/>
  <c r="O142" i="33" s="1"/>
  <c r="L142" i="33"/>
  <c r="K142" i="33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N140" i="33"/>
  <c r="O140" i="33" s="1"/>
  <c r="K140" i="33"/>
  <c r="L140" i="33" s="1"/>
  <c r="H140" i="33"/>
  <c r="I140" i="33" s="1"/>
  <c r="E140" i="33"/>
  <c r="F140" i="33" s="1"/>
  <c r="O139" i="33"/>
  <c r="N139" i="33"/>
  <c r="K139" i="33"/>
  <c r="L139" i="33" s="1"/>
  <c r="H139" i="33"/>
  <c r="I139" i="33" s="1"/>
  <c r="E139" i="33"/>
  <c r="F139" i="33" s="1"/>
  <c r="O138" i="33"/>
  <c r="N138" i="33"/>
  <c r="K138" i="33"/>
  <c r="L138" i="33" s="1"/>
  <c r="I138" i="33"/>
  <c r="H138" i="33"/>
  <c r="E138" i="33"/>
  <c r="F138" i="33" s="1"/>
  <c r="N137" i="33"/>
  <c r="O137" i="33" s="1"/>
  <c r="L137" i="33"/>
  <c r="K137" i="33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O134" i="33"/>
  <c r="N134" i="33"/>
  <c r="K134" i="33"/>
  <c r="L134" i="33" s="1"/>
  <c r="I134" i="33"/>
  <c r="H134" i="33"/>
  <c r="E134" i="33"/>
  <c r="F134" i="33" s="1"/>
  <c r="N133" i="33"/>
  <c r="O133" i="33" s="1"/>
  <c r="K133" i="33"/>
  <c r="L133" i="33" s="1"/>
  <c r="I133" i="33"/>
  <c r="H133" i="33"/>
  <c r="E133" i="33"/>
  <c r="F133" i="33" s="1"/>
  <c r="O132" i="33"/>
  <c r="N132" i="33"/>
  <c r="K132" i="33"/>
  <c r="L132" i="33" s="1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O128" i="33"/>
  <c r="N128" i="33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H126" i="33"/>
  <c r="I126" i="33" s="1"/>
  <c r="E126" i="33"/>
  <c r="F126" i="33" s="1"/>
  <c r="O125" i="33"/>
  <c r="N125" i="33"/>
  <c r="L125" i="33"/>
  <c r="K125" i="33"/>
  <c r="I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O116" i="33"/>
  <c r="N116" i="33"/>
  <c r="K116" i="33"/>
  <c r="L116" i="33" s="1"/>
  <c r="I116" i="33"/>
  <c r="H116" i="33"/>
  <c r="F116" i="33"/>
  <c r="E116" i="33"/>
  <c r="O115" i="33"/>
  <c r="N115" i="33"/>
  <c r="K115" i="33"/>
  <c r="L115" i="33" s="1"/>
  <c r="I115" i="33"/>
  <c r="H115" i="33"/>
  <c r="F115" i="33"/>
  <c r="E115" i="33"/>
  <c r="N114" i="33"/>
  <c r="O114" i="33" s="1"/>
  <c r="K114" i="33"/>
  <c r="L114" i="33" s="1"/>
  <c r="I114" i="33"/>
  <c r="H114" i="33"/>
  <c r="F114" i="33"/>
  <c r="E114" i="33"/>
  <c r="N113" i="33"/>
  <c r="O113" i="33" s="1"/>
  <c r="K113" i="33"/>
  <c r="L113" i="33" s="1"/>
  <c r="I113" i="33"/>
  <c r="H113" i="33"/>
  <c r="F113" i="33"/>
  <c r="E113" i="33"/>
  <c r="N112" i="33"/>
  <c r="O112" i="33" s="1"/>
  <c r="K112" i="33"/>
  <c r="L112" i="33" s="1"/>
  <c r="I112" i="33"/>
  <c r="H112" i="33"/>
  <c r="F112" i="33"/>
  <c r="E112" i="33"/>
  <c r="O111" i="33"/>
  <c r="N111" i="33"/>
  <c r="K111" i="33"/>
  <c r="L111" i="33" s="1"/>
  <c r="I111" i="33"/>
  <c r="H111" i="33"/>
  <c r="F111" i="33"/>
  <c r="E111" i="33"/>
  <c r="N110" i="33"/>
  <c r="O110" i="33" s="1"/>
  <c r="K110" i="33"/>
  <c r="L110" i="33" s="1"/>
  <c r="I110" i="33"/>
  <c r="H110" i="33"/>
  <c r="F110" i="33"/>
  <c r="E110" i="33"/>
  <c r="N109" i="33"/>
  <c r="O109" i="33" s="1"/>
  <c r="K109" i="33"/>
  <c r="L109" i="33" s="1"/>
  <c r="I109" i="33"/>
  <c r="H109" i="33"/>
  <c r="F109" i="33"/>
  <c r="E109" i="33"/>
  <c r="N108" i="33"/>
  <c r="O108" i="33" s="1"/>
  <c r="K108" i="33"/>
  <c r="L108" i="33" s="1"/>
  <c r="I108" i="33"/>
  <c r="H108" i="33"/>
  <c r="F108" i="33"/>
  <c r="E108" i="33"/>
  <c r="O107" i="33"/>
  <c r="N107" i="33"/>
  <c r="K107" i="33"/>
  <c r="L107" i="33" s="1"/>
  <c r="I107" i="33"/>
  <c r="H107" i="33"/>
  <c r="F107" i="33"/>
  <c r="E107" i="33"/>
  <c r="N106" i="33"/>
  <c r="O106" i="33" s="1"/>
  <c r="K106" i="33"/>
  <c r="L106" i="33" s="1"/>
  <c r="I106" i="33"/>
  <c r="H106" i="33"/>
  <c r="F106" i="33"/>
  <c r="E106" i="33"/>
  <c r="O105" i="33"/>
  <c r="N105" i="33"/>
  <c r="K105" i="33"/>
  <c r="L105" i="33" s="1"/>
  <c r="I105" i="33"/>
  <c r="H105" i="33"/>
  <c r="F105" i="33"/>
  <c r="E105" i="33"/>
  <c r="N104" i="33"/>
  <c r="O104" i="33" s="1"/>
  <c r="K104" i="33"/>
  <c r="L104" i="33" s="1"/>
  <c r="I104" i="33"/>
  <c r="H104" i="33"/>
  <c r="F104" i="33"/>
  <c r="E104" i="33"/>
  <c r="O103" i="33"/>
  <c r="N103" i="33"/>
  <c r="K103" i="33"/>
  <c r="L103" i="33" s="1"/>
  <c r="I103" i="33"/>
  <c r="H103" i="33"/>
  <c r="F103" i="33"/>
  <c r="E103" i="33"/>
  <c r="N102" i="33"/>
  <c r="O102" i="33" s="1"/>
  <c r="K102" i="33"/>
  <c r="L102" i="33" s="1"/>
  <c r="I102" i="33"/>
  <c r="H102" i="33"/>
  <c r="F102" i="33"/>
  <c r="E102" i="33"/>
  <c r="N101" i="33"/>
  <c r="O101" i="33" s="1"/>
  <c r="K101" i="33"/>
  <c r="L101" i="33" s="1"/>
  <c r="I101" i="33"/>
  <c r="H101" i="33"/>
  <c r="F101" i="33"/>
  <c r="E101" i="33"/>
  <c r="N100" i="33"/>
  <c r="O100" i="33" s="1"/>
  <c r="K100" i="33"/>
  <c r="L100" i="33" s="1"/>
  <c r="I100" i="33"/>
  <c r="H100" i="33"/>
  <c r="F100" i="33"/>
  <c r="E100" i="33"/>
  <c r="O99" i="33"/>
  <c r="N99" i="33"/>
  <c r="K99" i="33"/>
  <c r="L99" i="33" s="1"/>
  <c r="I99" i="33"/>
  <c r="H99" i="33"/>
  <c r="F99" i="33"/>
  <c r="E99" i="33"/>
  <c r="N98" i="33"/>
  <c r="N118" i="33" s="1"/>
  <c r="K98" i="33"/>
  <c r="I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F89" i="33"/>
  <c r="E89" i="33"/>
  <c r="N88" i="33"/>
  <c r="O88" i="33" s="1"/>
  <c r="K88" i="33"/>
  <c r="L88" i="33" s="1"/>
  <c r="H88" i="33"/>
  <c r="I88" i="33" s="1"/>
  <c r="F88" i="33"/>
  <c r="E88" i="33"/>
  <c r="N87" i="33"/>
  <c r="O87" i="33" s="1"/>
  <c r="K87" i="33"/>
  <c r="L87" i="33" s="1"/>
  <c r="H87" i="33"/>
  <c r="I87" i="33" s="1"/>
  <c r="F87" i="33"/>
  <c r="E87" i="33"/>
  <c r="N86" i="33"/>
  <c r="O86" i="33" s="1"/>
  <c r="L86" i="33"/>
  <c r="K86" i="33"/>
  <c r="H86" i="33"/>
  <c r="I86" i="33" s="1"/>
  <c r="F86" i="33"/>
  <c r="E86" i="33"/>
  <c r="O85" i="33"/>
  <c r="N85" i="33"/>
  <c r="K85" i="33"/>
  <c r="L85" i="33" s="1"/>
  <c r="H85" i="33"/>
  <c r="I85" i="33" s="1"/>
  <c r="F85" i="33"/>
  <c r="E85" i="33"/>
  <c r="N84" i="33"/>
  <c r="O84" i="33" s="1"/>
  <c r="K84" i="33"/>
  <c r="L84" i="33" s="1"/>
  <c r="H84" i="33"/>
  <c r="I84" i="33" s="1"/>
  <c r="F84" i="33"/>
  <c r="E84" i="33"/>
  <c r="O83" i="33"/>
  <c r="N83" i="33"/>
  <c r="K83" i="33"/>
  <c r="L83" i="33" s="1"/>
  <c r="H83" i="33"/>
  <c r="I83" i="33" s="1"/>
  <c r="F83" i="33"/>
  <c r="E83" i="33"/>
  <c r="N82" i="33"/>
  <c r="O82" i="33" s="1"/>
  <c r="L82" i="33"/>
  <c r="K82" i="33"/>
  <c r="H82" i="33"/>
  <c r="I82" i="33" s="1"/>
  <c r="F82" i="33"/>
  <c r="E82" i="33"/>
  <c r="N81" i="33"/>
  <c r="O81" i="33" s="1"/>
  <c r="K81" i="33"/>
  <c r="L81" i="33" s="1"/>
  <c r="H81" i="33"/>
  <c r="I81" i="33" s="1"/>
  <c r="F81" i="33"/>
  <c r="E81" i="33"/>
  <c r="N80" i="33"/>
  <c r="O80" i="33" s="1"/>
  <c r="K80" i="33"/>
  <c r="L80" i="33" s="1"/>
  <c r="H80" i="33"/>
  <c r="I80" i="33" s="1"/>
  <c r="F80" i="33"/>
  <c r="E80" i="33"/>
  <c r="N79" i="33"/>
  <c r="O79" i="33" s="1"/>
  <c r="K79" i="33"/>
  <c r="L79" i="33" s="1"/>
  <c r="H79" i="33"/>
  <c r="I79" i="33" s="1"/>
  <c r="F79" i="33"/>
  <c r="E79" i="33"/>
  <c r="N78" i="33"/>
  <c r="O78" i="33" s="1"/>
  <c r="L78" i="33"/>
  <c r="K78" i="33"/>
  <c r="H78" i="33"/>
  <c r="I78" i="33" s="1"/>
  <c r="F78" i="33"/>
  <c r="E78" i="33"/>
  <c r="N77" i="33"/>
  <c r="O77" i="33" s="1"/>
  <c r="K77" i="33"/>
  <c r="L77" i="33" s="1"/>
  <c r="H77" i="33"/>
  <c r="I77" i="33" s="1"/>
  <c r="F77" i="33"/>
  <c r="E77" i="33"/>
  <c r="O76" i="33"/>
  <c r="N76" i="33"/>
  <c r="K76" i="33"/>
  <c r="L76" i="33" s="1"/>
  <c r="H76" i="33"/>
  <c r="I76" i="33" s="1"/>
  <c r="F76" i="33"/>
  <c r="E76" i="33"/>
  <c r="N75" i="33"/>
  <c r="O75" i="33" s="1"/>
  <c r="K75" i="33"/>
  <c r="L75" i="33" s="1"/>
  <c r="H75" i="33"/>
  <c r="I75" i="33" s="1"/>
  <c r="F75" i="33"/>
  <c r="E75" i="33"/>
  <c r="O74" i="33"/>
  <c r="N74" i="33"/>
  <c r="L74" i="33"/>
  <c r="K74" i="33"/>
  <c r="H74" i="33"/>
  <c r="I74" i="33" s="1"/>
  <c r="F74" i="33"/>
  <c r="E74" i="33"/>
  <c r="N73" i="33"/>
  <c r="O73" i="33" s="1"/>
  <c r="K73" i="33"/>
  <c r="L73" i="33" s="1"/>
  <c r="H73" i="33"/>
  <c r="I73" i="33" s="1"/>
  <c r="F73" i="33"/>
  <c r="E73" i="33"/>
  <c r="N72" i="33"/>
  <c r="O72" i="33" s="1"/>
  <c r="K72" i="33"/>
  <c r="L72" i="33" s="1"/>
  <c r="H72" i="33"/>
  <c r="I72" i="33" s="1"/>
  <c r="F72" i="33"/>
  <c r="E72" i="33"/>
  <c r="N71" i="33"/>
  <c r="N91" i="33" s="1"/>
  <c r="K71" i="33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E62" i="33"/>
  <c r="F62" i="33" s="1"/>
  <c r="O61" i="33"/>
  <c r="N61" i="33"/>
  <c r="L61" i="33"/>
  <c r="K61" i="33"/>
  <c r="H61" i="33"/>
  <c r="I61" i="33" s="1"/>
  <c r="E61" i="33"/>
  <c r="F61" i="33" s="1"/>
  <c r="N60" i="33"/>
  <c r="O60" i="33" s="1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H58" i="33"/>
  <c r="I58" i="33" s="1"/>
  <c r="E58" i="33"/>
  <c r="F58" i="33" s="1"/>
  <c r="O57" i="33"/>
  <c r="N57" i="33"/>
  <c r="K57" i="33"/>
  <c r="L57" i="33" s="1"/>
  <c r="H57" i="33"/>
  <c r="I57" i="33" s="1"/>
  <c r="E57" i="33"/>
  <c r="F57" i="33" s="1"/>
  <c r="N56" i="33"/>
  <c r="O56" i="33" s="1"/>
  <c r="K56" i="33"/>
  <c r="L56" i="33" s="1"/>
  <c r="I56" i="33"/>
  <c r="H56" i="33"/>
  <c r="E56" i="33"/>
  <c r="F56" i="33" s="1"/>
  <c r="N55" i="33"/>
  <c r="O55" i="33" s="1"/>
  <c r="K55" i="33"/>
  <c r="L55" i="33" s="1"/>
  <c r="H55" i="33"/>
  <c r="I55" i="33" s="1"/>
  <c r="E55" i="33"/>
  <c r="F55" i="33" s="1"/>
  <c r="O54" i="33"/>
  <c r="N54" i="33"/>
  <c r="L54" i="33"/>
  <c r="K54" i="33"/>
  <c r="H54" i="33"/>
  <c r="I54" i="33" s="1"/>
  <c r="E54" i="33"/>
  <c r="F54" i="33" s="1"/>
  <c r="O53" i="33"/>
  <c r="N53" i="33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L50" i="33"/>
  <c r="K50" i="33"/>
  <c r="H50" i="33"/>
  <c r="I50" i="33" s="1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E45" i="33"/>
  <c r="F45" i="33" s="1"/>
  <c r="N44" i="33"/>
  <c r="N64" i="33" s="1"/>
  <c r="K44" i="33"/>
  <c r="I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K198" i="32"/>
  <c r="L198" i="32" s="1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N196" i="32"/>
  <c r="O196" i="32" s="1"/>
  <c r="K196" i="32"/>
  <c r="L196" i="32" s="1"/>
  <c r="H196" i="32"/>
  <c r="I196" i="32" s="1"/>
  <c r="E196" i="32"/>
  <c r="F196" i="32" s="1"/>
  <c r="O195" i="32"/>
  <c r="N195" i="32"/>
  <c r="K195" i="32"/>
  <c r="L195" i="32" s="1"/>
  <c r="I195" i="32"/>
  <c r="H195" i="32"/>
  <c r="E195" i="32"/>
  <c r="F195" i="32" s="1"/>
  <c r="N194" i="32"/>
  <c r="O194" i="32" s="1"/>
  <c r="K194" i="32"/>
  <c r="L194" i="32" s="1"/>
  <c r="H194" i="32"/>
  <c r="I194" i="32" s="1"/>
  <c r="E194" i="32"/>
  <c r="F194" i="32" s="1"/>
  <c r="N193" i="32"/>
  <c r="O193" i="32" s="1"/>
  <c r="L193" i="32"/>
  <c r="K193" i="32"/>
  <c r="H193" i="32"/>
  <c r="I193" i="32" s="1"/>
  <c r="E193" i="32"/>
  <c r="F193" i="32" s="1"/>
  <c r="N192" i="32"/>
  <c r="O192" i="32" s="1"/>
  <c r="K192" i="32"/>
  <c r="L192" i="32" s="1"/>
  <c r="H192" i="32"/>
  <c r="I192" i="32" s="1"/>
  <c r="E192" i="32"/>
  <c r="F192" i="32" s="1"/>
  <c r="N191" i="32"/>
  <c r="O191" i="32" s="1"/>
  <c r="L191" i="32"/>
  <c r="K191" i="32"/>
  <c r="I191" i="32"/>
  <c r="H191" i="32"/>
  <c r="E191" i="32"/>
  <c r="F191" i="32" s="1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E188" i="32"/>
  <c r="F188" i="32" s="1"/>
  <c r="O187" i="32"/>
  <c r="N187" i="32"/>
  <c r="K187" i="32"/>
  <c r="L187" i="32" s="1"/>
  <c r="I187" i="32"/>
  <c r="H187" i="32"/>
  <c r="E187" i="32"/>
  <c r="F187" i="32" s="1"/>
  <c r="N186" i="32"/>
  <c r="O186" i="32" s="1"/>
  <c r="L186" i="32"/>
  <c r="K186" i="32"/>
  <c r="H186" i="32"/>
  <c r="I186" i="32" s="1"/>
  <c r="E186" i="32"/>
  <c r="F186" i="32" s="1"/>
  <c r="O185" i="32"/>
  <c r="N185" i="32"/>
  <c r="K185" i="32"/>
  <c r="L185" i="32" s="1"/>
  <c r="H185" i="32"/>
  <c r="I185" i="32" s="1"/>
  <c r="E185" i="32"/>
  <c r="F185" i="32" s="1"/>
  <c r="N184" i="32"/>
  <c r="O184" i="32" s="1"/>
  <c r="L184" i="32"/>
  <c r="K184" i="32"/>
  <c r="H184" i="32"/>
  <c r="I184" i="32" s="1"/>
  <c r="E184" i="32"/>
  <c r="F184" i="32" s="1"/>
  <c r="N183" i="32"/>
  <c r="O183" i="32" s="1"/>
  <c r="K183" i="32"/>
  <c r="L183" i="32" s="1"/>
  <c r="I183" i="32"/>
  <c r="H183" i="32"/>
  <c r="E183" i="32"/>
  <c r="F183" i="32" s="1"/>
  <c r="N182" i="32"/>
  <c r="O182" i="32" s="1"/>
  <c r="K182" i="32"/>
  <c r="L182" i="32" s="1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N199" i="32" s="1"/>
  <c r="K180" i="32"/>
  <c r="L180" i="32" s="1"/>
  <c r="H180" i="32"/>
  <c r="I180" i="32" s="1"/>
  <c r="E180" i="32"/>
  <c r="F180" i="32" s="1"/>
  <c r="O179" i="32"/>
  <c r="N179" i="32"/>
  <c r="K179" i="32"/>
  <c r="K199" i="32" s="1"/>
  <c r="I179" i="32"/>
  <c r="H179" i="32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I171" i="32"/>
  <c r="H171" i="32"/>
  <c r="F171" i="32"/>
  <c r="E171" i="32"/>
  <c r="N170" i="32"/>
  <c r="O170" i="32" s="1"/>
  <c r="K170" i="32"/>
  <c r="L170" i="32" s="1"/>
  <c r="I170" i="32"/>
  <c r="H170" i="32"/>
  <c r="F170" i="32"/>
  <c r="E170" i="32"/>
  <c r="O169" i="32"/>
  <c r="N169" i="32"/>
  <c r="K169" i="32"/>
  <c r="L169" i="32" s="1"/>
  <c r="I169" i="32"/>
  <c r="H169" i="32"/>
  <c r="F169" i="32"/>
  <c r="E169" i="32"/>
  <c r="N168" i="32"/>
  <c r="O168" i="32" s="1"/>
  <c r="K168" i="32"/>
  <c r="L168" i="32" s="1"/>
  <c r="I168" i="32"/>
  <c r="H168" i="32"/>
  <c r="F168" i="32"/>
  <c r="E168" i="32"/>
  <c r="O167" i="32"/>
  <c r="N167" i="32"/>
  <c r="K167" i="32"/>
  <c r="L167" i="32" s="1"/>
  <c r="I167" i="32"/>
  <c r="H167" i="32"/>
  <c r="F167" i="32"/>
  <c r="E167" i="32"/>
  <c r="N166" i="32"/>
  <c r="O166" i="32" s="1"/>
  <c r="K166" i="32"/>
  <c r="L166" i="32" s="1"/>
  <c r="I166" i="32"/>
  <c r="H166" i="32"/>
  <c r="F166" i="32"/>
  <c r="E166" i="32"/>
  <c r="O165" i="32"/>
  <c r="N165" i="32"/>
  <c r="K165" i="32"/>
  <c r="L165" i="32" s="1"/>
  <c r="I165" i="32"/>
  <c r="H165" i="32"/>
  <c r="F165" i="32"/>
  <c r="E165" i="32"/>
  <c r="N164" i="32"/>
  <c r="O164" i="32" s="1"/>
  <c r="K164" i="32"/>
  <c r="L164" i="32" s="1"/>
  <c r="I164" i="32"/>
  <c r="H164" i="32"/>
  <c r="F164" i="32"/>
  <c r="E164" i="32"/>
  <c r="O163" i="32"/>
  <c r="N163" i="32"/>
  <c r="K163" i="32"/>
  <c r="L163" i="32" s="1"/>
  <c r="I163" i="32"/>
  <c r="H163" i="32"/>
  <c r="F163" i="32"/>
  <c r="E163" i="32"/>
  <c r="N162" i="32"/>
  <c r="O162" i="32" s="1"/>
  <c r="K162" i="32"/>
  <c r="L162" i="32" s="1"/>
  <c r="I162" i="32"/>
  <c r="H162" i="32"/>
  <c r="F162" i="32"/>
  <c r="E162" i="32"/>
  <c r="O161" i="32"/>
  <c r="N161" i="32"/>
  <c r="K161" i="32"/>
  <c r="L161" i="32" s="1"/>
  <c r="I161" i="32"/>
  <c r="H161" i="32"/>
  <c r="F161" i="32"/>
  <c r="E161" i="32"/>
  <c r="N160" i="32"/>
  <c r="O160" i="32" s="1"/>
  <c r="K160" i="32"/>
  <c r="L160" i="32" s="1"/>
  <c r="I160" i="32"/>
  <c r="H160" i="32"/>
  <c r="F160" i="32"/>
  <c r="E160" i="32"/>
  <c r="O159" i="32"/>
  <c r="N159" i="32"/>
  <c r="K159" i="32"/>
  <c r="L159" i="32" s="1"/>
  <c r="I159" i="32"/>
  <c r="H159" i="32"/>
  <c r="F159" i="32"/>
  <c r="E159" i="32"/>
  <c r="N158" i="32"/>
  <c r="O158" i="32" s="1"/>
  <c r="K158" i="32"/>
  <c r="L158" i="32" s="1"/>
  <c r="I158" i="32"/>
  <c r="H158" i="32"/>
  <c r="F158" i="32"/>
  <c r="E158" i="32"/>
  <c r="O157" i="32"/>
  <c r="N157" i="32"/>
  <c r="K157" i="32"/>
  <c r="L157" i="32" s="1"/>
  <c r="I157" i="32"/>
  <c r="H157" i="32"/>
  <c r="F157" i="32"/>
  <c r="E157" i="32"/>
  <c r="N156" i="32"/>
  <c r="O156" i="32" s="1"/>
  <c r="K156" i="32"/>
  <c r="L156" i="32" s="1"/>
  <c r="I156" i="32"/>
  <c r="H156" i="32"/>
  <c r="F156" i="32"/>
  <c r="E156" i="32"/>
  <c r="O155" i="32"/>
  <c r="N155" i="32"/>
  <c r="K155" i="32"/>
  <c r="L155" i="32" s="1"/>
  <c r="I155" i="32"/>
  <c r="H155" i="32"/>
  <c r="F155" i="32"/>
  <c r="E155" i="32"/>
  <c r="N154" i="32"/>
  <c r="O154" i="32" s="1"/>
  <c r="K154" i="32"/>
  <c r="L154" i="32" s="1"/>
  <c r="I154" i="32"/>
  <c r="H154" i="32"/>
  <c r="F154" i="32"/>
  <c r="E154" i="32"/>
  <c r="O153" i="32"/>
  <c r="N153" i="32"/>
  <c r="K153" i="32"/>
  <c r="L153" i="32" s="1"/>
  <c r="I153" i="32"/>
  <c r="H153" i="32"/>
  <c r="F153" i="32"/>
  <c r="E153" i="32"/>
  <c r="N152" i="32"/>
  <c r="N172" i="32" s="1"/>
  <c r="K152" i="32"/>
  <c r="K172" i="32" s="1"/>
  <c r="I152" i="32"/>
  <c r="I172" i="32" s="1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H144" i="32"/>
  <c r="I144" i="32" s="1"/>
  <c r="E144" i="32"/>
  <c r="F144" i="32" s="1"/>
  <c r="O143" i="32"/>
  <c r="N143" i="32"/>
  <c r="K143" i="32"/>
  <c r="L143" i="32" s="1"/>
  <c r="I143" i="32"/>
  <c r="H143" i="32"/>
  <c r="E143" i="32"/>
  <c r="F143" i="32" s="1"/>
  <c r="N142" i="32"/>
  <c r="O142" i="32" s="1"/>
  <c r="L142" i="32"/>
  <c r="K142" i="32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L140" i="32"/>
  <c r="K140" i="32"/>
  <c r="H140" i="32"/>
  <c r="I140" i="32" s="1"/>
  <c r="E140" i="32"/>
  <c r="F140" i="32" s="1"/>
  <c r="N139" i="32"/>
  <c r="O139" i="32" s="1"/>
  <c r="L139" i="32"/>
  <c r="K139" i="32"/>
  <c r="I139" i="32"/>
  <c r="H139" i="32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O136" i="32"/>
  <c r="N136" i="32"/>
  <c r="K136" i="32"/>
  <c r="L136" i="32" s="1"/>
  <c r="H136" i="32"/>
  <c r="I136" i="32" s="1"/>
  <c r="E136" i="32"/>
  <c r="F136" i="32" s="1"/>
  <c r="O135" i="32"/>
  <c r="N135" i="32"/>
  <c r="K135" i="32"/>
  <c r="L135" i="32" s="1"/>
  <c r="I135" i="32"/>
  <c r="H135" i="32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L133" i="32"/>
  <c r="K133" i="32"/>
  <c r="H133" i="32"/>
  <c r="I133" i="32" s="1"/>
  <c r="E133" i="32"/>
  <c r="F133" i="32" s="1"/>
  <c r="N132" i="32"/>
  <c r="O132" i="32" s="1"/>
  <c r="K132" i="32"/>
  <c r="L132" i="32" s="1"/>
  <c r="H132" i="32"/>
  <c r="I132" i="32" s="1"/>
  <c r="E132" i="32"/>
  <c r="F132" i="32" s="1"/>
  <c r="O131" i="32"/>
  <c r="N131" i="32"/>
  <c r="L131" i="32"/>
  <c r="K131" i="32"/>
  <c r="I131" i="32"/>
  <c r="H131" i="32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H128" i="32"/>
  <c r="I128" i="32" s="1"/>
  <c r="E128" i="32"/>
  <c r="F128" i="32" s="1"/>
  <c r="N127" i="32"/>
  <c r="O127" i="32" s="1"/>
  <c r="L127" i="32"/>
  <c r="K127" i="32"/>
  <c r="I127" i="32"/>
  <c r="H127" i="32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N145" i="32" s="1"/>
  <c r="L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I117" i="32"/>
  <c r="H117" i="32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N114" i="32"/>
  <c r="O114" i="32" s="1"/>
  <c r="L114" i="32"/>
  <c r="K114" i="32"/>
  <c r="H114" i="32"/>
  <c r="I114" i="32" s="1"/>
  <c r="E114" i="32"/>
  <c r="F114" i="32" s="1"/>
  <c r="N113" i="32"/>
  <c r="O113" i="32" s="1"/>
  <c r="K113" i="32"/>
  <c r="L113" i="32" s="1"/>
  <c r="I113" i="32"/>
  <c r="H113" i="32"/>
  <c r="E113" i="32"/>
  <c r="F113" i="32" s="1"/>
  <c r="N112" i="32"/>
  <c r="O112" i="32" s="1"/>
  <c r="K112" i="32"/>
  <c r="L112" i="32" s="1"/>
  <c r="I112" i="32"/>
  <c r="H112" i="32"/>
  <c r="E112" i="32"/>
  <c r="F112" i="32" s="1"/>
  <c r="N111" i="32"/>
  <c r="O111" i="32" s="1"/>
  <c r="L111" i="32"/>
  <c r="K111" i="32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H106" i="32"/>
  <c r="I106" i="32" s="1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L103" i="32"/>
  <c r="K103" i="32"/>
  <c r="H103" i="32"/>
  <c r="I103" i="32" s="1"/>
  <c r="E103" i="32"/>
  <c r="F103" i="32" s="1"/>
  <c r="N102" i="32"/>
  <c r="O102" i="32" s="1"/>
  <c r="K102" i="32"/>
  <c r="L102" i="32" s="1"/>
  <c r="H102" i="32"/>
  <c r="I102" i="32" s="1"/>
  <c r="E102" i="32"/>
  <c r="F102" i="32" s="1"/>
  <c r="O101" i="32"/>
  <c r="N101" i="32"/>
  <c r="L101" i="32"/>
  <c r="K101" i="32"/>
  <c r="I101" i="32"/>
  <c r="H101" i="32"/>
  <c r="E101" i="32"/>
  <c r="F101" i="32" s="1"/>
  <c r="N100" i="32"/>
  <c r="O100" i="32" s="1"/>
  <c r="K100" i="32"/>
  <c r="L100" i="32" s="1"/>
  <c r="I100" i="32"/>
  <c r="H100" i="32"/>
  <c r="E100" i="32"/>
  <c r="F100" i="32" s="1"/>
  <c r="N99" i="32"/>
  <c r="O99" i="32" s="1"/>
  <c r="K99" i="32"/>
  <c r="L99" i="32" s="1"/>
  <c r="H99" i="32"/>
  <c r="I99" i="32" s="1"/>
  <c r="E99" i="32"/>
  <c r="F99" i="32" s="1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L89" i="32"/>
  <c r="K89" i="32"/>
  <c r="I89" i="32"/>
  <c r="H89" i="32"/>
  <c r="E89" i="32"/>
  <c r="F89" i="32" s="1"/>
  <c r="O88" i="32"/>
  <c r="N88" i="32"/>
  <c r="K88" i="32"/>
  <c r="L88" i="32" s="1"/>
  <c r="H88" i="32"/>
  <c r="I88" i="32" s="1"/>
  <c r="E88" i="32"/>
  <c r="F88" i="32" s="1"/>
  <c r="O87" i="32"/>
  <c r="N87" i="32"/>
  <c r="K87" i="32"/>
  <c r="L87" i="32" s="1"/>
  <c r="H87" i="32"/>
  <c r="I87" i="32" s="1"/>
  <c r="E87" i="32"/>
  <c r="F87" i="32" s="1"/>
  <c r="O86" i="32"/>
  <c r="N86" i="32"/>
  <c r="K86" i="32"/>
  <c r="L86" i="32" s="1"/>
  <c r="H86" i="32"/>
  <c r="I86" i="32" s="1"/>
  <c r="E86" i="32"/>
  <c r="F86" i="32" s="1"/>
  <c r="N85" i="32"/>
  <c r="O85" i="32" s="1"/>
  <c r="K85" i="32"/>
  <c r="L85" i="32" s="1"/>
  <c r="I85" i="32"/>
  <c r="H85" i="32"/>
  <c r="E85" i="32"/>
  <c r="F85" i="32" s="1"/>
  <c r="N84" i="32"/>
  <c r="O84" i="32" s="1"/>
  <c r="L84" i="32"/>
  <c r="K84" i="32"/>
  <c r="H84" i="32"/>
  <c r="I84" i="32" s="1"/>
  <c r="E84" i="32"/>
  <c r="F84" i="32" s="1"/>
  <c r="N83" i="32"/>
  <c r="O83" i="32" s="1"/>
  <c r="K83" i="32"/>
  <c r="L83" i="32" s="1"/>
  <c r="H83" i="32"/>
  <c r="I83" i="32" s="1"/>
  <c r="E83" i="32"/>
  <c r="F83" i="32" s="1"/>
  <c r="O82" i="32"/>
  <c r="N82" i="32"/>
  <c r="L82" i="32"/>
  <c r="K82" i="32"/>
  <c r="H82" i="32"/>
  <c r="I82" i="32" s="1"/>
  <c r="E82" i="32"/>
  <c r="F82" i="32" s="1"/>
  <c r="N81" i="32"/>
  <c r="O81" i="32" s="1"/>
  <c r="K81" i="32"/>
  <c r="L81" i="32" s="1"/>
  <c r="I81" i="32"/>
  <c r="H81" i="32"/>
  <c r="E81" i="32"/>
  <c r="F81" i="32" s="1"/>
  <c r="O80" i="32"/>
  <c r="N80" i="32"/>
  <c r="K80" i="32"/>
  <c r="L80" i="32" s="1"/>
  <c r="H80" i="32"/>
  <c r="I80" i="32" s="1"/>
  <c r="E80" i="32"/>
  <c r="F80" i="32" s="1"/>
  <c r="O79" i="32"/>
  <c r="N79" i="32"/>
  <c r="K79" i="32"/>
  <c r="L79" i="32" s="1"/>
  <c r="H79" i="32"/>
  <c r="I79" i="32" s="1"/>
  <c r="E79" i="32"/>
  <c r="F79" i="32" s="1"/>
  <c r="O78" i="32"/>
  <c r="N78" i="32"/>
  <c r="K78" i="32"/>
  <c r="L78" i="32" s="1"/>
  <c r="H78" i="32"/>
  <c r="I78" i="32" s="1"/>
  <c r="E78" i="32"/>
  <c r="F78" i="32" s="1"/>
  <c r="N77" i="32"/>
  <c r="O77" i="32" s="1"/>
  <c r="K77" i="32"/>
  <c r="L77" i="32" s="1"/>
  <c r="I77" i="32"/>
  <c r="H77" i="32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L75" i="32"/>
  <c r="K75" i="32"/>
  <c r="H75" i="32"/>
  <c r="I75" i="32" s="1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L73" i="32"/>
  <c r="K73" i="32"/>
  <c r="I73" i="32"/>
  <c r="H73" i="32"/>
  <c r="E73" i="32"/>
  <c r="F73" i="32" s="1"/>
  <c r="O72" i="32"/>
  <c r="N72" i="32"/>
  <c r="K72" i="32"/>
  <c r="L72" i="32" s="1"/>
  <c r="H72" i="32"/>
  <c r="I72" i="32" s="1"/>
  <c r="E72" i="32"/>
  <c r="F72" i="32" s="1"/>
  <c r="N71" i="32"/>
  <c r="K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F62" i="32"/>
  <c r="E62" i="32"/>
  <c r="N61" i="32"/>
  <c r="O61" i="32" s="1"/>
  <c r="K61" i="32"/>
  <c r="L61" i="32" s="1"/>
  <c r="I61" i="32"/>
  <c r="H61" i="32"/>
  <c r="F61" i="32"/>
  <c r="E61" i="32"/>
  <c r="N60" i="32"/>
  <c r="O60" i="32" s="1"/>
  <c r="L60" i="32"/>
  <c r="K60" i="32"/>
  <c r="I60" i="32"/>
  <c r="H60" i="32"/>
  <c r="F60" i="32"/>
  <c r="E60" i="32"/>
  <c r="N59" i="32"/>
  <c r="O59" i="32" s="1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F58" i="32"/>
  <c r="E58" i="32"/>
  <c r="N57" i="32"/>
  <c r="O57" i="32" s="1"/>
  <c r="K57" i="32"/>
  <c r="L57" i="32" s="1"/>
  <c r="I57" i="32"/>
  <c r="H57" i="32"/>
  <c r="F57" i="32"/>
  <c r="E57" i="32"/>
  <c r="O56" i="32"/>
  <c r="N56" i="32"/>
  <c r="L56" i="32"/>
  <c r="K56" i="32"/>
  <c r="I56" i="32"/>
  <c r="H56" i="32"/>
  <c r="F56" i="32"/>
  <c r="E56" i="32"/>
  <c r="O55" i="32"/>
  <c r="N55" i="32"/>
  <c r="L55" i="32"/>
  <c r="K55" i="32"/>
  <c r="I55" i="32"/>
  <c r="H55" i="32"/>
  <c r="F55" i="32"/>
  <c r="E55" i="32"/>
  <c r="O54" i="32"/>
  <c r="N54" i="32"/>
  <c r="K54" i="32"/>
  <c r="L54" i="32" s="1"/>
  <c r="I54" i="32"/>
  <c r="H54" i="32"/>
  <c r="F54" i="32"/>
  <c r="E54" i="32"/>
  <c r="N53" i="32"/>
  <c r="O53" i="32" s="1"/>
  <c r="K53" i="32"/>
  <c r="L53" i="32" s="1"/>
  <c r="I53" i="32"/>
  <c r="H53" i="32"/>
  <c r="F53" i="32"/>
  <c r="E53" i="32"/>
  <c r="N52" i="32"/>
  <c r="O52" i="32" s="1"/>
  <c r="K52" i="32"/>
  <c r="L52" i="32" s="1"/>
  <c r="I52" i="32"/>
  <c r="H52" i="32"/>
  <c r="F52" i="32"/>
  <c r="E52" i="32"/>
  <c r="O51" i="32"/>
  <c r="N51" i="32"/>
  <c r="K51" i="32"/>
  <c r="L51" i="32" s="1"/>
  <c r="I51" i="32"/>
  <c r="H51" i="32"/>
  <c r="F51" i="32"/>
  <c r="E51" i="32"/>
  <c r="O50" i="32"/>
  <c r="N50" i="32"/>
  <c r="K50" i="32"/>
  <c r="L50" i="32" s="1"/>
  <c r="I50" i="32"/>
  <c r="H50" i="32"/>
  <c r="F50" i="32"/>
  <c r="E50" i="32"/>
  <c r="N49" i="32"/>
  <c r="O49" i="32" s="1"/>
  <c r="K49" i="32"/>
  <c r="L49" i="32" s="1"/>
  <c r="I49" i="32"/>
  <c r="H49" i="32"/>
  <c r="F49" i="32"/>
  <c r="E49" i="32"/>
  <c r="N48" i="32"/>
  <c r="O48" i="32" s="1"/>
  <c r="K48" i="32"/>
  <c r="L48" i="32" s="1"/>
  <c r="I48" i="32"/>
  <c r="H48" i="32"/>
  <c r="F48" i="32"/>
  <c r="E48" i="32"/>
  <c r="N47" i="32"/>
  <c r="O47" i="32" s="1"/>
  <c r="K47" i="32"/>
  <c r="L47" i="32" s="1"/>
  <c r="I47" i="32"/>
  <c r="H47" i="32"/>
  <c r="F47" i="32"/>
  <c r="E47" i="32"/>
  <c r="O46" i="32"/>
  <c r="N46" i="32"/>
  <c r="K46" i="32"/>
  <c r="L46" i="32" s="1"/>
  <c r="I46" i="32"/>
  <c r="H46" i="32"/>
  <c r="F46" i="32"/>
  <c r="E46" i="32"/>
  <c r="N45" i="32"/>
  <c r="O45" i="32" s="1"/>
  <c r="K45" i="32"/>
  <c r="L45" i="32" s="1"/>
  <c r="I45" i="32"/>
  <c r="H45" i="32"/>
  <c r="F45" i="32"/>
  <c r="E45" i="32"/>
  <c r="N44" i="32"/>
  <c r="N64" i="32" s="1"/>
  <c r="K44" i="32"/>
  <c r="K64" i="32" s="1"/>
  <c r="I44" i="32"/>
  <c r="H44" i="32"/>
  <c r="F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N197" i="31"/>
  <c r="O197" i="31" s="1"/>
  <c r="L197" i="31"/>
  <c r="K197" i="3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L193" i="31"/>
  <c r="K193" i="3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N189" i="31"/>
  <c r="O189" i="31" s="1"/>
  <c r="L189" i="31"/>
  <c r="K189" i="3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L185" i="31"/>
  <c r="K185" i="3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K182" i="31"/>
  <c r="L182" i="31" s="1"/>
  <c r="H182" i="31"/>
  <c r="I182" i="31" s="1"/>
  <c r="F182" i="31"/>
  <c r="E182" i="31"/>
  <c r="N181" i="31"/>
  <c r="O181" i="31" s="1"/>
  <c r="L181" i="31"/>
  <c r="K181" i="3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I171" i="31"/>
  <c r="H171" i="3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L169" i="31"/>
  <c r="K169" i="31"/>
  <c r="I169" i="31"/>
  <c r="H169" i="31"/>
  <c r="F169" i="31"/>
  <c r="E169" i="31"/>
  <c r="N168" i="31"/>
  <c r="O168" i="31" s="1"/>
  <c r="L168" i="31"/>
  <c r="K168" i="31"/>
  <c r="I168" i="31"/>
  <c r="H168" i="31"/>
  <c r="F168" i="31"/>
  <c r="E168" i="31"/>
  <c r="N167" i="31"/>
  <c r="O167" i="31" s="1"/>
  <c r="L167" i="31"/>
  <c r="K167" i="31"/>
  <c r="I167" i="31"/>
  <c r="H167" i="31"/>
  <c r="F167" i="31"/>
  <c r="E167" i="31"/>
  <c r="N166" i="31"/>
  <c r="O166" i="31" s="1"/>
  <c r="L166" i="31"/>
  <c r="K166" i="31"/>
  <c r="I166" i="31"/>
  <c r="H166" i="31"/>
  <c r="F166" i="31"/>
  <c r="E166" i="31"/>
  <c r="N165" i="31"/>
  <c r="O165" i="31" s="1"/>
  <c r="L165" i="31"/>
  <c r="K165" i="31"/>
  <c r="I165" i="31"/>
  <c r="H165" i="31"/>
  <c r="F165" i="31"/>
  <c r="E165" i="31"/>
  <c r="N164" i="31"/>
  <c r="O164" i="31" s="1"/>
  <c r="L164" i="31"/>
  <c r="K164" i="31"/>
  <c r="I164" i="31"/>
  <c r="H164" i="31"/>
  <c r="F164" i="31"/>
  <c r="E164" i="31"/>
  <c r="N163" i="31"/>
  <c r="O163" i="31" s="1"/>
  <c r="L163" i="31"/>
  <c r="K163" i="31"/>
  <c r="I163" i="31"/>
  <c r="H163" i="31"/>
  <c r="F163" i="31"/>
  <c r="E163" i="31"/>
  <c r="N162" i="31"/>
  <c r="O162" i="31" s="1"/>
  <c r="L162" i="31"/>
  <c r="K162" i="31"/>
  <c r="I162" i="31"/>
  <c r="H162" i="31"/>
  <c r="F162" i="31"/>
  <c r="E162" i="31"/>
  <c r="N161" i="31"/>
  <c r="O161" i="31" s="1"/>
  <c r="L161" i="31"/>
  <c r="K161" i="31"/>
  <c r="I161" i="31"/>
  <c r="H161" i="31"/>
  <c r="F161" i="31"/>
  <c r="E161" i="31"/>
  <c r="N160" i="31"/>
  <c r="O160" i="31" s="1"/>
  <c r="L160" i="31"/>
  <c r="K160" i="31"/>
  <c r="I160" i="31"/>
  <c r="H160" i="31"/>
  <c r="F160" i="31"/>
  <c r="E160" i="31"/>
  <c r="N159" i="31"/>
  <c r="O159" i="31" s="1"/>
  <c r="L159" i="31"/>
  <c r="K159" i="31"/>
  <c r="I159" i="31"/>
  <c r="H159" i="31"/>
  <c r="F159" i="31"/>
  <c r="E159" i="31"/>
  <c r="N158" i="31"/>
  <c r="O158" i="31" s="1"/>
  <c r="L158" i="31"/>
  <c r="K158" i="31"/>
  <c r="I158" i="31"/>
  <c r="H158" i="31"/>
  <c r="F158" i="31"/>
  <c r="E158" i="31"/>
  <c r="N157" i="31"/>
  <c r="O157" i="31" s="1"/>
  <c r="L157" i="31"/>
  <c r="K157" i="31"/>
  <c r="I157" i="31"/>
  <c r="H157" i="3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K155" i="31"/>
  <c r="L155" i="31" s="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E144" i="31"/>
  <c r="F144" i="31" s="1"/>
  <c r="N143" i="31"/>
  <c r="O143" i="31" s="1"/>
  <c r="L143" i="31"/>
  <c r="K143" i="31"/>
  <c r="H143" i="31"/>
  <c r="I143" i="31" s="1"/>
  <c r="E143" i="31"/>
  <c r="F143" i="31" s="1"/>
  <c r="N142" i="31"/>
  <c r="O142" i="31" s="1"/>
  <c r="L142" i="31"/>
  <c r="K142" i="31"/>
  <c r="H142" i="31"/>
  <c r="I142" i="31" s="1"/>
  <c r="E142" i="31"/>
  <c r="F142" i="31" s="1"/>
  <c r="N141" i="31"/>
  <c r="O141" i="31" s="1"/>
  <c r="L141" i="31"/>
  <c r="K141" i="31"/>
  <c r="I141" i="31"/>
  <c r="H141" i="31"/>
  <c r="E141" i="31"/>
  <c r="F141" i="31" s="1"/>
  <c r="O140" i="31"/>
  <c r="N140" i="31"/>
  <c r="K140" i="31"/>
  <c r="L140" i="31" s="1"/>
  <c r="I140" i="31"/>
  <c r="H140" i="31"/>
  <c r="E140" i="31"/>
  <c r="F140" i="31" s="1"/>
  <c r="O139" i="31"/>
  <c r="N139" i="31"/>
  <c r="K139" i="31"/>
  <c r="L139" i="31" s="1"/>
  <c r="H139" i="31"/>
  <c r="I139" i="31" s="1"/>
  <c r="E139" i="31"/>
  <c r="F139" i="31" s="1"/>
  <c r="N138" i="31"/>
  <c r="O138" i="31" s="1"/>
  <c r="L138" i="31"/>
  <c r="K138" i="31"/>
  <c r="H138" i="31"/>
  <c r="I138" i="31" s="1"/>
  <c r="E138" i="31"/>
  <c r="F138" i="31" s="1"/>
  <c r="N137" i="31"/>
  <c r="O137" i="31" s="1"/>
  <c r="K137" i="31"/>
  <c r="L137" i="31" s="1"/>
  <c r="H137" i="31"/>
  <c r="I137" i="31" s="1"/>
  <c r="E137" i="31"/>
  <c r="F137" i="31" s="1"/>
  <c r="O136" i="31"/>
  <c r="N136" i="31"/>
  <c r="L136" i="31"/>
  <c r="K136" i="31"/>
  <c r="I136" i="31"/>
  <c r="H136" i="31"/>
  <c r="F136" i="31"/>
  <c r="E136" i="31"/>
  <c r="O135" i="31"/>
  <c r="N135" i="31"/>
  <c r="L135" i="31"/>
  <c r="K135" i="31"/>
  <c r="I135" i="31"/>
  <c r="H135" i="31"/>
  <c r="F135" i="31"/>
  <c r="E135" i="31"/>
  <c r="O134" i="31"/>
  <c r="N134" i="31"/>
  <c r="L134" i="31"/>
  <c r="K134" i="31"/>
  <c r="I134" i="31"/>
  <c r="H134" i="31"/>
  <c r="F134" i="31"/>
  <c r="E134" i="31"/>
  <c r="O133" i="31"/>
  <c r="N133" i="31"/>
  <c r="L133" i="31"/>
  <c r="K133" i="31"/>
  <c r="I133" i="31"/>
  <c r="H133" i="31"/>
  <c r="F133" i="31"/>
  <c r="E133" i="31"/>
  <c r="O132" i="31"/>
  <c r="N132" i="31"/>
  <c r="L132" i="31"/>
  <c r="K132" i="31"/>
  <c r="I132" i="31"/>
  <c r="H132" i="31"/>
  <c r="F132" i="31"/>
  <c r="E132" i="31"/>
  <c r="O131" i="31"/>
  <c r="N131" i="31"/>
  <c r="L131" i="31"/>
  <c r="K131" i="31"/>
  <c r="I131" i="31"/>
  <c r="H131" i="31"/>
  <c r="F131" i="31"/>
  <c r="E131" i="31"/>
  <c r="O130" i="31"/>
  <c r="N130" i="31"/>
  <c r="L130" i="31"/>
  <c r="K130" i="31"/>
  <c r="I130" i="31"/>
  <c r="H130" i="31"/>
  <c r="F130" i="31"/>
  <c r="E130" i="31"/>
  <c r="O129" i="31"/>
  <c r="N129" i="31"/>
  <c r="L129" i="31"/>
  <c r="K129" i="31"/>
  <c r="I129" i="31"/>
  <c r="H129" i="31"/>
  <c r="F129" i="31"/>
  <c r="E129" i="31"/>
  <c r="O128" i="31"/>
  <c r="N128" i="31"/>
  <c r="L128" i="31"/>
  <c r="K128" i="31"/>
  <c r="I128" i="31"/>
  <c r="H128" i="31"/>
  <c r="F128" i="31"/>
  <c r="E128" i="31"/>
  <c r="O127" i="31"/>
  <c r="N127" i="31"/>
  <c r="L127" i="31"/>
  <c r="K127" i="31"/>
  <c r="I127" i="31"/>
  <c r="H127" i="31"/>
  <c r="E127" i="31"/>
  <c r="F127" i="31" s="1"/>
  <c r="N126" i="31"/>
  <c r="O126" i="31" s="1"/>
  <c r="K126" i="31"/>
  <c r="K145" i="31" s="1"/>
  <c r="H126" i="31"/>
  <c r="I126" i="31" s="1"/>
  <c r="E126" i="31"/>
  <c r="F126" i="31" s="1"/>
  <c r="O125" i="31"/>
  <c r="N125" i="31"/>
  <c r="N145" i="31" s="1"/>
  <c r="L125" i="31"/>
  <c r="K125" i="31"/>
  <c r="H125" i="3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O115" i="31"/>
  <c r="N115" i="31"/>
  <c r="L115" i="31"/>
  <c r="K115" i="31"/>
  <c r="H115" i="31"/>
  <c r="I115" i="31" s="1"/>
  <c r="E115" i="31"/>
  <c r="F115" i="31" s="1"/>
  <c r="N114" i="31"/>
  <c r="O114" i="31" s="1"/>
  <c r="K114" i="31"/>
  <c r="L114" i="31" s="1"/>
  <c r="H114" i="31"/>
  <c r="I114" i="31" s="1"/>
  <c r="E114" i="31"/>
  <c r="F114" i="31" s="1"/>
  <c r="O113" i="31"/>
  <c r="N113" i="31"/>
  <c r="L113" i="31"/>
  <c r="K113" i="31"/>
  <c r="I113" i="31"/>
  <c r="H113" i="31"/>
  <c r="E113" i="31"/>
  <c r="F113" i="31" s="1"/>
  <c r="N112" i="31"/>
  <c r="O112" i="31" s="1"/>
  <c r="K112" i="31"/>
  <c r="L112" i="31" s="1"/>
  <c r="I112" i="31"/>
  <c r="H112" i="31"/>
  <c r="E112" i="31"/>
  <c r="F112" i="31" s="1"/>
  <c r="O111" i="31"/>
  <c r="N111" i="31"/>
  <c r="K111" i="31"/>
  <c r="L111" i="31" s="1"/>
  <c r="H111" i="31"/>
  <c r="I111" i="31" s="1"/>
  <c r="E111" i="31"/>
  <c r="F111" i="31" s="1"/>
  <c r="N110" i="31"/>
  <c r="O110" i="31" s="1"/>
  <c r="L110" i="31"/>
  <c r="K110" i="31"/>
  <c r="H110" i="31"/>
  <c r="I110" i="31" s="1"/>
  <c r="E110" i="31"/>
  <c r="F110" i="31" s="1"/>
  <c r="O109" i="31"/>
  <c r="N109" i="31"/>
  <c r="K109" i="31"/>
  <c r="L109" i="31" s="1"/>
  <c r="I109" i="31"/>
  <c r="H109" i="31"/>
  <c r="E109" i="31"/>
  <c r="F109" i="31" s="1"/>
  <c r="N108" i="31"/>
  <c r="O108" i="31" s="1"/>
  <c r="K108" i="31"/>
  <c r="L108" i="31" s="1"/>
  <c r="I108" i="31"/>
  <c r="H108" i="31"/>
  <c r="E108" i="31"/>
  <c r="F108" i="31" s="1"/>
  <c r="O107" i="31"/>
  <c r="N107" i="31"/>
  <c r="L107" i="31"/>
  <c r="K107" i="31"/>
  <c r="H107" i="31"/>
  <c r="I107" i="31" s="1"/>
  <c r="E107" i="31"/>
  <c r="F107" i="31" s="1"/>
  <c r="N106" i="31"/>
  <c r="O106" i="31" s="1"/>
  <c r="K106" i="31"/>
  <c r="L106" i="31" s="1"/>
  <c r="H106" i="31"/>
  <c r="I106" i="31" s="1"/>
  <c r="E106" i="31"/>
  <c r="F106" i="31" s="1"/>
  <c r="N105" i="31"/>
  <c r="O105" i="31" s="1"/>
  <c r="L105" i="31"/>
  <c r="K105" i="31"/>
  <c r="I105" i="31"/>
  <c r="H105" i="31"/>
  <c r="E105" i="31"/>
  <c r="F105" i="31" s="1"/>
  <c r="N104" i="31"/>
  <c r="O104" i="31" s="1"/>
  <c r="K104" i="31"/>
  <c r="L104" i="31" s="1"/>
  <c r="I104" i="31"/>
  <c r="H104" i="31"/>
  <c r="E104" i="31"/>
  <c r="F104" i="31" s="1"/>
  <c r="O103" i="31"/>
  <c r="N103" i="31"/>
  <c r="K103" i="31"/>
  <c r="L103" i="31" s="1"/>
  <c r="H103" i="31"/>
  <c r="I103" i="31" s="1"/>
  <c r="E103" i="31"/>
  <c r="F103" i="31" s="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I101" i="31"/>
  <c r="H101" i="31"/>
  <c r="E101" i="31"/>
  <c r="F101" i="31" s="1"/>
  <c r="O100" i="31"/>
  <c r="N100" i="31"/>
  <c r="K100" i="31"/>
  <c r="L100" i="31" s="1"/>
  <c r="I100" i="31"/>
  <c r="H100" i="31"/>
  <c r="E100" i="31"/>
  <c r="F100" i="31" s="1"/>
  <c r="N99" i="31"/>
  <c r="O99" i="31" s="1"/>
  <c r="L99" i="31"/>
  <c r="K99" i="31"/>
  <c r="H99" i="31"/>
  <c r="I99" i="31" s="1"/>
  <c r="E99" i="31"/>
  <c r="F99" i="31" s="1"/>
  <c r="O98" i="31"/>
  <c r="N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F90" i="31"/>
  <c r="E90" i="31"/>
  <c r="O89" i="31"/>
  <c r="N89" i="31"/>
  <c r="L89" i="31"/>
  <c r="K89" i="31"/>
  <c r="H89" i="31"/>
  <c r="I89" i="31" s="1"/>
  <c r="F89" i="31"/>
  <c r="E89" i="31"/>
  <c r="N88" i="31"/>
  <c r="O88" i="31" s="1"/>
  <c r="K88" i="31"/>
  <c r="L88" i="31" s="1"/>
  <c r="H88" i="31"/>
  <c r="I88" i="31" s="1"/>
  <c r="F88" i="31"/>
  <c r="E88" i="31"/>
  <c r="N87" i="31"/>
  <c r="O87" i="31" s="1"/>
  <c r="L87" i="31"/>
  <c r="K87" i="31"/>
  <c r="H87" i="31"/>
  <c r="I87" i="31" s="1"/>
  <c r="F87" i="31"/>
  <c r="E87" i="31"/>
  <c r="O86" i="31"/>
  <c r="N86" i="31"/>
  <c r="K86" i="31"/>
  <c r="L86" i="31" s="1"/>
  <c r="H86" i="31"/>
  <c r="I86" i="31" s="1"/>
  <c r="F86" i="31"/>
  <c r="E86" i="31"/>
  <c r="O85" i="31"/>
  <c r="N85" i="31"/>
  <c r="L85" i="31"/>
  <c r="K85" i="31"/>
  <c r="H85" i="31"/>
  <c r="I85" i="31" s="1"/>
  <c r="F85" i="31"/>
  <c r="E85" i="31"/>
  <c r="N84" i="31"/>
  <c r="O84" i="31" s="1"/>
  <c r="K84" i="31"/>
  <c r="L84" i="31" s="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O81" i="31"/>
  <c r="N81" i="31"/>
  <c r="L81" i="31"/>
  <c r="K81" i="31"/>
  <c r="H81" i="31"/>
  <c r="I81" i="31" s="1"/>
  <c r="F81" i="31"/>
  <c r="E81" i="31"/>
  <c r="N80" i="31"/>
  <c r="O80" i="31" s="1"/>
  <c r="K80" i="31"/>
  <c r="L80" i="31" s="1"/>
  <c r="H80" i="31"/>
  <c r="I80" i="31" s="1"/>
  <c r="F80" i="31"/>
  <c r="E80" i="31"/>
  <c r="N79" i="31"/>
  <c r="O79" i="31" s="1"/>
  <c r="L79" i="31"/>
  <c r="K79" i="31"/>
  <c r="H79" i="31"/>
  <c r="I79" i="31" s="1"/>
  <c r="F79" i="31"/>
  <c r="E79" i="31"/>
  <c r="O78" i="31"/>
  <c r="N78" i="31"/>
  <c r="K78" i="31"/>
  <c r="L78" i="31" s="1"/>
  <c r="H78" i="31"/>
  <c r="I78" i="31" s="1"/>
  <c r="F78" i="31"/>
  <c r="E78" i="31"/>
  <c r="N77" i="31"/>
  <c r="O77" i="31" s="1"/>
  <c r="L77" i="31"/>
  <c r="K77" i="31"/>
  <c r="H77" i="31"/>
  <c r="I77" i="31" s="1"/>
  <c r="F77" i="31"/>
  <c r="E77" i="31"/>
  <c r="N76" i="31"/>
  <c r="O76" i="31" s="1"/>
  <c r="K76" i="31"/>
  <c r="L76" i="31" s="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O73" i="31"/>
  <c r="N73" i="31"/>
  <c r="L73" i="31"/>
  <c r="K73" i="3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K71" i="31"/>
  <c r="K91" i="31" s="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N62" i="31"/>
  <c r="O62" i="31" s="1"/>
  <c r="L62" i="31"/>
  <c r="K62" i="31"/>
  <c r="H62" i="31"/>
  <c r="I62" i="31" s="1"/>
  <c r="F62" i="31"/>
  <c r="E62" i="31"/>
  <c r="O61" i="31"/>
  <c r="N61" i="3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O56" i="31"/>
  <c r="N56" i="3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O53" i="31"/>
  <c r="N53" i="3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K45" i="31"/>
  <c r="L45" i="31" s="1"/>
  <c r="H45" i="31"/>
  <c r="I45" i="31" s="1"/>
  <c r="F45" i="31"/>
  <c r="E45" i="31"/>
  <c r="O44" i="31"/>
  <c r="N44" i="31"/>
  <c r="L44" i="31"/>
  <c r="K44" i="31"/>
  <c r="K64" i="31" s="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L193" i="30"/>
  <c r="K193" i="30"/>
  <c r="I193" i="30"/>
  <c r="H193" i="30"/>
  <c r="F193" i="30"/>
  <c r="E193" i="30"/>
  <c r="N192" i="30"/>
  <c r="O192" i="30" s="1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N190" i="30"/>
  <c r="O190" i="30" s="1"/>
  <c r="K190" i="30"/>
  <c r="L190" i="30" s="1"/>
  <c r="H190" i="30"/>
  <c r="I190" i="30" s="1"/>
  <c r="F190" i="30"/>
  <c r="E190" i="30"/>
  <c r="O189" i="30"/>
  <c r="N189" i="30"/>
  <c r="L189" i="30"/>
  <c r="K189" i="30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K186" i="30"/>
  <c r="L186" i="30" s="1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K182" i="30"/>
  <c r="L182" i="30" s="1"/>
  <c r="H182" i="30"/>
  <c r="I182" i="30" s="1"/>
  <c r="F182" i="30"/>
  <c r="E182" i="30"/>
  <c r="O181" i="30"/>
  <c r="N181" i="30"/>
  <c r="L181" i="30"/>
  <c r="K181" i="30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I179" i="30" s="1"/>
  <c r="I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K171" i="30"/>
  <c r="L171" i="30" s="1"/>
  <c r="H171" i="30"/>
  <c r="I171" i="30" s="1"/>
  <c r="E171" i="30"/>
  <c r="F171" i="30" s="1"/>
  <c r="O170" i="30"/>
  <c r="N170" i="30"/>
  <c r="K170" i="30"/>
  <c r="L170" i="30" s="1"/>
  <c r="H170" i="30"/>
  <c r="I170" i="30" s="1"/>
  <c r="E170" i="30"/>
  <c r="F170" i="30" s="1"/>
  <c r="O169" i="30"/>
  <c r="N169" i="30"/>
  <c r="L169" i="30"/>
  <c r="K169" i="30"/>
  <c r="I169" i="30"/>
  <c r="H169" i="30"/>
  <c r="F169" i="30"/>
  <c r="E169" i="30"/>
  <c r="N168" i="30"/>
  <c r="O168" i="30" s="1"/>
  <c r="K168" i="30"/>
  <c r="L168" i="30" s="1"/>
  <c r="H168" i="30"/>
  <c r="I168" i="30" s="1"/>
  <c r="E168" i="30"/>
  <c r="F168" i="30" s="1"/>
  <c r="O167" i="30"/>
  <c r="N167" i="30"/>
  <c r="K167" i="30"/>
  <c r="L167" i="30" s="1"/>
  <c r="I167" i="30"/>
  <c r="H167" i="30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L165" i="30"/>
  <c r="K165" i="30"/>
  <c r="H165" i="30"/>
  <c r="I165" i="30" s="1"/>
  <c r="E165" i="30"/>
  <c r="F165" i="30" s="1"/>
  <c r="N164" i="30"/>
  <c r="O164" i="30" s="1"/>
  <c r="K164" i="30"/>
  <c r="L164" i="30" s="1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K160" i="30"/>
  <c r="L160" i="30" s="1"/>
  <c r="H160" i="30"/>
  <c r="I160" i="30" s="1"/>
  <c r="E160" i="30"/>
  <c r="F160" i="30" s="1"/>
  <c r="O159" i="30"/>
  <c r="N159" i="30"/>
  <c r="K159" i="30"/>
  <c r="L159" i="30" s="1"/>
  <c r="I159" i="30"/>
  <c r="H159" i="30"/>
  <c r="E159" i="30"/>
  <c r="F159" i="30" s="1"/>
  <c r="N158" i="30"/>
  <c r="O158" i="30" s="1"/>
  <c r="L158" i="30"/>
  <c r="K158" i="30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L156" i="30"/>
  <c r="K156" i="30"/>
  <c r="H156" i="30"/>
  <c r="I156" i="30" s="1"/>
  <c r="E156" i="30"/>
  <c r="F156" i="30" s="1"/>
  <c r="N155" i="30"/>
  <c r="O155" i="30" s="1"/>
  <c r="K155" i="30"/>
  <c r="L155" i="30" s="1"/>
  <c r="I155" i="30"/>
  <c r="H155" i="30"/>
  <c r="E155" i="30"/>
  <c r="F155" i="30" s="1"/>
  <c r="N154" i="30"/>
  <c r="O154" i="30" s="1"/>
  <c r="K154" i="30"/>
  <c r="L154" i="30" s="1"/>
  <c r="H154" i="30"/>
  <c r="I154" i="30" s="1"/>
  <c r="E154" i="30"/>
  <c r="F154" i="30" s="1"/>
  <c r="O153" i="30"/>
  <c r="N153" i="30"/>
  <c r="K153" i="30"/>
  <c r="L153" i="30" s="1"/>
  <c r="H153" i="30"/>
  <c r="I153" i="30" s="1"/>
  <c r="E153" i="30"/>
  <c r="F153" i="30" s="1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K144" i="30"/>
  <c r="L144" i="30" s="1"/>
  <c r="I144" i="30"/>
  <c r="H144" i="30"/>
  <c r="E144" i="30"/>
  <c r="F144" i="30" s="1"/>
  <c r="O143" i="30"/>
  <c r="N143" i="30"/>
  <c r="K143" i="30"/>
  <c r="L143" i="30" s="1"/>
  <c r="H143" i="30"/>
  <c r="I143" i="30" s="1"/>
  <c r="E143" i="30"/>
  <c r="F143" i="30" s="1"/>
  <c r="N142" i="30"/>
  <c r="O142" i="30" s="1"/>
  <c r="L142" i="30"/>
  <c r="K142" i="30"/>
  <c r="H142" i="30"/>
  <c r="I142" i="30" s="1"/>
  <c r="E142" i="30"/>
  <c r="F142" i="30" s="1"/>
  <c r="N141" i="30"/>
  <c r="O141" i="30" s="1"/>
  <c r="K141" i="30"/>
  <c r="L141" i="30" s="1"/>
  <c r="H141" i="30"/>
  <c r="I141" i="30" s="1"/>
  <c r="E141" i="30"/>
  <c r="F141" i="30" s="1"/>
  <c r="O140" i="30"/>
  <c r="N140" i="30"/>
  <c r="L140" i="30"/>
  <c r="K140" i="30"/>
  <c r="I140" i="30"/>
  <c r="H140" i="30"/>
  <c r="E140" i="30"/>
  <c r="F140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K136" i="30"/>
  <c r="L136" i="30" s="1"/>
  <c r="I136" i="30"/>
  <c r="H136" i="30"/>
  <c r="E136" i="30"/>
  <c r="F136" i="30" s="1"/>
  <c r="N135" i="30"/>
  <c r="O135" i="30" s="1"/>
  <c r="K135" i="30"/>
  <c r="L135" i="30" s="1"/>
  <c r="H135" i="30"/>
  <c r="I135" i="30" s="1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O132" i="30"/>
  <c r="N132" i="30"/>
  <c r="K132" i="30"/>
  <c r="L132" i="30" s="1"/>
  <c r="I132" i="30"/>
  <c r="H132" i="30"/>
  <c r="E132" i="30"/>
  <c r="F132" i="30" s="1"/>
  <c r="O131" i="30"/>
  <c r="N131" i="30"/>
  <c r="K131" i="30"/>
  <c r="L131" i="30" s="1"/>
  <c r="H131" i="30"/>
  <c r="I131" i="30" s="1"/>
  <c r="E131" i="30"/>
  <c r="F131" i="30" s="1"/>
  <c r="N130" i="30"/>
  <c r="O130" i="30" s="1"/>
  <c r="L130" i="30"/>
  <c r="K130" i="30"/>
  <c r="H130" i="30"/>
  <c r="I130" i="30" s="1"/>
  <c r="E130" i="30"/>
  <c r="F130" i="30" s="1"/>
  <c r="N129" i="30"/>
  <c r="O129" i="30" s="1"/>
  <c r="K129" i="30"/>
  <c r="L129" i="30" s="1"/>
  <c r="H129" i="30"/>
  <c r="I129" i="30" s="1"/>
  <c r="E129" i="30"/>
  <c r="F129" i="30" s="1"/>
  <c r="O128" i="30"/>
  <c r="N128" i="30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K125" i="30"/>
  <c r="K145" i="30" s="1"/>
  <c r="H125" i="30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I117" i="30"/>
  <c r="H117" i="30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N111" i="30"/>
  <c r="L111" i="30"/>
  <c r="K111" i="30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I109" i="30"/>
  <c r="H109" i="30"/>
  <c r="E109" i="30"/>
  <c r="F109" i="30" s="1"/>
  <c r="N108" i="30"/>
  <c r="O108" i="30" s="1"/>
  <c r="L108" i="30"/>
  <c r="K108" i="30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K106" i="30"/>
  <c r="L106" i="30" s="1"/>
  <c r="H106" i="30"/>
  <c r="I106" i="30" s="1"/>
  <c r="E106" i="30"/>
  <c r="F106" i="30" s="1"/>
  <c r="N105" i="30"/>
  <c r="O105" i="30" s="1"/>
  <c r="K105" i="30"/>
  <c r="L105" i="30" s="1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N103" i="30"/>
  <c r="O103" i="30" s="1"/>
  <c r="L103" i="30"/>
  <c r="K103" i="30"/>
  <c r="I103" i="30"/>
  <c r="H103" i="30"/>
  <c r="E103" i="30"/>
  <c r="F103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K101" i="30"/>
  <c r="L101" i="30" s="1"/>
  <c r="I101" i="30"/>
  <c r="H101" i="30"/>
  <c r="E101" i="30"/>
  <c r="F101" i="30" s="1"/>
  <c r="O100" i="30"/>
  <c r="N100" i="30"/>
  <c r="L100" i="30"/>
  <c r="K100" i="30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O98" i="30"/>
  <c r="N98" i="30"/>
  <c r="K98" i="30"/>
  <c r="H98" i="30"/>
  <c r="E98" i="30"/>
  <c r="E118" i="30" s="1"/>
  <c r="M96" i="30"/>
  <c r="J96" i="30"/>
  <c r="G96" i="30"/>
  <c r="D96" i="30"/>
  <c r="B96" i="30"/>
  <c r="M95" i="30"/>
  <c r="G95" i="30"/>
  <c r="E91" i="30"/>
  <c r="B91" i="30"/>
  <c r="N90" i="30"/>
  <c r="O90" i="30" s="1"/>
  <c r="L90" i="30"/>
  <c r="K90" i="30"/>
  <c r="H90" i="30"/>
  <c r="I90" i="30" s="1"/>
  <c r="F90" i="30"/>
  <c r="E90" i="30"/>
  <c r="N89" i="30"/>
  <c r="O89" i="30" s="1"/>
  <c r="K89" i="30"/>
  <c r="L89" i="30" s="1"/>
  <c r="H89" i="30"/>
  <c r="I89" i="30" s="1"/>
  <c r="F89" i="30"/>
  <c r="E89" i="30"/>
  <c r="N88" i="30"/>
  <c r="O88" i="30" s="1"/>
  <c r="L88" i="30"/>
  <c r="K88" i="30"/>
  <c r="H88" i="30"/>
  <c r="I88" i="30" s="1"/>
  <c r="F88" i="30"/>
  <c r="E88" i="30"/>
  <c r="N87" i="30"/>
  <c r="O87" i="30" s="1"/>
  <c r="K87" i="30"/>
  <c r="L87" i="30" s="1"/>
  <c r="H87" i="30"/>
  <c r="I87" i="30" s="1"/>
  <c r="F87" i="30"/>
  <c r="E87" i="30"/>
  <c r="O86" i="30"/>
  <c r="N86" i="30"/>
  <c r="L86" i="30"/>
  <c r="K86" i="30"/>
  <c r="H86" i="30"/>
  <c r="I86" i="30" s="1"/>
  <c r="F86" i="30"/>
  <c r="E86" i="30"/>
  <c r="N85" i="30"/>
  <c r="O85" i="30" s="1"/>
  <c r="K85" i="30"/>
  <c r="L85" i="30" s="1"/>
  <c r="H85" i="30"/>
  <c r="I85" i="30" s="1"/>
  <c r="F85" i="30"/>
  <c r="E85" i="30"/>
  <c r="N84" i="30"/>
  <c r="O84" i="30" s="1"/>
  <c r="L84" i="30"/>
  <c r="K84" i="30"/>
  <c r="H84" i="30"/>
  <c r="I84" i="30" s="1"/>
  <c r="F84" i="30"/>
  <c r="E84" i="30"/>
  <c r="O83" i="30"/>
  <c r="N83" i="30"/>
  <c r="K83" i="30"/>
  <c r="L83" i="30" s="1"/>
  <c r="H83" i="30"/>
  <c r="I83" i="30" s="1"/>
  <c r="F83" i="30"/>
  <c r="E83" i="30"/>
  <c r="N82" i="30"/>
  <c r="O82" i="30" s="1"/>
  <c r="L82" i="30"/>
  <c r="K82" i="30"/>
  <c r="H82" i="30"/>
  <c r="I82" i="30" s="1"/>
  <c r="F82" i="30"/>
  <c r="E82" i="30"/>
  <c r="N81" i="30"/>
  <c r="O81" i="30" s="1"/>
  <c r="K81" i="30"/>
  <c r="L81" i="30" s="1"/>
  <c r="H81" i="30"/>
  <c r="I81" i="30" s="1"/>
  <c r="F81" i="30"/>
  <c r="E81" i="30"/>
  <c r="N80" i="30"/>
  <c r="O80" i="30" s="1"/>
  <c r="L80" i="30"/>
  <c r="K80" i="30"/>
  <c r="H80" i="30"/>
  <c r="I80" i="30" s="1"/>
  <c r="F80" i="30"/>
  <c r="E80" i="30"/>
  <c r="N79" i="30"/>
  <c r="O79" i="30" s="1"/>
  <c r="K79" i="30"/>
  <c r="L79" i="30" s="1"/>
  <c r="H79" i="30"/>
  <c r="I79" i="30" s="1"/>
  <c r="F79" i="30"/>
  <c r="E79" i="30"/>
  <c r="O78" i="30"/>
  <c r="N78" i="30"/>
  <c r="L78" i="30"/>
  <c r="K78" i="30"/>
  <c r="H78" i="30"/>
  <c r="I78" i="30" s="1"/>
  <c r="F78" i="30"/>
  <c r="E78" i="30"/>
  <c r="N77" i="30"/>
  <c r="O77" i="30" s="1"/>
  <c r="K77" i="30"/>
  <c r="L77" i="30" s="1"/>
  <c r="H77" i="30"/>
  <c r="I77" i="30" s="1"/>
  <c r="F77" i="30"/>
  <c r="E77" i="30"/>
  <c r="N76" i="30"/>
  <c r="O76" i="30" s="1"/>
  <c r="L76" i="30"/>
  <c r="K76" i="30"/>
  <c r="H76" i="30"/>
  <c r="I76" i="30" s="1"/>
  <c r="F76" i="30"/>
  <c r="E76" i="30"/>
  <c r="O75" i="30"/>
  <c r="N75" i="30"/>
  <c r="K75" i="30"/>
  <c r="L75" i="30" s="1"/>
  <c r="H75" i="30"/>
  <c r="I75" i="30" s="1"/>
  <c r="F75" i="30"/>
  <c r="E75" i="30"/>
  <c r="N74" i="30"/>
  <c r="O74" i="30" s="1"/>
  <c r="L74" i="30"/>
  <c r="K74" i="30"/>
  <c r="H74" i="30"/>
  <c r="I74" i="30" s="1"/>
  <c r="F74" i="30"/>
  <c r="E74" i="30"/>
  <c r="N73" i="30"/>
  <c r="O73" i="30" s="1"/>
  <c r="K73" i="30"/>
  <c r="L73" i="30" s="1"/>
  <c r="H73" i="30"/>
  <c r="I73" i="30" s="1"/>
  <c r="F73" i="30"/>
  <c r="E73" i="30"/>
  <c r="N72" i="30"/>
  <c r="O72" i="30" s="1"/>
  <c r="L72" i="30"/>
  <c r="K72" i="30"/>
  <c r="H72" i="30"/>
  <c r="I72" i="30" s="1"/>
  <c r="F72" i="30"/>
  <c r="E72" i="30"/>
  <c r="N71" i="30"/>
  <c r="O71" i="30" s="1"/>
  <c r="K71" i="30"/>
  <c r="H71" i="30"/>
  <c r="H91" i="30" s="1"/>
  <c r="F71" i="30"/>
  <c r="F91" i="30" s="1"/>
  <c r="E71" i="30"/>
  <c r="M69" i="30"/>
  <c r="J69" i="30"/>
  <c r="G69" i="30"/>
  <c r="D69" i="30"/>
  <c r="B69" i="30"/>
  <c r="M68" i="30"/>
  <c r="G68" i="30"/>
  <c r="B64" i="30"/>
  <c r="O63" i="30"/>
  <c r="N63" i="30"/>
  <c r="L63" i="30"/>
  <c r="K63" i="30"/>
  <c r="H63" i="30"/>
  <c r="I63" i="30" s="1"/>
  <c r="F63" i="30"/>
  <c r="E63" i="30"/>
  <c r="N62" i="30"/>
  <c r="O62" i="30" s="1"/>
  <c r="K62" i="30"/>
  <c r="L62" i="30" s="1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O60" i="30"/>
  <c r="N60" i="30"/>
  <c r="K60" i="30"/>
  <c r="L60" i="30" s="1"/>
  <c r="H60" i="30"/>
  <c r="I60" i="30" s="1"/>
  <c r="F60" i="30"/>
  <c r="E60" i="30"/>
  <c r="N59" i="30"/>
  <c r="O59" i="30" s="1"/>
  <c r="L59" i="30"/>
  <c r="K59" i="30"/>
  <c r="H59" i="30"/>
  <c r="I59" i="30" s="1"/>
  <c r="F59" i="30"/>
  <c r="E59" i="30"/>
  <c r="N58" i="30"/>
  <c r="O58" i="30" s="1"/>
  <c r="K58" i="30"/>
  <c r="L58" i="30" s="1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K54" i="30"/>
  <c r="L54" i="30" s="1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K50" i="30"/>
  <c r="L50" i="30" s="1"/>
  <c r="H50" i="30"/>
  <c r="I50" i="30" s="1"/>
  <c r="F50" i="30"/>
  <c r="E50" i="30"/>
  <c r="N49" i="30"/>
  <c r="O49" i="30" s="1"/>
  <c r="L49" i="30"/>
  <c r="K49" i="30"/>
  <c r="H49" i="30"/>
  <c r="I49" i="30" s="1"/>
  <c r="F49" i="30"/>
  <c r="E49" i="30"/>
  <c r="N48" i="30"/>
  <c r="O48" i="30" s="1"/>
  <c r="K48" i="30"/>
  <c r="L48" i="30" s="1"/>
  <c r="H48" i="30"/>
  <c r="I48" i="30" s="1"/>
  <c r="F48" i="30"/>
  <c r="E48" i="30"/>
  <c r="O47" i="30"/>
  <c r="N47" i="30"/>
  <c r="L47" i="30"/>
  <c r="K47" i="30"/>
  <c r="H47" i="30"/>
  <c r="I47" i="30" s="1"/>
  <c r="F47" i="30"/>
  <c r="E47" i="30"/>
  <c r="N46" i="30"/>
  <c r="O46" i="30" s="1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O44" i="30"/>
  <c r="N44" i="30"/>
  <c r="K44" i="30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O192" i="29"/>
  <c r="N192" i="29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I171" i="29"/>
  <c r="H171" i="29"/>
  <c r="F171" i="29"/>
  <c r="E171" i="29"/>
  <c r="N170" i="29"/>
  <c r="O170" i="29" s="1"/>
  <c r="L170" i="29"/>
  <c r="K170" i="29"/>
  <c r="I170" i="29"/>
  <c r="H170" i="29"/>
  <c r="F170" i="29"/>
  <c r="E170" i="29"/>
  <c r="N169" i="29"/>
  <c r="O169" i="29" s="1"/>
  <c r="L169" i="29"/>
  <c r="K169" i="29"/>
  <c r="I169" i="29"/>
  <c r="H169" i="29"/>
  <c r="F169" i="29"/>
  <c r="E169" i="29"/>
  <c r="N168" i="29"/>
  <c r="O168" i="29" s="1"/>
  <c r="L168" i="29"/>
  <c r="K168" i="29"/>
  <c r="I168" i="29"/>
  <c r="H168" i="29"/>
  <c r="F168" i="29"/>
  <c r="E168" i="29"/>
  <c r="N167" i="29"/>
  <c r="O167" i="29" s="1"/>
  <c r="L167" i="29"/>
  <c r="K167" i="29"/>
  <c r="I167" i="29"/>
  <c r="H167" i="29"/>
  <c r="F167" i="29"/>
  <c r="E167" i="29"/>
  <c r="N166" i="29"/>
  <c r="O166" i="29" s="1"/>
  <c r="L166" i="29"/>
  <c r="K166" i="29"/>
  <c r="I166" i="29"/>
  <c r="H166" i="29"/>
  <c r="F166" i="29"/>
  <c r="E166" i="29"/>
  <c r="N165" i="29"/>
  <c r="O165" i="29" s="1"/>
  <c r="L165" i="29"/>
  <c r="K165" i="29"/>
  <c r="I165" i="29"/>
  <c r="H165" i="29"/>
  <c r="F165" i="29"/>
  <c r="E165" i="29"/>
  <c r="N164" i="29"/>
  <c r="O164" i="29" s="1"/>
  <c r="L164" i="29"/>
  <c r="K164" i="29"/>
  <c r="I164" i="29"/>
  <c r="H164" i="29"/>
  <c r="F164" i="29"/>
  <c r="E164" i="29"/>
  <c r="N163" i="29"/>
  <c r="O163" i="29" s="1"/>
  <c r="L163" i="29"/>
  <c r="K163" i="29"/>
  <c r="I163" i="29"/>
  <c r="H163" i="29"/>
  <c r="F163" i="29"/>
  <c r="E163" i="29"/>
  <c r="N162" i="29"/>
  <c r="O162" i="29" s="1"/>
  <c r="L162" i="29"/>
  <c r="K162" i="29"/>
  <c r="I162" i="29"/>
  <c r="H162" i="29"/>
  <c r="F162" i="29"/>
  <c r="E162" i="29"/>
  <c r="N161" i="29"/>
  <c r="O161" i="29" s="1"/>
  <c r="L161" i="29"/>
  <c r="K161" i="29"/>
  <c r="I161" i="29"/>
  <c r="H161" i="29"/>
  <c r="F161" i="29"/>
  <c r="E161" i="29"/>
  <c r="N160" i="29"/>
  <c r="O160" i="29" s="1"/>
  <c r="L160" i="29"/>
  <c r="K160" i="29"/>
  <c r="I160" i="29"/>
  <c r="H160" i="29"/>
  <c r="F160" i="29"/>
  <c r="E160" i="29"/>
  <c r="N159" i="29"/>
  <c r="O159" i="29" s="1"/>
  <c r="L159" i="29"/>
  <c r="K159" i="29"/>
  <c r="I159" i="29"/>
  <c r="H159" i="29"/>
  <c r="F159" i="29"/>
  <c r="E159" i="29"/>
  <c r="N158" i="29"/>
  <c r="O158" i="29" s="1"/>
  <c r="L158" i="29"/>
  <c r="K158" i="29"/>
  <c r="I158" i="29"/>
  <c r="H158" i="29"/>
  <c r="F158" i="29"/>
  <c r="E158" i="29"/>
  <c r="N157" i="29"/>
  <c r="O157" i="29" s="1"/>
  <c r="L157" i="29"/>
  <c r="K157" i="29"/>
  <c r="I157" i="29"/>
  <c r="H157" i="29"/>
  <c r="F157" i="29"/>
  <c r="E157" i="29"/>
  <c r="N156" i="29"/>
  <c r="O156" i="29" s="1"/>
  <c r="L156" i="29"/>
  <c r="K156" i="29"/>
  <c r="I156" i="29"/>
  <c r="H156" i="29"/>
  <c r="F156" i="29"/>
  <c r="E156" i="29"/>
  <c r="N155" i="29"/>
  <c r="O155" i="29" s="1"/>
  <c r="L155" i="29"/>
  <c r="K155" i="29"/>
  <c r="I155" i="29"/>
  <c r="H155" i="29"/>
  <c r="F155" i="29"/>
  <c r="E155" i="29"/>
  <c r="N154" i="29"/>
  <c r="O154" i="29" s="1"/>
  <c r="L154" i="29"/>
  <c r="K154" i="29"/>
  <c r="I154" i="29"/>
  <c r="H154" i="29"/>
  <c r="F154" i="29"/>
  <c r="E154" i="29"/>
  <c r="N153" i="29"/>
  <c r="O153" i="29" s="1"/>
  <c r="L153" i="29"/>
  <c r="K153" i="29"/>
  <c r="I153" i="29"/>
  <c r="H153" i="29"/>
  <c r="F153" i="29"/>
  <c r="E153" i="29"/>
  <c r="N152" i="29"/>
  <c r="N172" i="29" s="1"/>
  <c r="L152" i="29"/>
  <c r="L172" i="29" s="1"/>
  <c r="K152" i="29"/>
  <c r="K172" i="29" s="1"/>
  <c r="I152" i="29"/>
  <c r="I172" i="29" s="1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K144" i="29"/>
  <c r="L144" i="29" s="1"/>
  <c r="H144" i="29"/>
  <c r="I144" i="29" s="1"/>
  <c r="E144" i="29"/>
  <c r="F144" i="29" s="1"/>
  <c r="O143" i="29"/>
  <c r="N143" i="29"/>
  <c r="K143" i="29"/>
  <c r="L143" i="29" s="1"/>
  <c r="H143" i="29"/>
  <c r="I143" i="29" s="1"/>
  <c r="E143" i="29"/>
  <c r="F143" i="29" s="1"/>
  <c r="O142" i="29"/>
  <c r="N142" i="29"/>
  <c r="L142" i="29"/>
  <c r="K142" i="29"/>
  <c r="H142" i="29"/>
  <c r="I142" i="29" s="1"/>
  <c r="E142" i="29"/>
  <c r="F142" i="29" s="1"/>
  <c r="N141" i="29"/>
  <c r="O141" i="29" s="1"/>
  <c r="K141" i="29"/>
  <c r="L141" i="29" s="1"/>
  <c r="I141" i="29"/>
  <c r="H141" i="29"/>
  <c r="E141" i="29"/>
  <c r="F141" i="29" s="1"/>
  <c r="O140" i="29"/>
  <c r="N140" i="29"/>
  <c r="K140" i="29"/>
  <c r="L140" i="29" s="1"/>
  <c r="H140" i="29"/>
  <c r="I140" i="29" s="1"/>
  <c r="E140" i="29"/>
  <c r="F140" i="29" s="1"/>
  <c r="N139" i="29"/>
  <c r="O139" i="29" s="1"/>
  <c r="L139" i="29"/>
  <c r="K139" i="29"/>
  <c r="H139" i="29"/>
  <c r="I139" i="29" s="1"/>
  <c r="E139" i="29"/>
  <c r="F139" i="29" s="1"/>
  <c r="O138" i="29"/>
  <c r="N138" i="29"/>
  <c r="K138" i="29"/>
  <c r="L138" i="29" s="1"/>
  <c r="H138" i="29"/>
  <c r="I138" i="29" s="1"/>
  <c r="E138" i="29"/>
  <c r="F138" i="29" s="1"/>
  <c r="N137" i="29"/>
  <c r="O137" i="29" s="1"/>
  <c r="L137" i="29"/>
  <c r="K137" i="29"/>
  <c r="I137" i="29"/>
  <c r="H137" i="29"/>
  <c r="E137" i="29"/>
  <c r="F137" i="29" s="1"/>
  <c r="O136" i="29"/>
  <c r="N136" i="29"/>
  <c r="K136" i="29"/>
  <c r="L136" i="29" s="1"/>
  <c r="H136" i="29"/>
  <c r="I136" i="29" s="1"/>
  <c r="E136" i="29"/>
  <c r="F136" i="29" s="1"/>
  <c r="O135" i="29"/>
  <c r="N135" i="29"/>
  <c r="K135" i="29"/>
  <c r="L135" i="29" s="1"/>
  <c r="H135" i="29"/>
  <c r="I135" i="29" s="1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H131" i="29"/>
  <c r="I131" i="29" s="1"/>
  <c r="E131" i="29"/>
  <c r="F131" i="29" s="1"/>
  <c r="O130" i="29"/>
  <c r="N130" i="29"/>
  <c r="L130" i="29"/>
  <c r="K130" i="29"/>
  <c r="H130" i="29"/>
  <c r="I130" i="29" s="1"/>
  <c r="E130" i="29"/>
  <c r="F130" i="29" s="1"/>
  <c r="N129" i="29"/>
  <c r="O129" i="29" s="1"/>
  <c r="K129" i="29"/>
  <c r="L129" i="29" s="1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K145" i="29" s="1"/>
  <c r="I125" i="29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O116" i="29"/>
  <c r="N116" i="29"/>
  <c r="L116" i="29"/>
  <c r="K116" i="29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N113" i="29"/>
  <c r="O113" i="29" s="1"/>
  <c r="L113" i="29"/>
  <c r="K113" i="29"/>
  <c r="H113" i="29"/>
  <c r="I113" i="29" s="1"/>
  <c r="E113" i="29"/>
  <c r="F113" i="29" s="1"/>
  <c r="O112" i="29"/>
  <c r="N112" i="29"/>
  <c r="L112" i="29"/>
  <c r="K112" i="29"/>
  <c r="I112" i="29"/>
  <c r="H112" i="29"/>
  <c r="E112" i="29"/>
  <c r="F112" i="29" s="1"/>
  <c r="N111" i="29"/>
  <c r="O111" i="29" s="1"/>
  <c r="K111" i="29"/>
  <c r="L111" i="29" s="1"/>
  <c r="H111" i="29"/>
  <c r="I111" i="29" s="1"/>
  <c r="E111" i="29"/>
  <c r="F111" i="29" s="1"/>
  <c r="O110" i="29"/>
  <c r="N110" i="29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O108" i="29"/>
  <c r="N108" i="29"/>
  <c r="L108" i="29"/>
  <c r="K108" i="29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K104" i="29"/>
  <c r="L104" i="29" s="1"/>
  <c r="I104" i="29"/>
  <c r="H104" i="29"/>
  <c r="E104" i="29"/>
  <c r="F104" i="29" s="1"/>
  <c r="O103" i="29"/>
  <c r="N103" i="29"/>
  <c r="L103" i="29"/>
  <c r="K103" i="29"/>
  <c r="H103" i="29"/>
  <c r="I103" i="29" s="1"/>
  <c r="E103" i="29"/>
  <c r="F103" i="29" s="1"/>
  <c r="N102" i="29"/>
  <c r="O102" i="29" s="1"/>
  <c r="L102" i="29"/>
  <c r="K102" i="29"/>
  <c r="I102" i="29"/>
  <c r="H102" i="29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I100" i="29"/>
  <c r="H100" i="29"/>
  <c r="E100" i="29"/>
  <c r="F100" i="29" s="1"/>
  <c r="O99" i="29"/>
  <c r="N99" i="29"/>
  <c r="L99" i="29"/>
  <c r="K99" i="29"/>
  <c r="H99" i="29"/>
  <c r="I99" i="29" s="1"/>
  <c r="E99" i="29"/>
  <c r="F99" i="29" s="1"/>
  <c r="N98" i="29"/>
  <c r="O98" i="29" s="1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I89" i="29"/>
  <c r="H89" i="29"/>
  <c r="E89" i="29"/>
  <c r="F89" i="29" s="1"/>
  <c r="O88" i="29"/>
  <c r="N88" i="29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O86" i="29"/>
  <c r="N86" i="29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N84" i="29"/>
  <c r="O84" i="29" s="1"/>
  <c r="K84" i="29"/>
  <c r="L84" i="29" s="1"/>
  <c r="H84" i="29"/>
  <c r="I84" i="29" s="1"/>
  <c r="E84" i="29"/>
  <c r="F84" i="29" s="1"/>
  <c r="O83" i="29"/>
  <c r="N83" i="29"/>
  <c r="L83" i="29"/>
  <c r="K83" i="29"/>
  <c r="I83" i="29"/>
  <c r="H83" i="29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K81" i="29"/>
  <c r="L81" i="29" s="1"/>
  <c r="I81" i="29"/>
  <c r="H81" i="29"/>
  <c r="E81" i="29"/>
  <c r="F81" i="29" s="1"/>
  <c r="O80" i="29"/>
  <c r="N80" i="29"/>
  <c r="L80" i="29"/>
  <c r="K80" i="29"/>
  <c r="H80" i="29"/>
  <c r="I80" i="29" s="1"/>
  <c r="E80" i="29"/>
  <c r="F80" i="29" s="1"/>
  <c r="O79" i="29"/>
  <c r="N79" i="29"/>
  <c r="K79" i="29"/>
  <c r="L79" i="29" s="1"/>
  <c r="I79" i="29"/>
  <c r="H79" i="29"/>
  <c r="E79" i="29"/>
  <c r="F79" i="29" s="1"/>
  <c r="O78" i="29"/>
  <c r="N78" i="29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O75" i="29"/>
  <c r="N75" i="29"/>
  <c r="L75" i="29"/>
  <c r="K75" i="29"/>
  <c r="I75" i="29"/>
  <c r="H75" i="29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I73" i="29"/>
  <c r="H73" i="29"/>
  <c r="E73" i="29"/>
  <c r="F73" i="29" s="1"/>
  <c r="N72" i="29"/>
  <c r="O72" i="29" s="1"/>
  <c r="L72" i="29"/>
  <c r="K72" i="29"/>
  <c r="H72" i="29"/>
  <c r="I72" i="29" s="1"/>
  <c r="E72" i="29"/>
  <c r="F72" i="29" s="1"/>
  <c r="O71" i="29"/>
  <c r="N71" i="29"/>
  <c r="K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I62" i="29"/>
  <c r="H62" i="29"/>
  <c r="E62" i="29"/>
  <c r="F62" i="29" s="1"/>
  <c r="N61" i="29"/>
  <c r="O61" i="29" s="1"/>
  <c r="K61" i="29"/>
  <c r="L61" i="29" s="1"/>
  <c r="H61" i="29"/>
  <c r="I61" i="29" s="1"/>
  <c r="E61" i="29"/>
  <c r="F61" i="29" s="1"/>
  <c r="N60" i="29"/>
  <c r="O60" i="29" s="1"/>
  <c r="K60" i="29"/>
  <c r="L60" i="29" s="1"/>
  <c r="I60" i="29"/>
  <c r="H60" i="29"/>
  <c r="E60" i="29"/>
  <c r="F60" i="29" s="1"/>
  <c r="O59" i="29"/>
  <c r="N59" i="29"/>
  <c r="K59" i="29"/>
  <c r="L59" i="29" s="1"/>
  <c r="I59" i="29"/>
  <c r="H59" i="29"/>
  <c r="E59" i="29"/>
  <c r="F59" i="29" s="1"/>
  <c r="N58" i="29"/>
  <c r="O58" i="29" s="1"/>
  <c r="K58" i="29"/>
  <c r="L58" i="29" s="1"/>
  <c r="I58" i="29"/>
  <c r="H58" i="29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I55" i="29"/>
  <c r="H55" i="29"/>
  <c r="E55" i="29"/>
  <c r="F55" i="29" s="1"/>
  <c r="N54" i="29"/>
  <c r="O54" i="29" s="1"/>
  <c r="L54" i="29"/>
  <c r="K54" i="29"/>
  <c r="I54" i="29"/>
  <c r="H54" i="29"/>
  <c r="E54" i="29"/>
  <c r="F54" i="29" s="1"/>
  <c r="O53" i="29"/>
  <c r="N53" i="29"/>
  <c r="K53" i="29"/>
  <c r="L53" i="29" s="1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N51" i="29"/>
  <c r="O51" i="29" s="1"/>
  <c r="L51" i="29"/>
  <c r="K51" i="29"/>
  <c r="I51" i="29"/>
  <c r="H51" i="29"/>
  <c r="E51" i="29"/>
  <c r="F51" i="29" s="1"/>
  <c r="O50" i="29"/>
  <c r="N50" i="29"/>
  <c r="K50" i="29"/>
  <c r="L50" i="29" s="1"/>
  <c r="I50" i="29"/>
  <c r="H50" i="29"/>
  <c r="E50" i="29"/>
  <c r="F50" i="29" s="1"/>
  <c r="O49" i="29"/>
  <c r="N49" i="29"/>
  <c r="K49" i="29"/>
  <c r="L49" i="29" s="1"/>
  <c r="H49" i="29"/>
  <c r="I49" i="29" s="1"/>
  <c r="E49" i="29"/>
  <c r="F49" i="29" s="1"/>
  <c r="N48" i="29"/>
  <c r="O48" i="29" s="1"/>
  <c r="L48" i="29"/>
  <c r="K48" i="29"/>
  <c r="I48" i="29"/>
  <c r="H48" i="29"/>
  <c r="E48" i="29"/>
  <c r="F48" i="29" s="1"/>
  <c r="N47" i="29"/>
  <c r="O47" i="29" s="1"/>
  <c r="K47" i="29"/>
  <c r="L47" i="29" s="1"/>
  <c r="I47" i="29"/>
  <c r="H47" i="29"/>
  <c r="E47" i="29"/>
  <c r="F47" i="29" s="1"/>
  <c r="O46" i="29"/>
  <c r="N46" i="29"/>
  <c r="K46" i="29"/>
  <c r="L46" i="29" s="1"/>
  <c r="I46" i="29"/>
  <c r="H46" i="29"/>
  <c r="E46" i="29"/>
  <c r="F46" i="29" s="1"/>
  <c r="N45" i="29"/>
  <c r="O45" i="29" s="1"/>
  <c r="L45" i="29"/>
  <c r="K45" i="29"/>
  <c r="H45" i="29"/>
  <c r="I45" i="29" s="1"/>
  <c r="E45" i="29"/>
  <c r="F45" i="29" s="1"/>
  <c r="O44" i="29"/>
  <c r="N44" i="29"/>
  <c r="K44" i="29"/>
  <c r="K64" i="29" s="1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L111" i="28"/>
  <c r="K111" i="28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O105" i="28"/>
  <c r="N105" i="28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N103" i="28"/>
  <c r="O103" i="28" s="1"/>
  <c r="L103" i="28"/>
  <c r="K103" i="28"/>
  <c r="H103" i="28"/>
  <c r="I103" i="28" s="1"/>
  <c r="F103" i="28"/>
  <c r="E103" i="28"/>
  <c r="O102" i="28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N99" i="28"/>
  <c r="O99" i="28" s="1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E90" i="28"/>
  <c r="F90" i="28" s="1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N82" i="28"/>
  <c r="O82" i="28" s="1"/>
  <c r="L82" i="28"/>
  <c r="K82" i="28"/>
  <c r="H82" i="28"/>
  <c r="I82" i="28" s="1"/>
  <c r="F82" i="28"/>
  <c r="E82" i="28"/>
  <c r="N81" i="28"/>
  <c r="O81" i="28" s="1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N79" i="28"/>
  <c r="O79" i="28" s="1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K91" i="28" s="1"/>
  <c r="H71" i="28"/>
  <c r="F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N61" i="28"/>
  <c r="O61" i="28" s="1"/>
  <c r="L61" i="28"/>
  <c r="K61" i="28"/>
  <c r="I61" i="28"/>
  <c r="H61" i="28"/>
  <c r="E61" i="28"/>
  <c r="F61" i="28" s="1"/>
  <c r="O60" i="28"/>
  <c r="N60" i="28"/>
  <c r="K60" i="28"/>
  <c r="L60" i="28" s="1"/>
  <c r="H60" i="28"/>
  <c r="I60" i="28" s="1"/>
  <c r="E60" i="28"/>
  <c r="F60" i="28" s="1"/>
  <c r="O59" i="28"/>
  <c r="N59" i="28"/>
  <c r="K59" i="28"/>
  <c r="L59" i="28" s="1"/>
  <c r="H59" i="28"/>
  <c r="I59" i="28" s="1"/>
  <c r="E59" i="28"/>
  <c r="F59" i="28" s="1"/>
  <c r="O58" i="28"/>
  <c r="N58" i="28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O56" i="28"/>
  <c r="N56" i="28"/>
  <c r="L56" i="28"/>
  <c r="K56" i="28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L54" i="28"/>
  <c r="K54" i="28"/>
  <c r="H54" i="28"/>
  <c r="I54" i="28" s="1"/>
  <c r="E54" i="28"/>
  <c r="F54" i="28" s="1"/>
  <c r="N53" i="28"/>
  <c r="O53" i="28" s="1"/>
  <c r="L53" i="28"/>
  <c r="K53" i="28"/>
  <c r="I53" i="28"/>
  <c r="H53" i="28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K51" i="28"/>
  <c r="L51" i="28" s="1"/>
  <c r="H51" i="28"/>
  <c r="I51" i="28" s="1"/>
  <c r="E51" i="28"/>
  <c r="F51" i="28" s="1"/>
  <c r="O50" i="28"/>
  <c r="N50" i="28"/>
  <c r="K50" i="28"/>
  <c r="L50" i="28" s="1"/>
  <c r="H50" i="28"/>
  <c r="I50" i="28" s="1"/>
  <c r="E50" i="28"/>
  <c r="F50" i="28" s="1"/>
  <c r="N49" i="28"/>
  <c r="O49" i="28" s="1"/>
  <c r="K49" i="28"/>
  <c r="L49" i="28" s="1"/>
  <c r="I49" i="28"/>
  <c r="H49" i="28"/>
  <c r="E49" i="28"/>
  <c r="F49" i="28" s="1"/>
  <c r="N48" i="28"/>
  <c r="O48" i="28" s="1"/>
  <c r="K48" i="28"/>
  <c r="L48" i="28" s="1"/>
  <c r="H48" i="28"/>
  <c r="I48" i="28" s="1"/>
  <c r="E48" i="28"/>
  <c r="F48" i="28" s="1"/>
  <c r="O47" i="28"/>
  <c r="N47" i="28"/>
  <c r="L47" i="28"/>
  <c r="K47" i="28"/>
  <c r="H47" i="28"/>
  <c r="I47" i="28" s="1"/>
  <c r="E47" i="28"/>
  <c r="F47" i="28" s="1"/>
  <c r="N46" i="28"/>
  <c r="O46" i="28" s="1"/>
  <c r="K46" i="28"/>
  <c r="L46" i="28" s="1"/>
  <c r="H46" i="28"/>
  <c r="I46" i="28" s="1"/>
  <c r="E46" i="28"/>
  <c r="F46" i="28" s="1"/>
  <c r="N45" i="28"/>
  <c r="O45" i="28" s="1"/>
  <c r="L45" i="28"/>
  <c r="K45" i="28"/>
  <c r="I45" i="28"/>
  <c r="H45" i="28"/>
  <c r="E45" i="28"/>
  <c r="F45" i="28" s="1"/>
  <c r="N44" i="28"/>
  <c r="K44" i="28"/>
  <c r="K64" i="28" s="1"/>
  <c r="H44" i="28"/>
  <c r="H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I171" i="27"/>
  <c r="H171" i="27"/>
  <c r="F171" i="27"/>
  <c r="E171" i="27"/>
  <c r="O170" i="27"/>
  <c r="N170" i="27"/>
  <c r="L170" i="27"/>
  <c r="K170" i="27"/>
  <c r="I170" i="27"/>
  <c r="H170" i="27"/>
  <c r="F170" i="27"/>
  <c r="E170" i="27"/>
  <c r="O169" i="27"/>
  <c r="N169" i="27"/>
  <c r="L169" i="27"/>
  <c r="K169" i="27"/>
  <c r="I169" i="27"/>
  <c r="H169" i="27"/>
  <c r="F169" i="27"/>
  <c r="E169" i="27"/>
  <c r="O168" i="27"/>
  <c r="N168" i="27"/>
  <c r="L168" i="27"/>
  <c r="K168" i="27"/>
  <c r="I168" i="27"/>
  <c r="H168" i="27"/>
  <c r="F168" i="27"/>
  <c r="E168" i="27"/>
  <c r="O167" i="27"/>
  <c r="N167" i="27"/>
  <c r="L167" i="27"/>
  <c r="K167" i="27"/>
  <c r="I167" i="27"/>
  <c r="H167" i="27"/>
  <c r="F167" i="27"/>
  <c r="E167" i="27"/>
  <c r="O166" i="27"/>
  <c r="N166" i="27"/>
  <c r="L166" i="27"/>
  <c r="K166" i="27"/>
  <c r="I166" i="27"/>
  <c r="H166" i="27"/>
  <c r="F166" i="27"/>
  <c r="E166" i="27"/>
  <c r="O165" i="27"/>
  <c r="N165" i="27"/>
  <c r="L165" i="27"/>
  <c r="K165" i="27"/>
  <c r="I165" i="27"/>
  <c r="H165" i="27"/>
  <c r="F165" i="27"/>
  <c r="E165" i="27"/>
  <c r="O164" i="27"/>
  <c r="N164" i="27"/>
  <c r="L164" i="27"/>
  <c r="K164" i="27"/>
  <c r="I164" i="27"/>
  <c r="H164" i="27"/>
  <c r="F164" i="27"/>
  <c r="E164" i="27"/>
  <c r="O163" i="27"/>
  <c r="N163" i="27"/>
  <c r="L163" i="27"/>
  <c r="K163" i="27"/>
  <c r="I163" i="27"/>
  <c r="H163" i="27"/>
  <c r="F163" i="27"/>
  <c r="E163" i="27"/>
  <c r="O162" i="27"/>
  <c r="N162" i="27"/>
  <c r="L162" i="27"/>
  <c r="K162" i="27"/>
  <c r="I162" i="27"/>
  <c r="H162" i="27"/>
  <c r="F162" i="27"/>
  <c r="E162" i="27"/>
  <c r="O161" i="27"/>
  <c r="N161" i="27"/>
  <c r="L161" i="27"/>
  <c r="K161" i="27"/>
  <c r="I161" i="27"/>
  <c r="H161" i="27"/>
  <c r="F161" i="27"/>
  <c r="E161" i="27"/>
  <c r="O160" i="27"/>
  <c r="N160" i="27"/>
  <c r="L160" i="27"/>
  <c r="K160" i="27"/>
  <c r="I160" i="27"/>
  <c r="H160" i="27"/>
  <c r="F160" i="27"/>
  <c r="E160" i="27"/>
  <c r="O159" i="27"/>
  <c r="N159" i="27"/>
  <c r="L159" i="27"/>
  <c r="K159" i="27"/>
  <c r="I159" i="27"/>
  <c r="H159" i="27"/>
  <c r="F159" i="27"/>
  <c r="E159" i="27"/>
  <c r="O158" i="27"/>
  <c r="N158" i="27"/>
  <c r="L158" i="27"/>
  <c r="K158" i="27"/>
  <c r="I158" i="27"/>
  <c r="H158" i="27"/>
  <c r="F158" i="27"/>
  <c r="E158" i="27"/>
  <c r="O157" i="27"/>
  <c r="N157" i="27"/>
  <c r="L157" i="27"/>
  <c r="K157" i="27"/>
  <c r="I157" i="27"/>
  <c r="H157" i="27"/>
  <c r="F157" i="27"/>
  <c r="E157" i="27"/>
  <c r="O156" i="27"/>
  <c r="N156" i="27"/>
  <c r="L156" i="27"/>
  <c r="K156" i="27"/>
  <c r="I156" i="27"/>
  <c r="H156" i="27"/>
  <c r="F156" i="27"/>
  <c r="E156" i="27"/>
  <c r="O155" i="27"/>
  <c r="N155" i="27"/>
  <c r="L155" i="27"/>
  <c r="K155" i="27"/>
  <c r="I155" i="27"/>
  <c r="H155" i="27"/>
  <c r="F155" i="27"/>
  <c r="E155" i="27"/>
  <c r="O154" i="27"/>
  <c r="N154" i="27"/>
  <c r="L154" i="27"/>
  <c r="K154" i="27"/>
  <c r="I154" i="27"/>
  <c r="H154" i="27"/>
  <c r="F154" i="27"/>
  <c r="E154" i="27"/>
  <c r="O153" i="27"/>
  <c r="N153" i="27"/>
  <c r="L153" i="27"/>
  <c r="K153" i="27"/>
  <c r="I153" i="27"/>
  <c r="H153" i="27"/>
  <c r="F153" i="27"/>
  <c r="E153" i="27"/>
  <c r="O152" i="27"/>
  <c r="N152" i="27"/>
  <c r="N172" i="27" s="1"/>
  <c r="L152" i="27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H127" i="27"/>
  <c r="I127" i="27" s="1"/>
  <c r="F127" i="27"/>
  <c r="E127" i="27"/>
  <c r="N126" i="27"/>
  <c r="O126" i="27" s="1"/>
  <c r="L126" i="27"/>
  <c r="K126" i="27"/>
  <c r="H126" i="27"/>
  <c r="I126" i="27" s="1"/>
  <c r="F126" i="27"/>
  <c r="E126" i="27"/>
  <c r="N125" i="27"/>
  <c r="K125" i="27"/>
  <c r="K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N114" i="27"/>
  <c r="O114" i="27" s="1"/>
  <c r="K114" i="27"/>
  <c r="L114" i="27" s="1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K106" i="27"/>
  <c r="L106" i="27" s="1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N100" i="27"/>
  <c r="O100" i="27" s="1"/>
  <c r="K100" i="27"/>
  <c r="L100" i="27" s="1"/>
  <c r="H100" i="27"/>
  <c r="I100" i="27" s="1"/>
  <c r="F100" i="27"/>
  <c r="E100" i="27"/>
  <c r="O99" i="27"/>
  <c r="N99" i="27"/>
  <c r="L99" i="27"/>
  <c r="K99" i="27"/>
  <c r="H99" i="27"/>
  <c r="I99" i="27" s="1"/>
  <c r="F99" i="27"/>
  <c r="E99" i="27"/>
  <c r="N98" i="27"/>
  <c r="N118" i="27" s="1"/>
  <c r="K98" i="27"/>
  <c r="K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F90" i="27"/>
  <c r="E90" i="27"/>
  <c r="O89" i="27"/>
  <c r="N89" i="27"/>
  <c r="K89" i="27"/>
  <c r="L89" i="27" s="1"/>
  <c r="H89" i="27"/>
  <c r="I89" i="27" s="1"/>
  <c r="F89" i="27"/>
  <c r="E89" i="27"/>
  <c r="O88" i="27"/>
  <c r="N88" i="27"/>
  <c r="L88" i="27"/>
  <c r="K88" i="27"/>
  <c r="H88" i="27"/>
  <c r="I88" i="27" s="1"/>
  <c r="F88" i="27"/>
  <c r="E88" i="27"/>
  <c r="O87" i="27"/>
  <c r="N87" i="27"/>
  <c r="K87" i="27"/>
  <c r="L87" i="27" s="1"/>
  <c r="H87" i="27"/>
  <c r="I87" i="27" s="1"/>
  <c r="F87" i="27"/>
  <c r="E87" i="27"/>
  <c r="N86" i="27"/>
  <c r="O86" i="27" s="1"/>
  <c r="L86" i="27"/>
  <c r="K86" i="27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O84" i="27"/>
  <c r="N84" i="27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O80" i="27"/>
  <c r="N80" i="27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O76" i="27"/>
  <c r="N76" i="27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N74" i="27"/>
  <c r="O74" i="27" s="1"/>
  <c r="L74" i="27"/>
  <c r="K74" i="27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N72" i="27"/>
  <c r="O72" i="27" s="1"/>
  <c r="L72" i="27"/>
  <c r="K72" i="27"/>
  <c r="H72" i="27"/>
  <c r="I72" i="27" s="1"/>
  <c r="F72" i="27"/>
  <c r="E72" i="27"/>
  <c r="N71" i="27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O62" i="27"/>
  <c r="N62" i="27"/>
  <c r="L62" i="27"/>
  <c r="K62" i="27"/>
  <c r="H62" i="27"/>
  <c r="I62" i="27" s="1"/>
  <c r="E62" i="27"/>
  <c r="F62" i="27" s="1"/>
  <c r="N61" i="27"/>
  <c r="O61" i="27" s="1"/>
  <c r="L61" i="27"/>
  <c r="K61" i="27"/>
  <c r="I61" i="27"/>
  <c r="H61" i="27"/>
  <c r="E61" i="27"/>
  <c r="F61" i="27" s="1"/>
  <c r="O60" i="27"/>
  <c r="N60" i="27"/>
  <c r="K60" i="27"/>
  <c r="L60" i="27" s="1"/>
  <c r="H60" i="27"/>
  <c r="I60" i="27" s="1"/>
  <c r="E60" i="27"/>
  <c r="F60" i="27" s="1"/>
  <c r="N59" i="27"/>
  <c r="O59" i="27" s="1"/>
  <c r="K59" i="27"/>
  <c r="L59" i="27" s="1"/>
  <c r="I59" i="27"/>
  <c r="H59" i="27"/>
  <c r="E59" i="27"/>
  <c r="F59" i="27" s="1"/>
  <c r="O58" i="27"/>
  <c r="N58" i="27"/>
  <c r="K58" i="27"/>
  <c r="L58" i="27" s="1"/>
  <c r="H58" i="27"/>
  <c r="I58" i="27" s="1"/>
  <c r="E58" i="27"/>
  <c r="F58" i="27" s="1"/>
  <c r="N57" i="27"/>
  <c r="O57" i="27" s="1"/>
  <c r="L57" i="27"/>
  <c r="K57" i="27"/>
  <c r="I57" i="27"/>
  <c r="H57" i="27"/>
  <c r="E57" i="27"/>
  <c r="F57" i="27" s="1"/>
  <c r="O56" i="27"/>
  <c r="N56" i="27"/>
  <c r="K56" i="27"/>
  <c r="L56" i="27" s="1"/>
  <c r="H56" i="27"/>
  <c r="I56" i="27" s="1"/>
  <c r="E56" i="27"/>
  <c r="F56" i="27" s="1"/>
  <c r="O55" i="27"/>
  <c r="N55" i="27"/>
  <c r="K55" i="27"/>
  <c r="L55" i="27" s="1"/>
  <c r="I55" i="27"/>
  <c r="H55" i="27"/>
  <c r="E55" i="27"/>
  <c r="F55" i="27" s="1"/>
  <c r="N54" i="27"/>
  <c r="O54" i="27" s="1"/>
  <c r="L54" i="27"/>
  <c r="K54" i="27"/>
  <c r="H54" i="27"/>
  <c r="I54" i="27" s="1"/>
  <c r="E54" i="27"/>
  <c r="F54" i="27" s="1"/>
  <c r="O53" i="27"/>
  <c r="N53" i="27"/>
  <c r="K53" i="27"/>
  <c r="L53" i="27" s="1"/>
  <c r="I53" i="27"/>
  <c r="H53" i="27"/>
  <c r="E53" i="27"/>
  <c r="F53" i="27" s="1"/>
  <c r="N52" i="27"/>
  <c r="O52" i="27" s="1"/>
  <c r="K52" i="27"/>
  <c r="L52" i="27" s="1"/>
  <c r="H52" i="27"/>
  <c r="I52" i="27" s="1"/>
  <c r="E52" i="27"/>
  <c r="F52" i="27" s="1"/>
  <c r="O51" i="27"/>
  <c r="N51" i="27"/>
  <c r="K51" i="27"/>
  <c r="L51" i="27" s="1"/>
  <c r="I51" i="27"/>
  <c r="H51" i="27"/>
  <c r="E51" i="27"/>
  <c r="F51" i="27" s="1"/>
  <c r="N50" i="27"/>
  <c r="O50" i="27" s="1"/>
  <c r="K50" i="27"/>
  <c r="L50" i="27" s="1"/>
  <c r="H50" i="27"/>
  <c r="I50" i="27" s="1"/>
  <c r="E50" i="27"/>
  <c r="F50" i="27" s="1"/>
  <c r="N49" i="27"/>
  <c r="O49" i="27" s="1"/>
  <c r="L49" i="27"/>
  <c r="K49" i="27"/>
  <c r="I49" i="27"/>
  <c r="H49" i="27"/>
  <c r="E49" i="27"/>
  <c r="F49" i="27" s="1"/>
  <c r="N48" i="27"/>
  <c r="O48" i="27" s="1"/>
  <c r="K48" i="27"/>
  <c r="L48" i="27" s="1"/>
  <c r="H48" i="27"/>
  <c r="I48" i="27" s="1"/>
  <c r="E48" i="27"/>
  <c r="F48" i="27" s="1"/>
  <c r="N47" i="27"/>
  <c r="O47" i="27" s="1"/>
  <c r="K47" i="27"/>
  <c r="L47" i="27" s="1"/>
  <c r="I47" i="27"/>
  <c r="H47" i="27"/>
  <c r="E47" i="27"/>
  <c r="F47" i="27" s="1"/>
  <c r="N46" i="27"/>
  <c r="O46" i="27" s="1"/>
  <c r="L46" i="27"/>
  <c r="K46" i="27"/>
  <c r="H46" i="27"/>
  <c r="I46" i="27" s="1"/>
  <c r="E46" i="27"/>
  <c r="F46" i="27" s="1"/>
  <c r="N45" i="27"/>
  <c r="O45" i="27" s="1"/>
  <c r="K45" i="27"/>
  <c r="L45" i="27" s="1"/>
  <c r="I45" i="27"/>
  <c r="H45" i="27"/>
  <c r="E45" i="27"/>
  <c r="F45" i="27" s="1"/>
  <c r="N44" i="27"/>
  <c r="K44" i="27"/>
  <c r="H44" i="27"/>
  <c r="H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L195" i="26"/>
  <c r="K195" i="26"/>
  <c r="H195" i="26"/>
  <c r="I195" i="26" s="1"/>
  <c r="F195" i="26"/>
  <c r="E195" i="26"/>
  <c r="O194" i="26"/>
  <c r="N194" i="26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N192" i="26"/>
  <c r="O192" i="26" s="1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O182" i="26"/>
  <c r="N182" i="26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O166" i="26"/>
  <c r="N166" i="26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N152" i="26"/>
  <c r="L152" i="26"/>
  <c r="K152" i="26"/>
  <c r="I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I144" i="26"/>
  <c r="H144" i="26"/>
  <c r="E144" i="26"/>
  <c r="F144" i="26" s="1"/>
  <c r="N143" i="26"/>
  <c r="O143" i="26" s="1"/>
  <c r="K143" i="26"/>
  <c r="L143" i="26" s="1"/>
  <c r="H143" i="26"/>
  <c r="I143" i="26" s="1"/>
  <c r="E143" i="26"/>
  <c r="F143" i="26" s="1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I141" i="26"/>
  <c r="H141" i="26"/>
  <c r="E141" i="26"/>
  <c r="F141" i="26" s="1"/>
  <c r="N140" i="26"/>
  <c r="O140" i="26" s="1"/>
  <c r="L140" i="26"/>
  <c r="K140" i="26"/>
  <c r="I140" i="26"/>
  <c r="H140" i="26"/>
  <c r="E140" i="26"/>
  <c r="F140" i="26" s="1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I136" i="26"/>
  <c r="H136" i="26"/>
  <c r="E136" i="26"/>
  <c r="F136" i="26" s="1"/>
  <c r="N135" i="26"/>
  <c r="O135" i="26" s="1"/>
  <c r="L135" i="26"/>
  <c r="K135" i="26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L133" i="26"/>
  <c r="K133" i="26"/>
  <c r="I133" i="26"/>
  <c r="H133" i="26"/>
  <c r="E133" i="26"/>
  <c r="F133" i="26" s="1"/>
  <c r="N132" i="26"/>
  <c r="O132" i="26" s="1"/>
  <c r="K132" i="26"/>
  <c r="L132" i="26" s="1"/>
  <c r="I132" i="26"/>
  <c r="H132" i="26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L130" i="26"/>
  <c r="K130" i="26"/>
  <c r="H130" i="26"/>
  <c r="I130" i="26" s="1"/>
  <c r="E130" i="26"/>
  <c r="F130" i="26" s="1"/>
  <c r="O129" i="26"/>
  <c r="N129" i="26"/>
  <c r="K129" i="26"/>
  <c r="L129" i="26" s="1"/>
  <c r="H129" i="26"/>
  <c r="I129" i="26" s="1"/>
  <c r="E129" i="26"/>
  <c r="F129" i="26" s="1"/>
  <c r="N128" i="26"/>
  <c r="O128" i="26" s="1"/>
  <c r="L128" i="26"/>
  <c r="K128" i="26"/>
  <c r="I128" i="26"/>
  <c r="H128" i="26"/>
  <c r="E128" i="26"/>
  <c r="F128" i="26" s="1"/>
  <c r="O127" i="26"/>
  <c r="N127" i="26"/>
  <c r="K127" i="26"/>
  <c r="L127" i="26" s="1"/>
  <c r="H127" i="26"/>
  <c r="I127" i="26" s="1"/>
  <c r="E127" i="26"/>
  <c r="F127" i="26" s="1"/>
  <c r="N126" i="26"/>
  <c r="O126" i="26" s="1"/>
  <c r="K126" i="26"/>
  <c r="L126" i="26" s="1"/>
  <c r="H126" i="26"/>
  <c r="I126" i="26" s="1"/>
  <c r="E126" i="26"/>
  <c r="F126" i="26" s="1"/>
  <c r="O125" i="26"/>
  <c r="N125" i="26"/>
  <c r="N145" i="26" s="1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I117" i="26"/>
  <c r="H117" i="26"/>
  <c r="E117" i="26"/>
  <c r="F117" i="26" s="1"/>
  <c r="N116" i="26"/>
  <c r="O116" i="26" s="1"/>
  <c r="L116" i="26"/>
  <c r="K116" i="26"/>
  <c r="H116" i="26"/>
  <c r="I116" i="26" s="1"/>
  <c r="E116" i="26"/>
  <c r="F116" i="26" s="1"/>
  <c r="N115" i="26"/>
  <c r="O115" i="26" s="1"/>
  <c r="L115" i="26"/>
  <c r="K115" i="26"/>
  <c r="H115" i="26"/>
  <c r="I115" i="26" s="1"/>
  <c r="E115" i="26"/>
  <c r="F115" i="26" s="1"/>
  <c r="N114" i="26"/>
  <c r="O114" i="26" s="1"/>
  <c r="L114" i="26"/>
  <c r="K114" i="26"/>
  <c r="H114" i="26"/>
  <c r="I114" i="26" s="1"/>
  <c r="E114" i="26"/>
  <c r="F114" i="26" s="1"/>
  <c r="N113" i="26"/>
  <c r="O113" i="26" s="1"/>
  <c r="L113" i="26"/>
  <c r="K113" i="26"/>
  <c r="I113" i="26"/>
  <c r="H113" i="26"/>
  <c r="E113" i="26"/>
  <c r="F113" i="26" s="1"/>
  <c r="O112" i="26"/>
  <c r="N112" i="26"/>
  <c r="K112" i="26"/>
  <c r="L112" i="26" s="1"/>
  <c r="H112" i="26"/>
  <c r="I112" i="26" s="1"/>
  <c r="E112" i="26"/>
  <c r="F112" i="26" s="1"/>
  <c r="O111" i="26"/>
  <c r="N111" i="26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E110" i="26"/>
  <c r="F110" i="26" s="1"/>
  <c r="N109" i="26"/>
  <c r="O109" i="26" s="1"/>
  <c r="K109" i="26"/>
  <c r="L109" i="26" s="1"/>
  <c r="I109" i="26"/>
  <c r="H109" i="26"/>
  <c r="E109" i="26"/>
  <c r="F109" i="26" s="1"/>
  <c r="N108" i="26"/>
  <c r="O108" i="26" s="1"/>
  <c r="L108" i="26"/>
  <c r="K108" i="26"/>
  <c r="H108" i="26"/>
  <c r="I108" i="26" s="1"/>
  <c r="E108" i="26"/>
  <c r="F108" i="26" s="1"/>
  <c r="N107" i="26"/>
  <c r="O107" i="26" s="1"/>
  <c r="L107" i="26"/>
  <c r="K107" i="26"/>
  <c r="H107" i="26"/>
  <c r="I107" i="26" s="1"/>
  <c r="E107" i="26"/>
  <c r="F107" i="26" s="1"/>
  <c r="N106" i="26"/>
  <c r="O106" i="26" s="1"/>
  <c r="L106" i="26"/>
  <c r="K106" i="26"/>
  <c r="I106" i="26"/>
  <c r="H106" i="26"/>
  <c r="E106" i="26"/>
  <c r="F106" i="26" s="1"/>
  <c r="O105" i="26"/>
  <c r="N105" i="26"/>
  <c r="K105" i="26"/>
  <c r="L105" i="26" s="1"/>
  <c r="I105" i="26"/>
  <c r="H105" i="26"/>
  <c r="E105" i="26"/>
  <c r="F105" i="26" s="1"/>
  <c r="N104" i="26"/>
  <c r="O104" i="26" s="1"/>
  <c r="L104" i="26"/>
  <c r="K104" i="26"/>
  <c r="H104" i="26"/>
  <c r="I104" i="26" s="1"/>
  <c r="E104" i="26"/>
  <c r="F104" i="26" s="1"/>
  <c r="O103" i="26"/>
  <c r="N103" i="26"/>
  <c r="L103" i="26"/>
  <c r="K103" i="26"/>
  <c r="H103" i="26"/>
  <c r="I103" i="26" s="1"/>
  <c r="E103" i="26"/>
  <c r="F103" i="26" s="1"/>
  <c r="N102" i="26"/>
  <c r="O102" i="26" s="1"/>
  <c r="L102" i="26"/>
  <c r="K102" i="26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K99" i="26"/>
  <c r="L99" i="26" s="1"/>
  <c r="H99" i="26"/>
  <c r="I99" i="26" s="1"/>
  <c r="E99" i="26"/>
  <c r="F99" i="26" s="1"/>
  <c r="O98" i="26"/>
  <c r="N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I90" i="26"/>
  <c r="H90" i="26"/>
  <c r="E90" i="26"/>
  <c r="F90" i="26" s="1"/>
  <c r="O89" i="26"/>
  <c r="N89" i="26"/>
  <c r="L89" i="26"/>
  <c r="K89" i="26"/>
  <c r="H89" i="26"/>
  <c r="I89" i="26" s="1"/>
  <c r="F89" i="26"/>
  <c r="E89" i="26"/>
  <c r="N88" i="26"/>
  <c r="O88" i="26" s="1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O81" i="26"/>
  <c r="N81" i="26"/>
  <c r="L81" i="26"/>
  <c r="K81" i="26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L73" i="26"/>
  <c r="K73" i="26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L71" i="26"/>
  <c r="K71" i="26"/>
  <c r="H71" i="26"/>
  <c r="H91" i="26" s="1"/>
  <c r="F71" i="26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O61" i="26"/>
  <c r="N61" i="26"/>
  <c r="K61" i="26"/>
  <c r="L61" i="26" s="1"/>
  <c r="I61" i="26"/>
  <c r="H61" i="26"/>
  <c r="E61" i="26"/>
  <c r="F61" i="26" s="1"/>
  <c r="O60" i="26"/>
  <c r="N60" i="26"/>
  <c r="K60" i="26"/>
  <c r="L60" i="26" s="1"/>
  <c r="I60" i="26"/>
  <c r="H60" i="26"/>
  <c r="E60" i="26"/>
  <c r="F60" i="26" s="1"/>
  <c r="O59" i="26"/>
  <c r="N59" i="26"/>
  <c r="K59" i="26"/>
  <c r="L59" i="26" s="1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I57" i="26"/>
  <c r="H57" i="26"/>
  <c r="E57" i="26"/>
  <c r="F57" i="26" s="1"/>
  <c r="N56" i="26"/>
  <c r="O56" i="26" s="1"/>
  <c r="L56" i="26"/>
  <c r="K56" i="26"/>
  <c r="I56" i="26"/>
  <c r="H56" i="26"/>
  <c r="E56" i="26"/>
  <c r="F56" i="26" s="1"/>
  <c r="N55" i="26"/>
  <c r="O55" i="26" s="1"/>
  <c r="K55" i="26"/>
  <c r="L55" i="26" s="1"/>
  <c r="H55" i="26"/>
  <c r="I55" i="26" s="1"/>
  <c r="E55" i="26"/>
  <c r="F55" i="26" s="1"/>
  <c r="N54" i="26"/>
  <c r="O54" i="26" s="1"/>
  <c r="L54" i="26"/>
  <c r="K54" i="26"/>
  <c r="H54" i="26"/>
  <c r="I54" i="26" s="1"/>
  <c r="E54" i="26"/>
  <c r="F54" i="26" s="1"/>
  <c r="O53" i="26"/>
  <c r="N53" i="26"/>
  <c r="K53" i="26"/>
  <c r="L53" i="26" s="1"/>
  <c r="I53" i="26"/>
  <c r="H53" i="26"/>
  <c r="E53" i="26"/>
  <c r="F53" i="26" s="1"/>
  <c r="O52" i="26"/>
  <c r="N52" i="26"/>
  <c r="K52" i="26"/>
  <c r="L52" i="26" s="1"/>
  <c r="I52" i="26"/>
  <c r="H52" i="26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I49" i="26"/>
  <c r="H49" i="26"/>
  <c r="E49" i="26"/>
  <c r="F49" i="26" s="1"/>
  <c r="O48" i="26"/>
  <c r="N48" i="26"/>
  <c r="L48" i="26"/>
  <c r="K48" i="26"/>
  <c r="I48" i="26"/>
  <c r="H48" i="26"/>
  <c r="E48" i="26"/>
  <c r="F48" i="26" s="1"/>
  <c r="N47" i="26"/>
  <c r="O47" i="26" s="1"/>
  <c r="K47" i="26"/>
  <c r="L47" i="26" s="1"/>
  <c r="H47" i="26"/>
  <c r="I47" i="26" s="1"/>
  <c r="E47" i="26"/>
  <c r="F47" i="26" s="1"/>
  <c r="O46" i="26"/>
  <c r="N46" i="26"/>
  <c r="L46" i="26"/>
  <c r="K46" i="26"/>
  <c r="H46" i="26"/>
  <c r="I46" i="26" s="1"/>
  <c r="E46" i="26"/>
  <c r="F46" i="26" s="1"/>
  <c r="N45" i="26"/>
  <c r="O45" i="26" s="1"/>
  <c r="K45" i="26"/>
  <c r="L45" i="26" s="1"/>
  <c r="I45" i="26"/>
  <c r="H45" i="26"/>
  <c r="E45" i="26"/>
  <c r="F45" i="26" s="1"/>
  <c r="O44" i="26"/>
  <c r="N44" i="26"/>
  <c r="K44" i="26"/>
  <c r="I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N196" i="25"/>
  <c r="O196" i="25" s="1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N180" i="25"/>
  <c r="O180" i="25" s="1"/>
  <c r="K180" i="25"/>
  <c r="L180" i="25" s="1"/>
  <c r="H180" i="25"/>
  <c r="I180" i="25" s="1"/>
  <c r="F180" i="25"/>
  <c r="E180" i="25"/>
  <c r="N179" i="25"/>
  <c r="N199" i="25" s="1"/>
  <c r="K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O169" i="25"/>
  <c r="N169" i="25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O153" i="25"/>
  <c r="N153" i="25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O142" i="25"/>
  <c r="N142" i="25"/>
  <c r="K142" i="25"/>
  <c r="L142" i="25" s="1"/>
  <c r="H142" i="25"/>
  <c r="I142" i="25" s="1"/>
  <c r="F142" i="25"/>
  <c r="E142" i="25"/>
  <c r="N141" i="25"/>
  <c r="O141" i="25" s="1"/>
  <c r="L141" i="25"/>
  <c r="K141" i="25"/>
  <c r="H141" i="25"/>
  <c r="I141" i="25" s="1"/>
  <c r="F141" i="25"/>
  <c r="E141" i="25"/>
  <c r="N140" i="25"/>
  <c r="O140" i="25" s="1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N127" i="25"/>
  <c r="O127" i="25" s="1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N145" i="25" s="1"/>
  <c r="K125" i="25"/>
  <c r="H125" i="25"/>
  <c r="H145" i="25" s="1"/>
  <c r="F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O116" i="25"/>
  <c r="N116" i="25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O114" i="25"/>
  <c r="N114" i="25"/>
  <c r="K114" i="25"/>
  <c r="L114" i="25" s="1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N112" i="25"/>
  <c r="O112" i="25" s="1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K106" i="25"/>
  <c r="L106" i="25" s="1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N86" i="25"/>
  <c r="O86" i="25" s="1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O75" i="25"/>
  <c r="N75" i="25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O62" i="25"/>
  <c r="N62" i="25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N57" i="25"/>
  <c r="O57" i="25" s="1"/>
  <c r="K57" i="25"/>
  <c r="L57" i="25" s="1"/>
  <c r="H57" i="25"/>
  <c r="I57" i="25" s="1"/>
  <c r="F57" i="25"/>
  <c r="E57" i="25"/>
  <c r="N56" i="25"/>
  <c r="O56" i="25" s="1"/>
  <c r="K56" i="25"/>
  <c r="L56" i="25" s="1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N49" i="25"/>
  <c r="O49" i="25" s="1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O45" i="25"/>
  <c r="N45" i="25"/>
  <c r="K45" i="25"/>
  <c r="L45" i="25" s="1"/>
  <c r="H45" i="25"/>
  <c r="I45" i="25" s="1"/>
  <c r="F45" i="25"/>
  <c r="E45" i="25"/>
  <c r="O44" i="25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O194" i="24"/>
  <c r="N194" i="24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O191" i="24"/>
  <c r="N191" i="24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H144" i="24"/>
  <c r="I144" i="24" s="1"/>
  <c r="E144" i="24"/>
  <c r="F144" i="24" s="1"/>
  <c r="O143" i="24"/>
  <c r="N143" i="24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N141" i="24"/>
  <c r="O141" i="24" s="1"/>
  <c r="K141" i="24"/>
  <c r="L141" i="24" s="1"/>
  <c r="I141" i="24"/>
  <c r="H141" i="24"/>
  <c r="E141" i="24"/>
  <c r="F141" i="24" s="1"/>
  <c r="O140" i="24"/>
  <c r="N140" i="24"/>
  <c r="L140" i="24"/>
  <c r="K140" i="24"/>
  <c r="H140" i="24"/>
  <c r="I140" i="24" s="1"/>
  <c r="E140" i="24"/>
  <c r="F140" i="24" s="1"/>
  <c r="N139" i="24"/>
  <c r="O139" i="24" s="1"/>
  <c r="L139" i="24"/>
  <c r="K139" i="24"/>
  <c r="I139" i="24"/>
  <c r="H139" i="24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K137" i="24"/>
  <c r="L137" i="24" s="1"/>
  <c r="I137" i="24"/>
  <c r="H137" i="24"/>
  <c r="E137" i="24"/>
  <c r="F137" i="24" s="1"/>
  <c r="O136" i="24"/>
  <c r="N136" i="24"/>
  <c r="L136" i="24"/>
  <c r="K136" i="24"/>
  <c r="H136" i="24"/>
  <c r="I136" i="24" s="1"/>
  <c r="E136" i="24"/>
  <c r="F136" i="24" s="1"/>
  <c r="N135" i="24"/>
  <c r="O135" i="24" s="1"/>
  <c r="L135" i="24"/>
  <c r="K135" i="24"/>
  <c r="I135" i="24"/>
  <c r="H135" i="24"/>
  <c r="F135" i="24"/>
  <c r="E135" i="24"/>
  <c r="N134" i="24"/>
  <c r="O134" i="24" s="1"/>
  <c r="L134" i="24"/>
  <c r="K134" i="24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N132" i="24"/>
  <c r="O132" i="24" s="1"/>
  <c r="L132" i="24"/>
  <c r="K132" i="24"/>
  <c r="H132" i="24"/>
  <c r="I132" i="24" s="1"/>
  <c r="F132" i="24"/>
  <c r="E132" i="24"/>
  <c r="N131" i="24"/>
  <c r="O131" i="24" s="1"/>
  <c r="K131" i="24"/>
  <c r="L131" i="24" s="1"/>
  <c r="H131" i="24"/>
  <c r="I131" i="24" s="1"/>
  <c r="F131" i="24"/>
  <c r="E131" i="24"/>
  <c r="O130" i="24"/>
  <c r="N130" i="24"/>
  <c r="L130" i="24"/>
  <c r="K130" i="24"/>
  <c r="H130" i="24"/>
  <c r="I130" i="24" s="1"/>
  <c r="F130" i="24"/>
  <c r="E130" i="24"/>
  <c r="N129" i="24"/>
  <c r="O129" i="24" s="1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L126" i="24"/>
  <c r="K126" i="24"/>
  <c r="H126" i="24"/>
  <c r="I126" i="24" s="1"/>
  <c r="F126" i="24"/>
  <c r="E126" i="24"/>
  <c r="N125" i="24"/>
  <c r="K125" i="24"/>
  <c r="K145" i="24" s="1"/>
  <c r="H125" i="24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N115" i="24"/>
  <c r="O115" i="24" s="1"/>
  <c r="L115" i="24"/>
  <c r="K115" i="24"/>
  <c r="I115" i="24"/>
  <c r="H115" i="24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I111" i="24"/>
  <c r="H111" i="24"/>
  <c r="E111" i="24"/>
  <c r="F111" i="24" s="1"/>
  <c r="N110" i="24"/>
  <c r="O110" i="24" s="1"/>
  <c r="L110" i="24"/>
  <c r="K110" i="24"/>
  <c r="H110" i="24"/>
  <c r="I110" i="24" s="1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L108" i="24"/>
  <c r="K108" i="24"/>
  <c r="H108" i="24"/>
  <c r="I108" i="24" s="1"/>
  <c r="E108" i="24"/>
  <c r="F108" i="24" s="1"/>
  <c r="N107" i="24"/>
  <c r="O107" i="24" s="1"/>
  <c r="L107" i="24"/>
  <c r="K107" i="24"/>
  <c r="I107" i="24"/>
  <c r="H107" i="24"/>
  <c r="E107" i="24"/>
  <c r="F107" i="24" s="1"/>
  <c r="O106" i="24"/>
  <c r="N106" i="24"/>
  <c r="K106" i="24"/>
  <c r="L106" i="24" s="1"/>
  <c r="H106" i="24"/>
  <c r="I106" i="24" s="1"/>
  <c r="E106" i="24"/>
  <c r="F106" i="24" s="1"/>
  <c r="O105" i="24"/>
  <c r="N105" i="24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L99" i="24"/>
  <c r="K99" i="24"/>
  <c r="I99" i="24"/>
  <c r="H99" i="24"/>
  <c r="E99" i="24"/>
  <c r="F99" i="24" s="1"/>
  <c r="N98" i="24"/>
  <c r="K98" i="24"/>
  <c r="K118" i="24" s="1"/>
  <c r="H98" i="24"/>
  <c r="H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H63" i="24"/>
  <c r="I63" i="24" s="1"/>
  <c r="E63" i="24"/>
  <c r="F63" i="24" s="1"/>
  <c r="O62" i="24"/>
  <c r="N62" i="24"/>
  <c r="L62" i="24"/>
  <c r="K62" i="24"/>
  <c r="H62" i="24"/>
  <c r="I62" i="24" s="1"/>
  <c r="F62" i="24"/>
  <c r="E62" i="24"/>
  <c r="N61" i="24"/>
  <c r="O61" i="24" s="1"/>
  <c r="K61" i="24"/>
  <c r="L61" i="24" s="1"/>
  <c r="H61" i="24"/>
  <c r="I61" i="24" s="1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K59" i="24"/>
  <c r="L59" i="24" s="1"/>
  <c r="H59" i="24"/>
  <c r="I59" i="24" s="1"/>
  <c r="F59" i="24"/>
  <c r="E59" i="24"/>
  <c r="N58" i="24"/>
  <c r="O58" i="24" s="1"/>
  <c r="L58" i="24"/>
  <c r="K58" i="24"/>
  <c r="H58" i="24"/>
  <c r="I58" i="24" s="1"/>
  <c r="F58" i="24"/>
  <c r="E58" i="24"/>
  <c r="N57" i="24"/>
  <c r="O57" i="24" s="1"/>
  <c r="K57" i="24"/>
  <c r="L57" i="24" s="1"/>
  <c r="H57" i="24"/>
  <c r="I57" i="24" s="1"/>
  <c r="F57" i="24"/>
  <c r="E57" i="24"/>
  <c r="O56" i="24"/>
  <c r="N56" i="24"/>
  <c r="K56" i="24"/>
  <c r="L56" i="24" s="1"/>
  <c r="H56" i="24"/>
  <c r="I56" i="24" s="1"/>
  <c r="F56" i="24"/>
  <c r="E56" i="24"/>
  <c r="O55" i="24"/>
  <c r="N55" i="24"/>
  <c r="K55" i="24"/>
  <c r="L55" i="24" s="1"/>
  <c r="H55" i="24"/>
  <c r="I55" i="24" s="1"/>
  <c r="F55" i="24"/>
  <c r="E55" i="24"/>
  <c r="O54" i="24"/>
  <c r="N54" i="24"/>
  <c r="L54" i="24"/>
  <c r="K54" i="24"/>
  <c r="H54" i="24"/>
  <c r="I54" i="24" s="1"/>
  <c r="F54" i="24"/>
  <c r="E54" i="24"/>
  <c r="N53" i="24"/>
  <c r="O53" i="24" s="1"/>
  <c r="K53" i="24"/>
  <c r="L53" i="24" s="1"/>
  <c r="H53" i="24"/>
  <c r="I53" i="24" s="1"/>
  <c r="F53" i="24"/>
  <c r="E53" i="24"/>
  <c r="N52" i="24"/>
  <c r="O52" i="24" s="1"/>
  <c r="K52" i="24"/>
  <c r="L52" i="24" s="1"/>
  <c r="H52" i="24"/>
  <c r="I52" i="24" s="1"/>
  <c r="F52" i="24"/>
  <c r="E52" i="24"/>
  <c r="N51" i="24"/>
  <c r="O51" i="24" s="1"/>
  <c r="K51" i="24"/>
  <c r="L51" i="24" s="1"/>
  <c r="H51" i="24"/>
  <c r="I51" i="24" s="1"/>
  <c r="F51" i="24"/>
  <c r="E51" i="24"/>
  <c r="N50" i="24"/>
  <c r="O50" i="24" s="1"/>
  <c r="L50" i="24"/>
  <c r="K50" i="24"/>
  <c r="H50" i="24"/>
  <c r="I50" i="24" s="1"/>
  <c r="F50" i="24"/>
  <c r="E50" i="24"/>
  <c r="O49" i="24"/>
  <c r="N49" i="24"/>
  <c r="K49" i="24"/>
  <c r="L49" i="24" s="1"/>
  <c r="H49" i="24"/>
  <c r="I49" i="24" s="1"/>
  <c r="F49" i="24"/>
  <c r="E49" i="24"/>
  <c r="N48" i="24"/>
  <c r="O48" i="24" s="1"/>
  <c r="K48" i="24"/>
  <c r="L48" i="24" s="1"/>
  <c r="H48" i="24"/>
  <c r="I48" i="24" s="1"/>
  <c r="F48" i="24"/>
  <c r="E48" i="24"/>
  <c r="O47" i="24"/>
  <c r="N47" i="24"/>
  <c r="K47" i="24"/>
  <c r="L47" i="24" s="1"/>
  <c r="H47" i="24"/>
  <c r="I47" i="24" s="1"/>
  <c r="F47" i="24"/>
  <c r="E47" i="24"/>
  <c r="N46" i="24"/>
  <c r="O46" i="24" s="1"/>
  <c r="L46" i="24"/>
  <c r="K46" i="24"/>
  <c r="H46" i="24"/>
  <c r="I46" i="24" s="1"/>
  <c r="F46" i="24"/>
  <c r="E46" i="24"/>
  <c r="N45" i="24"/>
  <c r="O45" i="24" s="1"/>
  <c r="K45" i="24"/>
  <c r="L45" i="24" s="1"/>
  <c r="H45" i="24"/>
  <c r="I45" i="24" s="1"/>
  <c r="F45" i="24"/>
  <c r="E45" i="24"/>
  <c r="N44" i="24"/>
  <c r="N64" i="24" s="1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F125" i="49" l="1"/>
  <c r="F145" i="49" s="1"/>
  <c r="F98" i="49"/>
  <c r="F118" i="49" s="1"/>
  <c r="F71" i="49"/>
  <c r="F91" i="49" s="1"/>
  <c r="F44" i="49"/>
  <c r="F64" i="49" s="1"/>
  <c r="K37" i="49"/>
  <c r="N199" i="48"/>
  <c r="O179" i="48"/>
  <c r="O199" i="48" s="1"/>
  <c r="N172" i="48"/>
  <c r="O152" i="48"/>
  <c r="O172" i="48" s="1"/>
  <c r="N145" i="48"/>
  <c r="O125" i="48"/>
  <c r="O145" i="48" s="1"/>
  <c r="O98" i="48"/>
  <c r="O118" i="48" s="1"/>
  <c r="O91" i="48"/>
  <c r="N91" i="48"/>
  <c r="N64" i="48"/>
  <c r="G5" i="48" s="1"/>
  <c r="O64" i="48"/>
  <c r="O37" i="49"/>
  <c r="E37" i="49"/>
  <c r="I37" i="49"/>
  <c r="H37" i="49"/>
  <c r="L37" i="49"/>
  <c r="F37" i="49"/>
  <c r="N37" i="49"/>
  <c r="G9" i="49"/>
  <c r="G5" i="49"/>
  <c r="G7" i="49"/>
  <c r="G3" i="49"/>
  <c r="K199" i="48"/>
  <c r="L179" i="48"/>
  <c r="L199" i="48" s="1"/>
  <c r="K172" i="48"/>
  <c r="L152" i="48"/>
  <c r="L172" i="48" s="1"/>
  <c r="K145" i="48"/>
  <c r="L125" i="48"/>
  <c r="L145" i="48" s="1"/>
  <c r="L118" i="48"/>
  <c r="K118" i="48"/>
  <c r="K91" i="48"/>
  <c r="L71" i="48"/>
  <c r="L91" i="48" s="1"/>
  <c r="L64" i="48"/>
  <c r="K64" i="48"/>
  <c r="I179" i="48"/>
  <c r="I199" i="48" s="1"/>
  <c r="I152" i="48"/>
  <c r="I172" i="48" s="1"/>
  <c r="I145" i="48"/>
  <c r="I118" i="48"/>
  <c r="H118" i="48"/>
  <c r="H91" i="48"/>
  <c r="I71" i="48"/>
  <c r="I91" i="48" s="1"/>
  <c r="I44" i="48"/>
  <c r="I64" i="48" s="1"/>
  <c r="F98" i="48"/>
  <c r="F118" i="48" s="1"/>
  <c r="F91" i="48"/>
  <c r="F44" i="48"/>
  <c r="F64" i="48" s="1"/>
  <c r="N199" i="47"/>
  <c r="O179" i="47"/>
  <c r="O199" i="47" s="1"/>
  <c r="O152" i="47"/>
  <c r="O172" i="47" s="1"/>
  <c r="O125" i="47"/>
  <c r="O145" i="47" s="1"/>
  <c r="O98" i="47"/>
  <c r="O118" i="47" s="1"/>
  <c r="O91" i="47"/>
  <c r="N91" i="47"/>
  <c r="N64" i="47"/>
  <c r="O64" i="47"/>
  <c r="E37" i="48"/>
  <c r="F37" i="48"/>
  <c r="N37" i="48"/>
  <c r="L37" i="48"/>
  <c r="K37" i="48"/>
  <c r="O37" i="48"/>
  <c r="H37" i="48"/>
  <c r="I37" i="48"/>
  <c r="G7" i="48"/>
  <c r="G9" i="48"/>
  <c r="G3" i="48"/>
  <c r="K199" i="47"/>
  <c r="L179" i="47"/>
  <c r="L199" i="47" s="1"/>
  <c r="K172" i="47"/>
  <c r="L152" i="47"/>
  <c r="L172" i="47" s="1"/>
  <c r="L145" i="47"/>
  <c r="K118" i="47"/>
  <c r="L98" i="47"/>
  <c r="L118" i="47" s="1"/>
  <c r="K91" i="47"/>
  <c r="L91" i="47"/>
  <c r="L44" i="47"/>
  <c r="L64" i="47" s="1"/>
  <c r="I179" i="47"/>
  <c r="I199" i="47" s="1"/>
  <c r="H172" i="47"/>
  <c r="I152" i="47"/>
  <c r="I172" i="47" s="1"/>
  <c r="I145" i="47"/>
  <c r="H145" i="47"/>
  <c r="I118" i="47"/>
  <c r="H118" i="47"/>
  <c r="I91" i="47"/>
  <c r="H91" i="47"/>
  <c r="I64" i="47"/>
  <c r="H64" i="47"/>
  <c r="F125" i="47"/>
  <c r="F145" i="47" s="1"/>
  <c r="F98" i="47"/>
  <c r="F118" i="47" s="1"/>
  <c r="F71" i="47"/>
  <c r="F91" i="47" s="1"/>
  <c r="F44" i="47"/>
  <c r="F64" i="47" s="1"/>
  <c r="K37" i="47"/>
  <c r="O37" i="47"/>
  <c r="O179" i="46"/>
  <c r="O199" i="46" s="1"/>
  <c r="O172" i="46"/>
  <c r="N172" i="46"/>
  <c r="N145" i="46"/>
  <c r="O125" i="46"/>
  <c r="O145" i="46" s="1"/>
  <c r="O118" i="46"/>
  <c r="N118" i="46"/>
  <c r="N91" i="46"/>
  <c r="O71" i="46"/>
  <c r="O91" i="46" s="1"/>
  <c r="N64" i="46"/>
  <c r="O44" i="46"/>
  <c r="O64" i="46" s="1"/>
  <c r="F37" i="47"/>
  <c r="N37" i="47"/>
  <c r="H37" i="47"/>
  <c r="L37" i="47"/>
  <c r="E37" i="47"/>
  <c r="I37" i="47"/>
  <c r="G5" i="47"/>
  <c r="G7" i="47"/>
  <c r="G3" i="47"/>
  <c r="G9" i="47"/>
  <c r="K199" i="46"/>
  <c r="L179" i="46"/>
  <c r="L199" i="46" s="1"/>
  <c r="K172" i="46"/>
  <c r="L152" i="46"/>
  <c r="L172" i="46" s="1"/>
  <c r="L125" i="46"/>
  <c r="L145" i="46" s="1"/>
  <c r="L118" i="46"/>
  <c r="K118" i="46"/>
  <c r="L91" i="46"/>
  <c r="K91" i="46"/>
  <c r="K64" i="46"/>
  <c r="L64" i="46"/>
  <c r="G5" i="46" s="1"/>
  <c r="I179" i="46"/>
  <c r="I199" i="46" s="1"/>
  <c r="I152" i="46"/>
  <c r="I172" i="46" s="1"/>
  <c r="I145" i="46"/>
  <c r="H118" i="46"/>
  <c r="I98" i="46"/>
  <c r="I118" i="46" s="1"/>
  <c r="I71" i="46"/>
  <c r="I91" i="46" s="1"/>
  <c r="H64" i="46"/>
  <c r="I44" i="46"/>
  <c r="I64" i="46" s="1"/>
  <c r="F145" i="46"/>
  <c r="F98" i="46"/>
  <c r="F118" i="46" s="1"/>
  <c r="F71" i="46"/>
  <c r="F91" i="46" s="1"/>
  <c r="F44" i="46"/>
  <c r="F64" i="46" s="1"/>
  <c r="N199" i="45"/>
  <c r="O179" i="45"/>
  <c r="O199" i="45" s="1"/>
  <c r="O152" i="45"/>
  <c r="O172" i="45" s="1"/>
  <c r="O125" i="45"/>
  <c r="O145" i="45" s="1"/>
  <c r="N118" i="45"/>
  <c r="O98" i="45"/>
  <c r="O118" i="45" s="1"/>
  <c r="N91" i="45"/>
  <c r="O71" i="45"/>
  <c r="O91" i="45" s="1"/>
  <c r="O44" i="45"/>
  <c r="O64" i="45" s="1"/>
  <c r="E37" i="46"/>
  <c r="I37" i="46"/>
  <c r="H37" i="46"/>
  <c r="L37" i="46"/>
  <c r="F37" i="46"/>
  <c r="N37" i="46"/>
  <c r="K37" i="46"/>
  <c r="O37" i="46"/>
  <c r="G7" i="46"/>
  <c r="G3" i="46"/>
  <c r="G9" i="46"/>
  <c r="K199" i="45"/>
  <c r="L179" i="45"/>
  <c r="L199" i="45" s="1"/>
  <c r="K172" i="45"/>
  <c r="L152" i="45"/>
  <c r="L172" i="45" s="1"/>
  <c r="K118" i="45"/>
  <c r="L98" i="45"/>
  <c r="L118" i="45" s="1"/>
  <c r="K91" i="45"/>
  <c r="L71" i="45"/>
  <c r="L91" i="45" s="1"/>
  <c r="K64" i="45"/>
  <c r="L44" i="45"/>
  <c r="L64" i="45" s="1"/>
  <c r="I179" i="45"/>
  <c r="I199" i="45" s="1"/>
  <c r="I152" i="45"/>
  <c r="I172" i="45" s="1"/>
  <c r="I98" i="45"/>
  <c r="I118" i="45" s="1"/>
  <c r="I71" i="45"/>
  <c r="I91" i="45" s="1"/>
  <c r="I44" i="45"/>
  <c r="I64" i="45" s="1"/>
  <c r="O199" i="44"/>
  <c r="N199" i="44"/>
  <c r="O152" i="44"/>
  <c r="O172" i="44" s="1"/>
  <c r="N145" i="44"/>
  <c r="O125" i="44"/>
  <c r="O145" i="44" s="1"/>
  <c r="N118" i="44"/>
  <c r="O118" i="44"/>
  <c r="O73" i="44"/>
  <c r="O91" i="44" s="1"/>
  <c r="G7" i="44" s="1"/>
  <c r="N64" i="44"/>
  <c r="O44" i="44"/>
  <c r="O64" i="44" s="1"/>
  <c r="H37" i="45"/>
  <c r="L37" i="45"/>
  <c r="E37" i="45"/>
  <c r="I37" i="45"/>
  <c r="F37" i="45"/>
  <c r="N37" i="45"/>
  <c r="K37" i="45"/>
  <c r="O37" i="45"/>
  <c r="G5" i="45"/>
  <c r="G7" i="45"/>
  <c r="G3" i="45"/>
  <c r="G9" i="45"/>
  <c r="K199" i="44"/>
  <c r="L179" i="44"/>
  <c r="L199" i="44" s="1"/>
  <c r="K145" i="44"/>
  <c r="L145" i="44"/>
  <c r="L98" i="44"/>
  <c r="L118" i="44" s="1"/>
  <c r="K91" i="44"/>
  <c r="L71" i="44"/>
  <c r="L91" i="44" s="1"/>
  <c r="K64" i="44"/>
  <c r="L44" i="44"/>
  <c r="L64" i="44" s="1"/>
  <c r="I179" i="44"/>
  <c r="I125" i="44"/>
  <c r="I145" i="44" s="1"/>
  <c r="I118" i="44"/>
  <c r="H118" i="44"/>
  <c r="H91" i="44"/>
  <c r="I91" i="44"/>
  <c r="H64" i="44"/>
  <c r="I64" i="44"/>
  <c r="F98" i="44"/>
  <c r="F118" i="44" s="1"/>
  <c r="F71" i="44"/>
  <c r="F91" i="44" s="1"/>
  <c r="F44" i="44"/>
  <c r="F64" i="44" s="1"/>
  <c r="O199" i="43"/>
  <c r="N199" i="43"/>
  <c r="N172" i="43"/>
  <c r="O152" i="43"/>
  <c r="O172" i="43" s="1"/>
  <c r="O125" i="43"/>
  <c r="O145" i="43" s="1"/>
  <c r="O118" i="43"/>
  <c r="N118" i="43"/>
  <c r="N91" i="43"/>
  <c r="O91" i="43"/>
  <c r="O44" i="43"/>
  <c r="O64" i="43" s="1"/>
  <c r="K37" i="44"/>
  <c r="O37" i="44"/>
  <c r="I199" i="44"/>
  <c r="G9" i="44" s="1"/>
  <c r="H37" i="44"/>
  <c r="L37" i="44"/>
  <c r="E37" i="44"/>
  <c r="I37" i="44"/>
  <c r="F37" i="44"/>
  <c r="N37" i="44"/>
  <c r="G5" i="44"/>
  <c r="G3" i="44"/>
  <c r="K199" i="43"/>
  <c r="L179" i="43"/>
  <c r="L199" i="43" s="1"/>
  <c r="K172" i="43"/>
  <c r="L152" i="43"/>
  <c r="L172" i="43" s="1"/>
  <c r="L125" i="43"/>
  <c r="L145" i="43" s="1"/>
  <c r="L98" i="43"/>
  <c r="L118" i="43" s="1"/>
  <c r="K91" i="43"/>
  <c r="L71" i="43"/>
  <c r="L91" i="43" s="1"/>
  <c r="L64" i="43"/>
  <c r="K64" i="43"/>
  <c r="I179" i="43"/>
  <c r="I199" i="43" s="1"/>
  <c r="I152" i="43"/>
  <c r="I172" i="43" s="1"/>
  <c r="H145" i="43"/>
  <c r="I98" i="43"/>
  <c r="I118" i="43" s="1"/>
  <c r="H91" i="43"/>
  <c r="I71" i="43"/>
  <c r="I91" i="43" s="1"/>
  <c r="I64" i="43"/>
  <c r="H64" i="43"/>
  <c r="F199" i="43"/>
  <c r="F125" i="43"/>
  <c r="F145" i="43" s="1"/>
  <c r="F91" i="43"/>
  <c r="F44" i="43"/>
  <c r="F64" i="43" s="1"/>
  <c r="G5" i="43" s="1"/>
  <c r="O199" i="42"/>
  <c r="N199" i="42"/>
  <c r="O172" i="42"/>
  <c r="N172" i="42"/>
  <c r="O145" i="42"/>
  <c r="N145" i="42"/>
  <c r="O98" i="42"/>
  <c r="O118" i="42" s="1"/>
  <c r="N91" i="42"/>
  <c r="O71" i="42"/>
  <c r="O91" i="42" s="1"/>
  <c r="N64" i="42"/>
  <c r="O44" i="42"/>
  <c r="O64" i="42" s="1"/>
  <c r="I145" i="43"/>
  <c r="G9" i="43"/>
  <c r="E37" i="43"/>
  <c r="I37" i="43"/>
  <c r="F37" i="43"/>
  <c r="N37" i="43"/>
  <c r="K37" i="43"/>
  <c r="O37" i="43"/>
  <c r="H37" i="43"/>
  <c r="L37" i="43"/>
  <c r="G7" i="43"/>
  <c r="G3" i="43"/>
  <c r="K199" i="42"/>
  <c r="L179" i="42"/>
  <c r="L199" i="42" s="1"/>
  <c r="L152" i="42"/>
  <c r="L172" i="42" s="1"/>
  <c r="K145" i="42"/>
  <c r="L125" i="42"/>
  <c r="L145" i="42" s="1"/>
  <c r="K118" i="42"/>
  <c r="L98" i="42"/>
  <c r="L118" i="42" s="1"/>
  <c r="K91" i="42"/>
  <c r="L71" i="42"/>
  <c r="L91" i="42" s="1"/>
  <c r="L64" i="42"/>
  <c r="K64" i="42"/>
  <c r="H199" i="42"/>
  <c r="I179" i="42"/>
  <c r="I199" i="42" s="1"/>
  <c r="H172" i="42"/>
  <c r="I152" i="42"/>
  <c r="I172" i="42" s="1"/>
  <c r="H145" i="42"/>
  <c r="I125" i="42"/>
  <c r="I145" i="42" s="1"/>
  <c r="H118" i="42"/>
  <c r="I98" i="42"/>
  <c r="I118" i="42" s="1"/>
  <c r="G3" i="42" s="1"/>
  <c r="H91" i="42"/>
  <c r="I91" i="42"/>
  <c r="H64" i="42"/>
  <c r="I44" i="42"/>
  <c r="I64" i="42" s="1"/>
  <c r="G5" i="42" s="1"/>
  <c r="F179" i="42"/>
  <c r="F199" i="42" s="1"/>
  <c r="F152" i="42"/>
  <c r="F172" i="42" s="1"/>
  <c r="F125" i="42"/>
  <c r="F145" i="42" s="1"/>
  <c r="F118" i="42"/>
  <c r="F71" i="42"/>
  <c r="F91" i="42" s="1"/>
  <c r="F44" i="42"/>
  <c r="F64" i="42" s="1"/>
  <c r="O179" i="41"/>
  <c r="O199" i="41" s="1"/>
  <c r="O152" i="41"/>
  <c r="O172" i="41" s="1"/>
  <c r="O125" i="41"/>
  <c r="O145" i="41" s="1"/>
  <c r="O118" i="41"/>
  <c r="N118" i="41"/>
  <c r="N91" i="41"/>
  <c r="O91" i="41"/>
  <c r="O64" i="41"/>
  <c r="N64" i="41"/>
  <c r="G9" i="42"/>
  <c r="K37" i="42"/>
  <c r="O37" i="42"/>
  <c r="F37" i="42"/>
  <c r="N37" i="42"/>
  <c r="E37" i="42"/>
  <c r="I37" i="42"/>
  <c r="H37" i="42"/>
  <c r="L37" i="42"/>
  <c r="G7" i="42"/>
  <c r="K199" i="41"/>
  <c r="L179" i="41"/>
  <c r="L199" i="41" s="1"/>
  <c r="K172" i="41"/>
  <c r="L152" i="41"/>
  <c r="L172" i="41" s="1"/>
  <c r="K145" i="41"/>
  <c r="L145" i="41"/>
  <c r="L118" i="41"/>
  <c r="K118" i="41"/>
  <c r="L91" i="41"/>
  <c r="K91" i="41"/>
  <c r="K64" i="41"/>
  <c r="L44" i="41"/>
  <c r="L64" i="41" s="1"/>
  <c r="I179" i="41"/>
  <c r="I199" i="41" s="1"/>
  <c r="I152" i="41"/>
  <c r="I172" i="41" s="1"/>
  <c r="I125" i="41"/>
  <c r="I145" i="41" s="1"/>
  <c r="H118" i="41"/>
  <c r="I98" i="41"/>
  <c r="I118" i="41" s="1"/>
  <c r="H91" i="41"/>
  <c r="I71" i="41"/>
  <c r="I91" i="41" s="1"/>
  <c r="H64" i="41"/>
  <c r="I44" i="41"/>
  <c r="I64" i="41" s="1"/>
  <c r="F118" i="41"/>
  <c r="F71" i="41"/>
  <c r="F91" i="41" s="1"/>
  <c r="F44" i="41"/>
  <c r="F64" i="41" s="1"/>
  <c r="N199" i="40"/>
  <c r="O179" i="40"/>
  <c r="O199" i="40" s="1"/>
  <c r="N172" i="40"/>
  <c r="O152" i="40"/>
  <c r="O172" i="40" s="1"/>
  <c r="N145" i="40"/>
  <c r="O145" i="40"/>
  <c r="N118" i="40"/>
  <c r="O98" i="40"/>
  <c r="O118" i="40" s="1"/>
  <c r="O71" i="40"/>
  <c r="O91" i="40" s="1"/>
  <c r="O64" i="40"/>
  <c r="N64" i="40"/>
  <c r="H37" i="41"/>
  <c r="L37" i="41"/>
  <c r="E37" i="41"/>
  <c r="I37" i="41"/>
  <c r="F37" i="41"/>
  <c r="N37" i="41"/>
  <c r="K37" i="41"/>
  <c r="O37" i="41"/>
  <c r="G5" i="41"/>
  <c r="G7" i="41"/>
  <c r="G3" i="41"/>
  <c r="G9" i="41"/>
  <c r="K199" i="40"/>
  <c r="L179" i="40"/>
  <c r="L199" i="40" s="1"/>
  <c r="K172" i="40"/>
  <c r="L152" i="40"/>
  <c r="L172" i="40" s="1"/>
  <c r="K145" i="40"/>
  <c r="L125" i="40"/>
  <c r="L145" i="40" s="1"/>
  <c r="K118" i="40"/>
  <c r="L98" i="40"/>
  <c r="L118" i="40" s="1"/>
  <c r="L71" i="40"/>
  <c r="L91" i="40" s="1"/>
  <c r="L64" i="40"/>
  <c r="K64" i="40"/>
  <c r="I179" i="40"/>
  <c r="I199" i="40" s="1"/>
  <c r="I152" i="40"/>
  <c r="I172" i="40" s="1"/>
  <c r="I125" i="40"/>
  <c r="I145" i="40" s="1"/>
  <c r="I98" i="40"/>
  <c r="I118" i="40" s="1"/>
  <c r="I71" i="40"/>
  <c r="I91" i="40" s="1"/>
  <c r="I44" i="40"/>
  <c r="I64" i="40" s="1"/>
  <c r="F71" i="40"/>
  <c r="F91" i="40" s="1"/>
  <c r="F44" i="40"/>
  <c r="F64" i="40" s="1"/>
  <c r="O199" i="39"/>
  <c r="N172" i="39"/>
  <c r="O172" i="39"/>
  <c r="N145" i="39"/>
  <c r="O125" i="39"/>
  <c r="O145" i="39" s="1"/>
  <c r="N118" i="39"/>
  <c r="O98" i="39"/>
  <c r="O118" i="39" s="1"/>
  <c r="O71" i="39"/>
  <c r="O91" i="39" s="1"/>
  <c r="N64" i="39"/>
  <c r="O64" i="39"/>
  <c r="K37" i="40"/>
  <c r="O37" i="40"/>
  <c r="H37" i="40"/>
  <c r="L37" i="40"/>
  <c r="N37" i="40"/>
  <c r="F37" i="40"/>
  <c r="E37" i="40"/>
  <c r="I37" i="40"/>
  <c r="G9" i="40"/>
  <c r="G5" i="40"/>
  <c r="G7" i="40"/>
  <c r="G3" i="40"/>
  <c r="L179" i="39"/>
  <c r="L199" i="39" s="1"/>
  <c r="L172" i="39"/>
  <c r="K172" i="39"/>
  <c r="L145" i="39"/>
  <c r="L98" i="39"/>
  <c r="L118" i="39" s="1"/>
  <c r="L71" i="39"/>
  <c r="L91" i="39" s="1"/>
  <c r="L44" i="39"/>
  <c r="L64" i="39" s="1"/>
  <c r="I199" i="39"/>
  <c r="I152" i="39"/>
  <c r="I172" i="39" s="1"/>
  <c r="H145" i="39"/>
  <c r="I125" i="39"/>
  <c r="I145" i="39" s="1"/>
  <c r="H118" i="39"/>
  <c r="I98" i="39"/>
  <c r="I118" i="39" s="1"/>
  <c r="H91" i="39"/>
  <c r="I71" i="39"/>
  <c r="I91" i="39" s="1"/>
  <c r="H64" i="39"/>
  <c r="I64" i="39"/>
  <c r="F125" i="39"/>
  <c r="F145" i="39" s="1"/>
  <c r="F98" i="39"/>
  <c r="F118" i="39" s="1"/>
  <c r="F71" i="39"/>
  <c r="F91" i="39" s="1"/>
  <c r="F44" i="39"/>
  <c r="F64" i="39" s="1"/>
  <c r="O179" i="38"/>
  <c r="O199" i="38" s="1"/>
  <c r="N172" i="38"/>
  <c r="O172" i="38"/>
  <c r="N145" i="38"/>
  <c r="O125" i="38"/>
  <c r="O145" i="38" s="1"/>
  <c r="N118" i="38"/>
  <c r="O98" i="38"/>
  <c r="O118" i="38" s="1"/>
  <c r="O71" i="38"/>
  <c r="O91" i="38" s="1"/>
  <c r="O64" i="38"/>
  <c r="N64" i="38"/>
  <c r="L199" i="38"/>
  <c r="K199" i="38"/>
  <c r="K172" i="38"/>
  <c r="L152" i="38"/>
  <c r="L172" i="38" s="1"/>
  <c r="L145" i="38"/>
  <c r="K145" i="38"/>
  <c r="K118" i="38"/>
  <c r="L98" i="38"/>
  <c r="L118" i="38" s="1"/>
  <c r="L71" i="38"/>
  <c r="L91" i="38" s="1"/>
  <c r="K64" i="38"/>
  <c r="L44" i="38"/>
  <c r="L64" i="38" s="1"/>
  <c r="I199" i="38"/>
  <c r="I152" i="38"/>
  <c r="I172" i="38" s="1"/>
  <c r="I125" i="38"/>
  <c r="I145" i="38" s="1"/>
  <c r="I98" i="38"/>
  <c r="I118" i="38" s="1"/>
  <c r="I91" i="38"/>
  <c r="H91" i="38"/>
  <c r="I64" i="38"/>
  <c r="H64" i="38"/>
  <c r="F179" i="38"/>
  <c r="F199" i="38" s="1"/>
  <c r="F152" i="38"/>
  <c r="F172" i="38" s="1"/>
  <c r="F98" i="38"/>
  <c r="F118" i="38" s="1"/>
  <c r="F71" i="38"/>
  <c r="F91" i="38" s="1"/>
  <c r="F44" i="38"/>
  <c r="F64" i="38" s="1"/>
  <c r="N199" i="39"/>
  <c r="F37" i="39"/>
  <c r="N37" i="39"/>
  <c r="K37" i="39"/>
  <c r="O37" i="39"/>
  <c r="L37" i="39"/>
  <c r="H37" i="39"/>
  <c r="E37" i="39"/>
  <c r="I37" i="39"/>
  <c r="G9" i="39"/>
  <c r="G5" i="39"/>
  <c r="G7" i="39"/>
  <c r="G3" i="39"/>
  <c r="N199" i="37"/>
  <c r="O179" i="37"/>
  <c r="O199" i="37" s="1"/>
  <c r="O152" i="37"/>
  <c r="O172" i="37" s="1"/>
  <c r="O145" i="37"/>
  <c r="N145" i="37"/>
  <c r="N118" i="37"/>
  <c r="O98" i="37"/>
  <c r="O118" i="37" s="1"/>
  <c r="N91" i="37"/>
  <c r="O71" i="37"/>
  <c r="O91" i="37" s="1"/>
  <c r="O64" i="37"/>
  <c r="N64" i="37"/>
  <c r="H199" i="38"/>
  <c r="O37" i="38"/>
  <c r="K37" i="38"/>
  <c r="H37" i="38"/>
  <c r="L37" i="38"/>
  <c r="E37" i="38"/>
  <c r="I37" i="38"/>
  <c r="F37" i="38"/>
  <c r="N37" i="38"/>
  <c r="G5" i="38"/>
  <c r="G7" i="38"/>
  <c r="G3" i="38"/>
  <c r="G9" i="38"/>
  <c r="K199" i="37"/>
  <c r="L199" i="37"/>
  <c r="K172" i="37"/>
  <c r="L152" i="37"/>
  <c r="L172" i="37" s="1"/>
  <c r="K145" i="37"/>
  <c r="L125" i="37"/>
  <c r="L145" i="37" s="1"/>
  <c r="K118" i="37"/>
  <c r="L98" i="37"/>
  <c r="L118" i="37" s="1"/>
  <c r="L71" i="37"/>
  <c r="L91" i="37" s="1"/>
  <c r="L44" i="37"/>
  <c r="L64" i="37" s="1"/>
  <c r="I179" i="37"/>
  <c r="I199" i="37" s="1"/>
  <c r="I152" i="37"/>
  <c r="I172" i="37" s="1"/>
  <c r="I125" i="37"/>
  <c r="I145" i="37" s="1"/>
  <c r="I98" i="37"/>
  <c r="I118" i="37" s="1"/>
  <c r="H91" i="37"/>
  <c r="F91" i="37"/>
  <c r="O199" i="36"/>
  <c r="G9" i="36" s="1"/>
  <c r="N199" i="36"/>
  <c r="O152" i="36"/>
  <c r="O172" i="36" s="1"/>
  <c r="N145" i="36"/>
  <c r="O125" i="36"/>
  <c r="O145" i="36" s="1"/>
  <c r="N118" i="36"/>
  <c r="O98" i="36"/>
  <c r="O118" i="36" s="1"/>
  <c r="N91" i="36"/>
  <c r="O64" i="36"/>
  <c r="N64" i="36"/>
  <c r="K37" i="37"/>
  <c r="O37" i="37"/>
  <c r="F37" i="37"/>
  <c r="N37" i="37"/>
  <c r="H37" i="37"/>
  <c r="L37" i="37"/>
  <c r="E37" i="37"/>
  <c r="I37" i="37"/>
  <c r="G5" i="37"/>
  <c r="G7" i="37"/>
  <c r="G3" i="37"/>
  <c r="G9" i="37"/>
  <c r="K199" i="36"/>
  <c r="L179" i="36"/>
  <c r="L199" i="36" s="1"/>
  <c r="K145" i="36"/>
  <c r="L125" i="36"/>
  <c r="L145" i="36" s="1"/>
  <c r="L98" i="36"/>
  <c r="L118" i="36" s="1"/>
  <c r="G3" i="36" s="1"/>
  <c r="K91" i="36"/>
  <c r="L71" i="36"/>
  <c r="L91" i="36" s="1"/>
  <c r="K64" i="36"/>
  <c r="L44" i="36"/>
  <c r="L64" i="36" s="1"/>
  <c r="I179" i="36"/>
  <c r="I199" i="36" s="1"/>
  <c r="I125" i="36"/>
  <c r="I145" i="36" s="1"/>
  <c r="H118" i="36"/>
  <c r="I98" i="36"/>
  <c r="I118" i="36" s="1"/>
  <c r="I91" i="36"/>
  <c r="H91" i="36"/>
  <c r="I64" i="36"/>
  <c r="H64" i="36"/>
  <c r="F118" i="36"/>
  <c r="F71" i="36"/>
  <c r="F91" i="36" s="1"/>
  <c r="F44" i="36"/>
  <c r="F64" i="36" s="1"/>
  <c r="O199" i="35"/>
  <c r="N199" i="35"/>
  <c r="O152" i="35"/>
  <c r="O172" i="35" s="1"/>
  <c r="N145" i="35"/>
  <c r="O125" i="35"/>
  <c r="O145" i="35" s="1"/>
  <c r="N118" i="35"/>
  <c r="O98" i="35"/>
  <c r="O118" i="35" s="1"/>
  <c r="O91" i="35"/>
  <c r="N91" i="35"/>
  <c r="N64" i="35"/>
  <c r="O44" i="35"/>
  <c r="O64" i="35" s="1"/>
  <c r="K37" i="36"/>
  <c r="O37" i="36"/>
  <c r="H37" i="36"/>
  <c r="L37" i="36"/>
  <c r="E37" i="36"/>
  <c r="I37" i="36"/>
  <c r="F37" i="36"/>
  <c r="N37" i="36"/>
  <c r="G5" i="36"/>
  <c r="G7" i="36"/>
  <c r="K199" i="35"/>
  <c r="L179" i="35"/>
  <c r="L199" i="35" s="1"/>
  <c r="K145" i="35"/>
  <c r="L125" i="35"/>
  <c r="L145" i="35" s="1"/>
  <c r="L98" i="35"/>
  <c r="L118" i="35" s="1"/>
  <c r="L91" i="35"/>
  <c r="K91" i="35"/>
  <c r="L44" i="35"/>
  <c r="L64" i="35" s="1"/>
  <c r="I179" i="35"/>
  <c r="I199" i="35" s="1"/>
  <c r="I125" i="35"/>
  <c r="I145" i="35" s="1"/>
  <c r="I118" i="35"/>
  <c r="H118" i="35"/>
  <c r="I91" i="35"/>
  <c r="H91" i="35"/>
  <c r="H64" i="35"/>
  <c r="I44" i="35"/>
  <c r="I64" i="35" s="1"/>
  <c r="F98" i="35"/>
  <c r="F118" i="35" s="1"/>
  <c r="F71" i="35"/>
  <c r="F91" i="35" s="1"/>
  <c r="F64" i="35"/>
  <c r="N199" i="34"/>
  <c r="O179" i="34"/>
  <c r="O199" i="34" s="1"/>
  <c r="N172" i="34"/>
  <c r="O152" i="34"/>
  <c r="N145" i="34"/>
  <c r="O125" i="34"/>
  <c r="O145" i="34" s="1"/>
  <c r="O98" i="34"/>
  <c r="O118" i="34" s="1"/>
  <c r="O91" i="34"/>
  <c r="N91" i="34"/>
  <c r="O44" i="34"/>
  <c r="O64" i="34" s="1"/>
  <c r="K37" i="35"/>
  <c r="O37" i="35"/>
  <c r="N37" i="35"/>
  <c r="E37" i="35"/>
  <c r="I37" i="35"/>
  <c r="H37" i="35"/>
  <c r="L37" i="35"/>
  <c r="F37" i="35"/>
  <c r="G5" i="35"/>
  <c r="G7" i="35"/>
  <c r="G3" i="35"/>
  <c r="G9" i="35"/>
  <c r="K199" i="34"/>
  <c r="L179" i="34"/>
  <c r="L199" i="34" s="1"/>
  <c r="K172" i="34"/>
  <c r="L152" i="34"/>
  <c r="L172" i="34" s="1"/>
  <c r="K145" i="34"/>
  <c r="L145" i="34"/>
  <c r="K118" i="34"/>
  <c r="L118" i="34"/>
  <c r="L71" i="34"/>
  <c r="L91" i="34" s="1"/>
  <c r="L64" i="34"/>
  <c r="I179" i="34"/>
  <c r="I199" i="34" s="1"/>
  <c r="I152" i="34"/>
  <c r="I125" i="34"/>
  <c r="I145" i="34" s="1"/>
  <c r="I98" i="34"/>
  <c r="I118" i="34" s="1"/>
  <c r="H91" i="34"/>
  <c r="I91" i="34"/>
  <c r="I64" i="34"/>
  <c r="F71" i="34"/>
  <c r="F91" i="34" s="1"/>
  <c r="F64" i="34"/>
  <c r="N199" i="33"/>
  <c r="O179" i="33"/>
  <c r="O199" i="33" s="1"/>
  <c r="O172" i="33"/>
  <c r="N145" i="33"/>
  <c r="O145" i="33"/>
  <c r="O98" i="33"/>
  <c r="O118" i="33" s="1"/>
  <c r="O71" i="33"/>
  <c r="O91" i="33" s="1"/>
  <c r="O44" i="33"/>
  <c r="O64" i="33" s="1"/>
  <c r="I172" i="34"/>
  <c r="O172" i="34"/>
  <c r="N37" i="34"/>
  <c r="O37" i="34"/>
  <c r="G9" i="34"/>
  <c r="K37" i="34"/>
  <c r="F37" i="34"/>
  <c r="E37" i="34"/>
  <c r="I37" i="34"/>
  <c r="H37" i="34"/>
  <c r="L37" i="34"/>
  <c r="G5" i="34"/>
  <c r="G7" i="34"/>
  <c r="G3" i="34"/>
  <c r="K199" i="33"/>
  <c r="L199" i="33"/>
  <c r="L145" i="33"/>
  <c r="K145" i="33"/>
  <c r="K118" i="33"/>
  <c r="L98" i="33"/>
  <c r="L118" i="33" s="1"/>
  <c r="K91" i="33"/>
  <c r="L71" i="33"/>
  <c r="L91" i="33" s="1"/>
  <c r="K64" i="33"/>
  <c r="L44" i="33"/>
  <c r="L64" i="33" s="1"/>
  <c r="I179" i="33"/>
  <c r="I199" i="33" s="1"/>
  <c r="I145" i="33"/>
  <c r="H145" i="33"/>
  <c r="H118" i="33"/>
  <c r="I118" i="33"/>
  <c r="H91" i="33"/>
  <c r="I71" i="33"/>
  <c r="I91" i="33" s="1"/>
  <c r="I64" i="33"/>
  <c r="F125" i="33"/>
  <c r="F145" i="33" s="1"/>
  <c r="F118" i="33"/>
  <c r="F91" i="33"/>
  <c r="F44" i="33"/>
  <c r="F64" i="33" s="1"/>
  <c r="G5" i="33" s="1"/>
  <c r="O180" i="32"/>
  <c r="O199" i="32" s="1"/>
  <c r="G9" i="32" s="1"/>
  <c r="O152" i="32"/>
  <c r="O172" i="32" s="1"/>
  <c r="O125" i="32"/>
  <c r="O145" i="32" s="1"/>
  <c r="N118" i="32"/>
  <c r="O98" i="32"/>
  <c r="O118" i="32" s="1"/>
  <c r="N91" i="32"/>
  <c r="O71" i="32"/>
  <c r="O91" i="32" s="1"/>
  <c r="O44" i="32"/>
  <c r="O64" i="32" s="1"/>
  <c r="G9" i="33"/>
  <c r="E37" i="33"/>
  <c r="I37" i="33"/>
  <c r="H37" i="33"/>
  <c r="L37" i="33"/>
  <c r="K37" i="33"/>
  <c r="O37" i="33"/>
  <c r="F37" i="33"/>
  <c r="N37" i="33"/>
  <c r="G3" i="33"/>
  <c r="G7" i="33"/>
  <c r="L179" i="32"/>
  <c r="L199" i="32" s="1"/>
  <c r="L152" i="32"/>
  <c r="L172" i="32" s="1"/>
  <c r="K145" i="32"/>
  <c r="L145" i="32"/>
  <c r="L118" i="32"/>
  <c r="K118" i="32"/>
  <c r="K91" i="32"/>
  <c r="L71" i="32"/>
  <c r="L91" i="32" s="1"/>
  <c r="L44" i="32"/>
  <c r="L64" i="32" s="1"/>
  <c r="I199" i="32"/>
  <c r="H199" i="32"/>
  <c r="H145" i="32"/>
  <c r="I125" i="32"/>
  <c r="I145" i="32" s="1"/>
  <c r="H118" i="32"/>
  <c r="I98" i="32"/>
  <c r="I118" i="32" s="1"/>
  <c r="H91" i="32"/>
  <c r="I71" i="32"/>
  <c r="I91" i="32" s="1"/>
  <c r="H64" i="32"/>
  <c r="I64" i="32"/>
  <c r="F179" i="32"/>
  <c r="F199" i="32" s="1"/>
  <c r="F125" i="32"/>
  <c r="F145" i="32" s="1"/>
  <c r="F98" i="32"/>
  <c r="F118" i="32" s="1"/>
  <c r="F71" i="32"/>
  <c r="F91" i="32" s="1"/>
  <c r="F64" i="32"/>
  <c r="N199" i="31"/>
  <c r="O179" i="31"/>
  <c r="O199" i="31" s="1"/>
  <c r="O172" i="31"/>
  <c r="N172" i="31"/>
  <c r="O145" i="31"/>
  <c r="N118" i="31"/>
  <c r="O118" i="31"/>
  <c r="N91" i="31"/>
  <c r="O71" i="31"/>
  <c r="O91" i="31" s="1"/>
  <c r="N64" i="31"/>
  <c r="O64" i="31"/>
  <c r="H37" i="32"/>
  <c r="K37" i="32"/>
  <c r="L37" i="32"/>
  <c r="E37" i="32"/>
  <c r="I37" i="32"/>
  <c r="O37" i="32"/>
  <c r="F37" i="32"/>
  <c r="N37" i="32"/>
  <c r="G7" i="32"/>
  <c r="G5" i="32"/>
  <c r="G3" i="32"/>
  <c r="K199" i="31"/>
  <c r="L179" i="31"/>
  <c r="L199" i="31" s="1"/>
  <c r="L172" i="31"/>
  <c r="K172" i="31"/>
  <c r="L126" i="31"/>
  <c r="L145" i="31" s="1"/>
  <c r="K118" i="31"/>
  <c r="L98" i="31"/>
  <c r="L118" i="31" s="1"/>
  <c r="L71" i="31"/>
  <c r="L91" i="31" s="1"/>
  <c r="L64" i="31"/>
  <c r="H199" i="31"/>
  <c r="I179" i="31"/>
  <c r="I199" i="31" s="1"/>
  <c r="I152" i="31"/>
  <c r="I172" i="31" s="1"/>
  <c r="H145" i="31"/>
  <c r="I125" i="31"/>
  <c r="I145" i="31" s="1"/>
  <c r="H118" i="31"/>
  <c r="I98" i="31"/>
  <c r="I118" i="31" s="1"/>
  <c r="I71" i="31"/>
  <c r="I91" i="31" s="1"/>
  <c r="H64" i="31"/>
  <c r="I44" i="31"/>
  <c r="I64" i="31" s="1"/>
  <c r="F125" i="31"/>
  <c r="F145" i="31" s="1"/>
  <c r="F98" i="31"/>
  <c r="F118" i="31" s="1"/>
  <c r="F64" i="31"/>
  <c r="O179" i="30"/>
  <c r="O199" i="30" s="1"/>
  <c r="N172" i="30"/>
  <c r="O152" i="30"/>
  <c r="O172" i="30" s="1"/>
  <c r="N145" i="30"/>
  <c r="O125" i="30"/>
  <c r="O145" i="30" s="1"/>
  <c r="O118" i="30"/>
  <c r="N118" i="30"/>
  <c r="O91" i="30"/>
  <c r="N91" i="30"/>
  <c r="O64" i="30"/>
  <c r="N64" i="30"/>
  <c r="G9" i="31"/>
  <c r="H37" i="31"/>
  <c r="L37" i="31"/>
  <c r="E37" i="31"/>
  <c r="I37" i="31"/>
  <c r="F37" i="31"/>
  <c r="N37" i="31"/>
  <c r="K37" i="31"/>
  <c r="O37" i="31"/>
  <c r="G5" i="31"/>
  <c r="G7" i="31"/>
  <c r="G3" i="31"/>
  <c r="K199" i="30"/>
  <c r="L179" i="30"/>
  <c r="L199" i="30" s="1"/>
  <c r="G9" i="30" s="1"/>
  <c r="K172" i="30"/>
  <c r="L152" i="30"/>
  <c r="L172" i="30" s="1"/>
  <c r="L125" i="30"/>
  <c r="L145" i="30" s="1"/>
  <c r="K118" i="30"/>
  <c r="L98" i="30"/>
  <c r="L118" i="30" s="1"/>
  <c r="K91" i="30"/>
  <c r="L71" i="30"/>
  <c r="L91" i="30" s="1"/>
  <c r="K64" i="30"/>
  <c r="L44" i="30"/>
  <c r="H199" i="30"/>
  <c r="H172" i="30"/>
  <c r="I152" i="30"/>
  <c r="I172" i="30" s="1"/>
  <c r="H145" i="30"/>
  <c r="I125" i="30"/>
  <c r="I145" i="30" s="1"/>
  <c r="H118" i="30"/>
  <c r="I98" i="30"/>
  <c r="I118" i="30" s="1"/>
  <c r="I71" i="30"/>
  <c r="I91" i="30" s="1"/>
  <c r="I44" i="30"/>
  <c r="I64" i="30" s="1"/>
  <c r="F152" i="30"/>
  <c r="F172" i="30" s="1"/>
  <c r="F125" i="30"/>
  <c r="F145" i="30" s="1"/>
  <c r="F98" i="30"/>
  <c r="F118" i="30" s="1"/>
  <c r="N199" i="29"/>
  <c r="O179" i="29"/>
  <c r="O199" i="29" s="1"/>
  <c r="O152" i="29"/>
  <c r="O172" i="29" s="1"/>
  <c r="O125" i="29"/>
  <c r="O145" i="29" s="1"/>
  <c r="N118" i="29"/>
  <c r="O91" i="29"/>
  <c r="N91" i="29"/>
  <c r="O64" i="29"/>
  <c r="N64" i="29"/>
  <c r="F199" i="30"/>
  <c r="L64" i="30"/>
  <c r="I37" i="30"/>
  <c r="K37" i="30"/>
  <c r="O37" i="30"/>
  <c r="H37" i="30"/>
  <c r="L37" i="30"/>
  <c r="F37" i="30"/>
  <c r="N37" i="30"/>
  <c r="E37" i="30"/>
  <c r="G7" i="30"/>
  <c r="G3" i="30"/>
  <c r="K199" i="29"/>
  <c r="L179" i="29"/>
  <c r="L199" i="29" s="1"/>
  <c r="L125" i="29"/>
  <c r="L145" i="29" s="1"/>
  <c r="K118" i="29"/>
  <c r="L118" i="29"/>
  <c r="K91" i="29"/>
  <c r="L71" i="29"/>
  <c r="L91" i="29" s="1"/>
  <c r="L44" i="29"/>
  <c r="L64" i="29" s="1"/>
  <c r="I179" i="29"/>
  <c r="I199" i="29" s="1"/>
  <c r="I145" i="29"/>
  <c r="H145" i="29"/>
  <c r="H118" i="29"/>
  <c r="I98" i="29"/>
  <c r="I118" i="29" s="1"/>
  <c r="H91" i="29"/>
  <c r="I71" i="29"/>
  <c r="I91" i="29" s="1"/>
  <c r="H64" i="29"/>
  <c r="I64" i="29"/>
  <c r="E145" i="29"/>
  <c r="F98" i="29"/>
  <c r="F118" i="29" s="1"/>
  <c r="F71" i="29"/>
  <c r="F91" i="29" s="1"/>
  <c r="F44" i="29"/>
  <c r="F64" i="29" s="1"/>
  <c r="F199" i="29"/>
  <c r="F125" i="29"/>
  <c r="F145" i="29" s="1"/>
  <c r="O199" i="28"/>
  <c r="N199" i="28"/>
  <c r="N172" i="28"/>
  <c r="O172" i="28"/>
  <c r="O145" i="28"/>
  <c r="N145" i="28"/>
  <c r="N118" i="28"/>
  <c r="O98" i="28"/>
  <c r="O118" i="28" s="1"/>
  <c r="O91" i="28"/>
  <c r="N91" i="28"/>
  <c r="N64" i="28"/>
  <c r="O44" i="28"/>
  <c r="O64" i="28" s="1"/>
  <c r="G9" i="29"/>
  <c r="O118" i="29"/>
  <c r="G3" i="29" s="1"/>
  <c r="K37" i="29"/>
  <c r="O37" i="29"/>
  <c r="H37" i="29"/>
  <c r="L37" i="29"/>
  <c r="E37" i="29"/>
  <c r="I37" i="29"/>
  <c r="F37" i="29"/>
  <c r="N37" i="29"/>
  <c r="G7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H91" i="28"/>
  <c r="I71" i="28"/>
  <c r="I91" i="28" s="1"/>
  <c r="I44" i="28"/>
  <c r="I64" i="28" s="1"/>
  <c r="F91" i="28"/>
  <c r="F44" i="28"/>
  <c r="F64" i="28" s="1"/>
  <c r="N199" i="27"/>
  <c r="G9" i="27" s="1"/>
  <c r="O179" i="27"/>
  <c r="O199" i="27" s="1"/>
  <c r="N145" i="27"/>
  <c r="O125" i="27"/>
  <c r="O145" i="27" s="1"/>
  <c r="O98" i="27"/>
  <c r="O118" i="27" s="1"/>
  <c r="N91" i="27"/>
  <c r="O71" i="27"/>
  <c r="O91" i="27" s="1"/>
  <c r="N64" i="27"/>
  <c r="O44" i="27"/>
  <c r="O64" i="27" s="1"/>
  <c r="G5" i="27" s="1"/>
  <c r="E37" i="28"/>
  <c r="K37" i="28"/>
  <c r="O37" i="28"/>
  <c r="I37" i="28"/>
  <c r="H37" i="28"/>
  <c r="L37" i="28"/>
  <c r="F37" i="28"/>
  <c r="N37" i="28"/>
  <c r="G5" i="28"/>
  <c r="G7" i="28"/>
  <c r="G3" i="28"/>
  <c r="G9" i="28"/>
  <c r="K199" i="27"/>
  <c r="L179" i="27"/>
  <c r="L199" i="27" s="1"/>
  <c r="L172" i="27"/>
  <c r="L125" i="27"/>
  <c r="L145" i="27" s="1"/>
  <c r="L98" i="27"/>
  <c r="L118" i="27" s="1"/>
  <c r="L71" i="27"/>
  <c r="L91" i="27" s="1"/>
  <c r="K64" i="27"/>
  <c r="L44" i="27"/>
  <c r="L64" i="27" s="1"/>
  <c r="I179" i="27"/>
  <c r="I199" i="27" s="1"/>
  <c r="I125" i="27"/>
  <c r="I145" i="27" s="1"/>
  <c r="I98" i="27"/>
  <c r="I118" i="27" s="1"/>
  <c r="I71" i="27"/>
  <c r="I91" i="27" s="1"/>
  <c r="I44" i="27"/>
  <c r="I64" i="27" s="1"/>
  <c r="F44" i="27"/>
  <c r="F64" i="27" s="1"/>
  <c r="O179" i="26"/>
  <c r="O199" i="26" s="1"/>
  <c r="O172" i="26"/>
  <c r="N172" i="26"/>
  <c r="O145" i="26"/>
  <c r="N118" i="26"/>
  <c r="O118" i="26"/>
  <c r="N91" i="26"/>
  <c r="O71" i="26"/>
  <c r="O91" i="26" s="1"/>
  <c r="O64" i="26"/>
  <c r="N64" i="26"/>
  <c r="O172" i="27"/>
  <c r="K37" i="27"/>
  <c r="O37" i="27"/>
  <c r="F37" i="27"/>
  <c r="N37" i="27"/>
  <c r="L37" i="27"/>
  <c r="H37" i="27"/>
  <c r="E37" i="27"/>
  <c r="I37" i="27"/>
  <c r="G7" i="27"/>
  <c r="G3" i="27"/>
  <c r="K199" i="26"/>
  <c r="L179" i="26"/>
  <c r="L199" i="26" s="1"/>
  <c r="L172" i="26"/>
  <c r="K172" i="26"/>
  <c r="L125" i="26"/>
  <c r="L145" i="26" s="1"/>
  <c r="K118" i="26"/>
  <c r="L98" i="26"/>
  <c r="L118" i="26" s="1"/>
  <c r="L91" i="26"/>
  <c r="K91" i="26"/>
  <c r="K64" i="26"/>
  <c r="L44" i="26"/>
  <c r="L64" i="26" s="1"/>
  <c r="G5" i="26" s="1"/>
  <c r="I179" i="26"/>
  <c r="I199" i="26" s="1"/>
  <c r="I172" i="26"/>
  <c r="H145" i="26"/>
  <c r="I125" i="26"/>
  <c r="I145" i="26" s="1"/>
  <c r="H118" i="26"/>
  <c r="I98" i="26"/>
  <c r="I118" i="26" s="1"/>
  <c r="I71" i="26"/>
  <c r="I91" i="26" s="1"/>
  <c r="I64" i="26"/>
  <c r="H64" i="26"/>
  <c r="F125" i="26"/>
  <c r="F145" i="26" s="1"/>
  <c r="F98" i="26"/>
  <c r="F118" i="26" s="1"/>
  <c r="F91" i="26"/>
  <c r="F44" i="26"/>
  <c r="F64" i="26" s="1"/>
  <c r="O179" i="25"/>
  <c r="O199" i="25" s="1"/>
  <c r="O172" i="25"/>
  <c r="N172" i="25"/>
  <c r="O125" i="25"/>
  <c r="O145" i="25" s="1"/>
  <c r="O118" i="25"/>
  <c r="N118" i="25"/>
  <c r="N91" i="25"/>
  <c r="O71" i="25"/>
  <c r="O91" i="25" s="1"/>
  <c r="N64" i="25"/>
  <c r="O64" i="25"/>
  <c r="G5" i="25" s="1"/>
  <c r="E37" i="26"/>
  <c r="I37" i="26"/>
  <c r="K37" i="26"/>
  <c r="O37" i="26"/>
  <c r="F37" i="26"/>
  <c r="N37" i="26"/>
  <c r="H37" i="26"/>
  <c r="L37" i="26"/>
  <c r="G9" i="26"/>
  <c r="G7" i="26"/>
  <c r="G3" i="26"/>
  <c r="K199" i="25"/>
  <c r="L179" i="25"/>
  <c r="L199" i="25" s="1"/>
  <c r="K172" i="25"/>
  <c r="L172" i="25"/>
  <c r="K145" i="25"/>
  <c r="L125" i="25"/>
  <c r="L145" i="25" s="1"/>
  <c r="K118" i="25"/>
  <c r="L98" i="25"/>
  <c r="L118" i="25" s="1"/>
  <c r="K91" i="25"/>
  <c r="L71" i="25"/>
  <c r="L91" i="25" s="1"/>
  <c r="K64" i="25"/>
  <c r="L44" i="25"/>
  <c r="L64" i="25" s="1"/>
  <c r="I179" i="25"/>
  <c r="I199" i="25" s="1"/>
  <c r="I152" i="25"/>
  <c r="I172" i="25" s="1"/>
  <c r="I125" i="25"/>
  <c r="I145" i="25" s="1"/>
  <c r="I98" i="25"/>
  <c r="I118" i="25" s="1"/>
  <c r="I71" i="25"/>
  <c r="I91" i="25" s="1"/>
  <c r="I44" i="25"/>
  <c r="I64" i="25" s="1"/>
  <c r="F145" i="25"/>
  <c r="O199" i="24"/>
  <c r="N199" i="24"/>
  <c r="N172" i="24"/>
  <c r="O152" i="24"/>
  <c r="O172" i="24" s="1"/>
  <c r="N145" i="24"/>
  <c r="O125" i="24"/>
  <c r="O145" i="24" s="1"/>
  <c r="N118" i="24"/>
  <c r="O98" i="24"/>
  <c r="O118" i="24" s="1"/>
  <c r="O71" i="24"/>
  <c r="O91" i="24" s="1"/>
  <c r="O44" i="24"/>
  <c r="O64" i="24" s="1"/>
  <c r="F199" i="25"/>
  <c r="K37" i="25"/>
  <c r="O37" i="25"/>
  <c r="H37" i="25"/>
  <c r="L37" i="25"/>
  <c r="E37" i="25"/>
  <c r="I37" i="25"/>
  <c r="F37" i="25"/>
  <c r="N37" i="25"/>
  <c r="G7" i="25"/>
  <c r="G3" i="25"/>
  <c r="G9" i="25"/>
  <c r="K199" i="24"/>
  <c r="L179" i="24"/>
  <c r="L199" i="24" s="1"/>
  <c r="K172" i="24"/>
  <c r="L152" i="24"/>
  <c r="L172" i="24" s="1"/>
  <c r="L125" i="24"/>
  <c r="L145" i="24" s="1"/>
  <c r="L98" i="24"/>
  <c r="L118" i="24" s="1"/>
  <c r="L91" i="24"/>
  <c r="K91" i="24"/>
  <c r="K64" i="24"/>
  <c r="L44" i="24"/>
  <c r="L64" i="24" s="1"/>
  <c r="I179" i="24"/>
  <c r="I199" i="24" s="1"/>
  <c r="I152" i="24"/>
  <c r="I172" i="24" s="1"/>
  <c r="H145" i="24"/>
  <c r="I125" i="24"/>
  <c r="I145" i="24" s="1"/>
  <c r="I98" i="24"/>
  <c r="I118" i="24" s="1"/>
  <c r="I71" i="24"/>
  <c r="I91" i="24" s="1"/>
  <c r="I44" i="24"/>
  <c r="I64" i="24" s="1"/>
  <c r="F145" i="24"/>
  <c r="F98" i="24"/>
  <c r="F118" i="24" s="1"/>
  <c r="F71" i="24"/>
  <c r="F91" i="24" s="1"/>
  <c r="F64" i="24"/>
  <c r="G7" i="24"/>
  <c r="F37" i="24"/>
  <c r="N37" i="24"/>
  <c r="G3" i="24"/>
  <c r="E37" i="24"/>
  <c r="I37" i="24"/>
  <c r="K37" i="24"/>
  <c r="O37" i="24"/>
  <c r="H37" i="24"/>
  <c r="L37" i="24"/>
  <c r="G5" i="24"/>
  <c r="G9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9" l="1"/>
  <c r="G11" i="48"/>
  <c r="G11" i="47"/>
  <c r="G11" i="46"/>
  <c r="G11" i="45"/>
  <c r="G11" i="44"/>
  <c r="G11" i="43"/>
  <c r="G11" i="42"/>
  <c r="G11" i="41"/>
  <c r="G11" i="40"/>
  <c r="G11" i="39"/>
  <c r="G11" i="38"/>
  <c r="G11" i="37"/>
  <c r="G11" i="36"/>
  <c r="G11" i="35"/>
  <c r="G11" i="34"/>
  <c r="G11" i="33"/>
  <c r="G11" i="32"/>
  <c r="G5" i="30"/>
  <c r="G11" i="31"/>
  <c r="G11" i="30"/>
  <c r="G5" i="29"/>
  <c r="G11" i="29"/>
  <c r="G11" i="28"/>
  <c r="G11" i="27"/>
  <c r="G11" i="26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C61" i="9"/>
  <c r="L187" i="9"/>
  <c r="O268" i="9"/>
  <c r="G47" i="3"/>
  <c r="C140" i="9"/>
  <c r="L99" i="9"/>
  <c r="F257" i="9"/>
  <c r="C141" i="9"/>
  <c r="H118" i="9"/>
  <c r="K21" i="5"/>
  <c r="C78" i="9"/>
  <c r="F265" i="9"/>
  <c r="N235" i="9"/>
  <c r="F111" i="9"/>
  <c r="H230" i="9"/>
  <c r="N114" i="9"/>
  <c r="O192" i="9"/>
  <c r="O279" i="9"/>
  <c r="H272" i="9"/>
  <c r="K45" i="9"/>
  <c r="K162" i="9"/>
  <c r="F68" i="9"/>
  <c r="N215" i="9"/>
  <c r="L227" i="9"/>
  <c r="I90" i="9"/>
  <c r="E62" i="9"/>
  <c r="H157" i="9"/>
  <c r="F83" i="9"/>
  <c r="E227" i="9"/>
  <c r="I189" i="9"/>
  <c r="K138" i="9"/>
  <c r="O57" i="3"/>
  <c r="C46" i="9"/>
  <c r="O38" i="3"/>
  <c r="G59" i="3"/>
  <c r="E83" i="9"/>
  <c r="N186" i="9"/>
  <c r="K75" i="9"/>
  <c r="O56" i="3"/>
  <c r="L264" i="9"/>
  <c r="H195" i="9"/>
  <c r="I185" i="9"/>
  <c r="L204" i="9"/>
  <c r="K272" i="9"/>
  <c r="H180" i="9"/>
  <c r="F259" i="9"/>
  <c r="L263" i="9"/>
  <c r="I85" i="9"/>
  <c r="H255" i="9"/>
  <c r="H140" i="9"/>
  <c r="O59" i="3"/>
  <c r="K26" i="9"/>
  <c r="C76" i="9"/>
  <c r="K274" i="9"/>
  <c r="L50" i="9"/>
  <c r="O75" i="9"/>
  <c r="F204" i="9"/>
  <c r="F275" i="9"/>
  <c r="K19" i="5"/>
  <c r="O204" i="9"/>
  <c r="K65" i="9"/>
  <c r="L116" i="9"/>
  <c r="H223" i="9"/>
  <c r="E187" i="9"/>
  <c r="I198" i="9"/>
  <c r="K57" i="3"/>
  <c r="L76" i="9"/>
  <c r="C32" i="9"/>
  <c r="O119" i="9"/>
  <c r="K231" i="9"/>
  <c r="O36" i="9"/>
  <c r="O191" i="9"/>
  <c r="N185" i="9"/>
  <c r="F99" i="9"/>
  <c r="L121" i="9"/>
  <c r="O257" i="9"/>
  <c r="C31" i="9"/>
  <c r="E175" i="9"/>
  <c r="N202" i="9"/>
  <c r="H77" i="9"/>
  <c r="K115" i="9"/>
  <c r="N39" i="9"/>
  <c r="C119" i="9"/>
  <c r="N195" i="9"/>
  <c r="F28" i="9"/>
  <c r="N98" i="9"/>
  <c r="H74" i="9"/>
  <c r="O190" i="9"/>
  <c r="H121" i="9"/>
  <c r="F212" i="9"/>
  <c r="H155" i="9"/>
  <c r="L250" i="9"/>
  <c r="N99" i="9"/>
  <c r="H101" i="9"/>
  <c r="O161" i="9"/>
  <c r="G41" i="3"/>
  <c r="E22" i="9"/>
  <c r="L104" i="9"/>
  <c r="I110" i="9"/>
  <c r="L153" i="9"/>
  <c r="O35" i="3"/>
  <c r="H179" i="9"/>
  <c r="O44" i="3"/>
  <c r="E268" i="9"/>
  <c r="F101" i="9"/>
  <c r="K62" i="9"/>
  <c r="N232" i="9"/>
  <c r="K144" i="9"/>
  <c r="E195" i="9"/>
  <c r="O121" i="9"/>
  <c r="K72" i="9"/>
  <c r="I137" i="9"/>
  <c r="F227" i="9"/>
  <c r="O146" i="9"/>
  <c r="K63" i="3"/>
  <c r="L124" i="9"/>
  <c r="C143" i="9"/>
  <c r="N101" i="9"/>
  <c r="E70" i="9"/>
  <c r="L240" i="9"/>
  <c r="E34" i="9"/>
  <c r="H75" i="9"/>
  <c r="N233" i="9"/>
  <c r="O186" i="9"/>
  <c r="L41" i="9"/>
  <c r="E213" i="9"/>
  <c r="L199" i="9"/>
  <c r="N153" i="9"/>
  <c r="I36" i="9"/>
  <c r="L142" i="9"/>
  <c r="G71" i="3"/>
  <c r="K8" i="5"/>
  <c r="E233" i="9"/>
  <c r="C194" i="9"/>
  <c r="I84" i="9"/>
  <c r="K45" i="3"/>
  <c r="O270" i="9"/>
  <c r="E65" i="9"/>
  <c r="C118" i="9"/>
  <c r="N229" i="9"/>
  <c r="L114" i="9"/>
  <c r="L120" i="9"/>
  <c r="L160" i="9"/>
  <c r="H109" i="9"/>
  <c r="C176" i="9"/>
  <c r="F180" i="9"/>
  <c r="N105" i="9"/>
  <c r="O52" i="9"/>
  <c r="G46" i="3"/>
  <c r="I257" i="9"/>
  <c r="K184" i="9"/>
  <c r="F165" i="9"/>
  <c r="H112" i="9"/>
  <c r="F256" i="9"/>
  <c r="C144" i="9"/>
  <c r="H80" i="9"/>
  <c r="I178" i="9"/>
  <c r="H28" i="9"/>
  <c r="H231" i="9"/>
  <c r="C37" i="9"/>
  <c r="L165" i="9"/>
  <c r="H124" i="9"/>
  <c r="L268" i="9"/>
  <c r="C179" i="9"/>
  <c r="H212" i="9"/>
  <c r="K105" i="9"/>
  <c r="O162" i="9"/>
  <c r="F86" i="9"/>
  <c r="H156" i="9"/>
  <c r="G74" i="3"/>
  <c r="F66" i="9"/>
  <c r="K108" i="9"/>
  <c r="H216" i="9"/>
  <c r="O142" i="9"/>
  <c r="C161" i="9"/>
  <c r="E191" i="9"/>
  <c r="C234" i="9"/>
  <c r="L144" i="9"/>
  <c r="F186" i="9"/>
  <c r="C192" i="9"/>
  <c r="C22" i="9"/>
  <c r="F113" i="9"/>
  <c r="F146" i="9"/>
  <c r="C127" i="9"/>
  <c r="F185" i="9"/>
  <c r="L198" i="9"/>
  <c r="N115" i="9"/>
  <c r="O269" i="9"/>
  <c r="O197" i="9"/>
  <c r="I194" i="9"/>
  <c r="O84" i="9"/>
  <c r="L228" i="9"/>
  <c r="L52" i="9"/>
  <c r="K117" i="9"/>
  <c r="L178" i="9"/>
  <c r="I188" i="9"/>
  <c r="L46" i="9"/>
  <c r="F147" i="9"/>
  <c r="E270" i="9"/>
  <c r="F75" i="9"/>
  <c r="I222" i="9"/>
  <c r="C121" i="9"/>
  <c r="K23" i="5"/>
  <c r="N150" i="9"/>
  <c r="F221" i="9"/>
  <c r="I197" i="9"/>
  <c r="N116" i="9"/>
  <c r="N120" i="9"/>
  <c r="O26" i="9"/>
  <c r="O111" i="9"/>
  <c r="F255" i="9"/>
  <c r="F182" i="9"/>
  <c r="N265" i="9"/>
  <c r="I118" i="9"/>
  <c r="K216" i="9"/>
  <c r="O196" i="9"/>
  <c r="C27" i="9"/>
  <c r="I213" i="9"/>
  <c r="L237" i="9"/>
  <c r="H185" i="9"/>
  <c r="O34" i="3"/>
  <c r="O39" i="9"/>
  <c r="O62" i="9"/>
  <c r="N42" i="9"/>
  <c r="N165" i="9"/>
  <c r="K183" i="9"/>
  <c r="N29" i="9"/>
  <c r="E278" i="9"/>
  <c r="N262" i="9"/>
  <c r="K23" i="9"/>
  <c r="K218" i="9"/>
  <c r="C90" i="9"/>
  <c r="O74" i="3"/>
  <c r="O241" i="9"/>
  <c r="E141" i="9"/>
  <c r="C158" i="9"/>
  <c r="F46" i="9"/>
  <c r="L77" i="9"/>
  <c r="K150" i="9"/>
  <c r="I88" i="9"/>
  <c r="E258" i="9"/>
  <c r="L166" i="9"/>
  <c r="K84" i="9"/>
  <c r="E127" i="9"/>
  <c r="N274" i="9"/>
  <c r="E265" i="9"/>
  <c r="C256" i="9"/>
  <c r="L252" i="9"/>
  <c r="O22" i="9"/>
  <c r="C108" i="9"/>
  <c r="H22" i="9"/>
  <c r="L79" i="9"/>
  <c r="F198" i="9"/>
  <c r="K152" i="9"/>
  <c r="H145" i="9"/>
  <c r="E196" i="9"/>
  <c r="C223" i="9"/>
  <c r="H233" i="9"/>
  <c r="K143" i="9"/>
  <c r="I78" i="9"/>
  <c r="H251" i="9"/>
  <c r="E146" i="9"/>
  <c r="N32" i="9"/>
  <c r="N109" i="9"/>
  <c r="H159" i="9"/>
  <c r="F105" i="9"/>
  <c r="I266" i="9"/>
  <c r="F51" i="9"/>
  <c r="E150" i="9"/>
  <c r="O240" i="9"/>
  <c r="K59" i="3"/>
  <c r="E273" i="9"/>
  <c r="E42" i="9"/>
  <c r="E41" i="9"/>
  <c r="N61" i="9"/>
  <c r="C48" i="9"/>
  <c r="E260" i="9"/>
  <c r="E255" i="9"/>
  <c r="F140" i="9"/>
  <c r="C260" i="9"/>
  <c r="N219" i="9"/>
  <c r="I273" i="9"/>
  <c r="F223" i="9"/>
  <c r="O40" i="3"/>
  <c r="C33" i="9"/>
  <c r="L38" i="9"/>
  <c r="K15" i="3"/>
  <c r="I65" i="9"/>
  <c r="O88" i="9"/>
  <c r="I217" i="9"/>
  <c r="I212" i="9"/>
  <c r="F29" i="9"/>
  <c r="K271" i="9"/>
  <c r="F268" i="9"/>
  <c r="O51" i="9"/>
  <c r="H137" i="9"/>
  <c r="F136" i="9"/>
  <c r="E252" i="9"/>
  <c r="G48" i="3"/>
  <c r="N22" i="9"/>
  <c r="H33" i="9"/>
  <c r="I82" i="9"/>
  <c r="I261" i="9"/>
  <c r="H41" i="9"/>
  <c r="F154" i="9"/>
  <c r="F37" i="9"/>
  <c r="C221" i="9"/>
  <c r="F254" i="9"/>
  <c r="C255" i="9"/>
  <c r="C26" i="9"/>
  <c r="N149" i="9"/>
  <c r="F52" i="9"/>
  <c r="K236" i="9"/>
  <c r="E215" i="9"/>
  <c r="K268" i="9"/>
  <c r="L258" i="9"/>
  <c r="F108" i="9"/>
  <c r="F226" i="9"/>
  <c r="E71" i="9"/>
  <c r="H196" i="9"/>
  <c r="H200" i="9"/>
  <c r="H222" i="9"/>
  <c r="O164" i="9"/>
  <c r="N84" i="9"/>
  <c r="L255" i="9"/>
  <c r="K252" i="9"/>
  <c r="I113" i="9"/>
  <c r="N214" i="9"/>
  <c r="E81" i="9"/>
  <c r="L125" i="9"/>
  <c r="K32" i="3"/>
  <c r="H271" i="9"/>
  <c r="F218" i="9"/>
  <c r="K214" i="9"/>
  <c r="N280" i="9"/>
  <c r="F264" i="9"/>
  <c r="E68" i="9"/>
  <c r="H50" i="9"/>
  <c r="C35" i="9"/>
  <c r="O29" i="9"/>
  <c r="K73" i="9"/>
  <c r="K24" i="5"/>
  <c r="I108" i="9"/>
  <c r="I25" i="9"/>
  <c r="H190" i="9"/>
  <c r="I22" i="9"/>
  <c r="N188" i="9"/>
  <c r="C242" i="9"/>
  <c r="F82" i="9"/>
  <c r="K64" i="3"/>
  <c r="K10" i="3"/>
  <c r="L44" i="9"/>
  <c r="O152" i="9"/>
  <c r="I64" i="9"/>
  <c r="H115" i="9"/>
  <c r="N69" i="9"/>
  <c r="K196" i="9"/>
  <c r="N164" i="9"/>
  <c r="C271" i="9"/>
  <c r="I99" i="9"/>
  <c r="I75" i="9"/>
  <c r="F48" i="9"/>
  <c r="H32" i="9"/>
  <c r="N181" i="9"/>
  <c r="G50" i="3"/>
  <c r="I228" i="9"/>
  <c r="O63" i="3"/>
  <c r="E84" i="9"/>
  <c r="I34" i="9"/>
  <c r="I250" i="9"/>
  <c r="H116" i="9"/>
  <c r="N34" i="9"/>
  <c r="I215" i="9"/>
  <c r="K63" i="9"/>
  <c r="E223" i="9"/>
  <c r="G44" i="3"/>
  <c r="N88" i="9"/>
  <c r="O218" i="9"/>
  <c r="N158" i="9"/>
  <c r="H166" i="9"/>
  <c r="E121" i="9"/>
  <c r="L212" i="9"/>
  <c r="O68" i="3"/>
  <c r="L196" i="9"/>
  <c r="C220" i="9"/>
  <c r="L75" i="9"/>
  <c r="N152" i="9"/>
  <c r="K38" i="9"/>
  <c r="F272" i="9"/>
  <c r="C25" i="9"/>
  <c r="K12" i="3"/>
  <c r="I181" i="9"/>
  <c r="H67" i="9"/>
  <c r="I176" i="9"/>
  <c r="C104" i="9"/>
  <c r="H103" i="9"/>
  <c r="F104" i="9"/>
  <c r="F38" i="9"/>
  <c r="L88" i="9"/>
  <c r="H148" i="9"/>
  <c r="E188" i="9"/>
  <c r="K151" i="9"/>
  <c r="K225" i="9"/>
  <c r="I115" i="9"/>
  <c r="C214" i="9"/>
  <c r="O78" i="9"/>
  <c r="E240" i="9"/>
  <c r="H76" i="9"/>
  <c r="F196" i="9"/>
  <c r="K82" i="9"/>
  <c r="F81" i="9"/>
  <c r="G61" i="3"/>
  <c r="L154" i="9"/>
  <c r="O180" i="9"/>
  <c r="K69" i="9"/>
  <c r="E123" i="9"/>
  <c r="K269" i="9"/>
  <c r="F72" i="9"/>
  <c r="K9" i="3"/>
  <c r="E100" i="9"/>
  <c r="O185" i="9"/>
  <c r="C187" i="9"/>
  <c r="C276" i="9"/>
  <c r="I139" i="9"/>
  <c r="I163" i="9"/>
  <c r="N198" i="9"/>
  <c r="C111" i="9"/>
  <c r="F148" i="9"/>
  <c r="C122" i="9"/>
  <c r="F102" i="9"/>
  <c r="K70" i="3"/>
  <c r="H252" i="9"/>
  <c r="I126" i="9"/>
  <c r="K279" i="9"/>
  <c r="E203" i="9"/>
  <c r="F110" i="9"/>
  <c r="N51" i="9"/>
  <c r="K37" i="9"/>
  <c r="H62" i="9"/>
  <c r="F90" i="9"/>
  <c r="F138" i="9"/>
  <c r="L267" i="9"/>
  <c r="E177" i="9"/>
  <c r="N75" i="9"/>
  <c r="F213" i="9"/>
  <c r="I278" i="9"/>
  <c r="C177" i="9"/>
  <c r="O40" i="9"/>
  <c r="O46" i="3"/>
  <c r="I39" i="9"/>
  <c r="C180" i="9"/>
  <c r="E119" i="9"/>
  <c r="L31" i="9"/>
  <c r="F160" i="9"/>
  <c r="I267" i="9"/>
  <c r="F164" i="9"/>
  <c r="O188" i="9"/>
  <c r="O195" i="9"/>
  <c r="O64" i="9"/>
  <c r="H69" i="9"/>
  <c r="K68" i="9"/>
  <c r="O58" i="3"/>
  <c r="N147" i="9"/>
  <c r="N272" i="9"/>
  <c r="N261" i="9"/>
  <c r="O66" i="9"/>
  <c r="E160" i="9"/>
  <c r="E190" i="9"/>
  <c r="N40" i="9"/>
  <c r="I195" i="9"/>
  <c r="L185" i="9"/>
  <c r="L220" i="9"/>
  <c r="I81" i="9"/>
  <c r="F43" i="9"/>
  <c r="H25" i="9"/>
  <c r="E80" i="9"/>
  <c r="L30" i="9"/>
  <c r="E138" i="9"/>
  <c r="C190" i="9"/>
  <c r="K215" i="9"/>
  <c r="C181" i="9"/>
  <c r="F215" i="9"/>
  <c r="O85" i="9"/>
  <c r="K61" i="9"/>
  <c r="E147" i="9"/>
  <c r="C222" i="9"/>
  <c r="L84" i="9"/>
  <c r="N43" i="9"/>
  <c r="O184" i="9"/>
  <c r="O234" i="9"/>
  <c r="L235" i="9"/>
  <c r="O228" i="9"/>
  <c r="F141" i="9"/>
  <c r="O61" i="9"/>
  <c r="E99" i="9"/>
  <c r="O149" i="9"/>
  <c r="L127" i="9"/>
  <c r="L261" i="9"/>
  <c r="H154" i="9"/>
  <c r="C39" i="9"/>
  <c r="I106" i="9"/>
  <c r="K18" i="3"/>
  <c r="F76" i="9"/>
  <c r="K237" i="9"/>
  <c r="N143" i="9"/>
  <c r="O252" i="9"/>
  <c r="L128" i="9"/>
  <c r="E142" i="9"/>
  <c r="N179" i="9"/>
  <c r="K136" i="9"/>
  <c r="K51" i="9"/>
  <c r="E165" i="9"/>
  <c r="I256" i="9"/>
  <c r="F179" i="9"/>
  <c r="C263" i="9"/>
  <c r="F42" i="9"/>
  <c r="C198" i="9"/>
  <c r="K187" i="9"/>
  <c r="N117" i="9"/>
  <c r="C66" i="9"/>
  <c r="K106" i="9"/>
  <c r="C151" i="9"/>
  <c r="H276" i="9"/>
  <c r="C227" i="9"/>
  <c r="C160" i="9"/>
  <c r="F240" i="9"/>
  <c r="O151" i="9"/>
  <c r="O72" i="3"/>
  <c r="N183" i="9"/>
  <c r="H197" i="9"/>
  <c r="F153" i="9"/>
  <c r="N190" i="9"/>
  <c r="H153" i="9"/>
  <c r="L161" i="9"/>
  <c r="F280" i="9"/>
  <c r="E189" i="9"/>
  <c r="K88" i="9"/>
  <c r="O75" i="3"/>
  <c r="H213" i="9"/>
  <c r="K83" i="9"/>
  <c r="L61" i="9"/>
  <c r="K141" i="9"/>
  <c r="F239" i="9"/>
  <c r="L265" i="9"/>
  <c r="O124" i="9"/>
  <c r="G33" i="3"/>
  <c r="C77" i="9"/>
  <c r="E274" i="9"/>
  <c r="K22" i="9"/>
  <c r="E275" i="9"/>
  <c r="N76" i="9"/>
  <c r="N258" i="9"/>
  <c r="H40" i="9"/>
  <c r="L143" i="9"/>
  <c r="L203" i="9"/>
  <c r="F100" i="9"/>
  <c r="O50" i="9"/>
  <c r="O232" i="9"/>
  <c r="E27" i="9"/>
  <c r="N72" i="9"/>
  <c r="O42" i="3"/>
  <c r="O183" i="9"/>
  <c r="O82" i="9"/>
  <c r="C152" i="9"/>
  <c r="K145" i="9"/>
  <c r="N263" i="9"/>
  <c r="N204" i="9"/>
  <c r="K118" i="9"/>
  <c r="N259" i="9"/>
  <c r="K33" i="9"/>
  <c r="N65" i="9"/>
  <c r="C219" i="9"/>
  <c r="N222" i="9"/>
  <c r="N30" i="9"/>
  <c r="K260" i="9"/>
  <c r="E256" i="9"/>
  <c r="E137" i="9"/>
  <c r="K270" i="9"/>
  <c r="C99" i="9"/>
  <c r="F181" i="9"/>
  <c r="N141" i="9"/>
  <c r="E201" i="9"/>
  <c r="I38" i="9"/>
  <c r="N253" i="9"/>
  <c r="E159" i="9"/>
  <c r="L179" i="9"/>
  <c r="E85" i="9"/>
  <c r="I156" i="9"/>
  <c r="E48" i="9"/>
  <c r="O83" i="9"/>
  <c r="K110" i="9"/>
  <c r="E222" i="9"/>
  <c r="G67" i="3"/>
  <c r="N82" i="9"/>
  <c r="C47" i="9"/>
  <c r="N128" i="9"/>
  <c r="O216" i="9"/>
  <c r="E166" i="9"/>
  <c r="O76" i="9"/>
  <c r="L148" i="9"/>
  <c r="F77" i="9"/>
  <c r="E66" i="9"/>
  <c r="F78" i="9"/>
  <c r="O225" i="9"/>
  <c r="C72" i="9"/>
  <c r="K154" i="9"/>
  <c r="C174" i="9"/>
  <c r="I148" i="9"/>
  <c r="H38" i="9"/>
  <c r="H34" i="9"/>
  <c r="O39" i="3"/>
  <c r="C268" i="9"/>
  <c r="I138" i="9"/>
  <c r="K227" i="9"/>
  <c r="N178" i="9"/>
  <c r="K35" i="3"/>
  <c r="E225" i="9"/>
  <c r="L123" i="9"/>
  <c r="I229" i="9"/>
  <c r="F191" i="9"/>
  <c r="N201" i="9"/>
  <c r="H104" i="9"/>
  <c r="C224" i="9"/>
  <c r="F120" i="9"/>
  <c r="C196" i="9"/>
  <c r="E32" i="9"/>
  <c r="H221" i="9"/>
  <c r="I252" i="9"/>
  <c r="I258" i="9"/>
  <c r="O224" i="9"/>
  <c r="H61" i="9"/>
  <c r="L28" i="9"/>
  <c r="C186" i="9"/>
  <c r="H161" i="9"/>
  <c r="K234" i="9"/>
  <c r="O79" i="9"/>
  <c r="C273" i="9"/>
  <c r="K238" i="9"/>
  <c r="L69" i="9"/>
  <c r="I204" i="9"/>
  <c r="K102" i="9"/>
  <c r="E30" i="9"/>
  <c r="E122" i="9"/>
  <c r="C147" i="9"/>
  <c r="I32" i="9"/>
  <c r="N37" i="9"/>
  <c r="O47" i="9"/>
  <c r="E88" i="9"/>
  <c r="E277" i="9"/>
  <c r="O60" i="9"/>
  <c r="K149" i="9"/>
  <c r="K8" i="3"/>
  <c r="H164" i="9"/>
  <c r="K264" i="9"/>
  <c r="O202" i="9"/>
  <c r="C175" i="9"/>
  <c r="C88" i="9"/>
  <c r="G70" i="3"/>
  <c r="I161" i="9"/>
  <c r="C266" i="9"/>
  <c r="C49" i="9"/>
  <c r="L81" i="9"/>
  <c r="O49" i="9"/>
  <c r="K119" i="9"/>
  <c r="E136" i="9"/>
  <c r="I66" i="9"/>
  <c r="F151" i="9"/>
  <c r="L126" i="9"/>
  <c r="E128" i="9"/>
  <c r="I150" i="9"/>
  <c r="L80" i="9"/>
  <c r="H201" i="9"/>
  <c r="C67" i="9"/>
  <c r="C229" i="9"/>
  <c r="K142" i="9"/>
  <c r="E43" i="9"/>
  <c r="C100" i="9"/>
  <c r="I225" i="9"/>
  <c r="E116" i="9"/>
  <c r="N60" i="9"/>
  <c r="H193" i="9"/>
  <c r="L229" i="9"/>
  <c r="C34" i="9"/>
  <c r="F150" i="9"/>
  <c r="K25" i="9"/>
  <c r="K39" i="9"/>
  <c r="H160" i="9"/>
  <c r="L231" i="9"/>
  <c r="O254" i="9"/>
  <c r="F49" i="9"/>
  <c r="K186" i="9"/>
  <c r="E37" i="9"/>
  <c r="O27" i="9"/>
  <c r="K198" i="9"/>
  <c r="O48" i="9"/>
  <c r="C148" i="9"/>
  <c r="H241" i="9"/>
  <c r="H90" i="9"/>
  <c r="N83" i="9"/>
  <c r="C253" i="9"/>
  <c r="N260" i="9"/>
  <c r="F219" i="9"/>
  <c r="L66" i="9"/>
  <c r="F50" i="9"/>
  <c r="F263" i="9"/>
  <c r="K235" i="9"/>
  <c r="F156" i="9"/>
  <c r="K121" i="9"/>
  <c r="E60" i="9"/>
  <c r="C81" i="9"/>
  <c r="L270" i="9"/>
  <c r="C123" i="9"/>
  <c r="N27" i="9"/>
  <c r="K253" i="9"/>
  <c r="K33" i="3"/>
  <c r="N251" i="9"/>
  <c r="N192" i="9"/>
  <c r="N107" i="9"/>
  <c r="N64" i="9"/>
  <c r="O178" i="9"/>
  <c r="N26" i="9"/>
  <c r="N218" i="9"/>
  <c r="O222" i="9"/>
  <c r="C116" i="9"/>
  <c r="N124" i="9"/>
  <c r="E232" i="9"/>
  <c r="C218" i="9"/>
  <c r="G45" i="3"/>
  <c r="C191" i="9"/>
  <c r="O90" i="9"/>
  <c r="H42" i="9"/>
  <c r="F84" i="9"/>
  <c r="F200" i="9"/>
  <c r="K62" i="3"/>
  <c r="I239" i="9"/>
  <c r="L82" i="9"/>
  <c r="E217" i="9"/>
  <c r="I254" i="9"/>
  <c r="O280" i="9"/>
  <c r="O158" i="9"/>
  <c r="H192" i="9"/>
  <c r="O23" i="9"/>
  <c r="C114" i="9"/>
  <c r="I143" i="9"/>
  <c r="K220" i="9"/>
  <c r="K34" i="9"/>
  <c r="O256" i="9"/>
  <c r="N47" i="9"/>
  <c r="I251" i="9"/>
  <c r="K48" i="3"/>
  <c r="C277" i="9"/>
  <c r="H279" i="9"/>
  <c r="F88" i="9"/>
  <c r="C166" i="9"/>
  <c r="K156" i="9"/>
  <c r="H151" i="9"/>
  <c r="I242" i="9"/>
  <c r="F124" i="9"/>
  <c r="K17" i="3"/>
  <c r="N33" i="9"/>
  <c r="L158" i="9"/>
  <c r="H267" i="9"/>
  <c r="L45" i="9"/>
  <c r="O138" i="9"/>
  <c r="O36" i="3"/>
  <c r="I193" i="9"/>
  <c r="N177" i="9"/>
  <c r="H85" i="9"/>
  <c r="N240" i="9"/>
  <c r="N268" i="9"/>
  <c r="H72" i="9"/>
  <c r="H194" i="9"/>
  <c r="H138" i="9"/>
  <c r="K191" i="9"/>
  <c r="H237" i="9"/>
  <c r="F47" i="9"/>
  <c r="L48" i="9"/>
  <c r="C232" i="9"/>
  <c r="H150" i="9"/>
  <c r="K61" i="3"/>
  <c r="O35" i="9"/>
  <c r="E144" i="9"/>
  <c r="E192" i="9"/>
  <c r="O34" i="9"/>
  <c r="N31" i="9"/>
  <c r="K124" i="9"/>
  <c r="K52" i="9"/>
  <c r="I37" i="9"/>
  <c r="K67" i="9"/>
  <c r="I260" i="9"/>
  <c r="O182" i="9"/>
  <c r="N267" i="9"/>
  <c r="E50" i="9"/>
  <c r="F128" i="9"/>
  <c r="C265" i="9"/>
  <c r="H198" i="9"/>
  <c r="N73" i="9"/>
  <c r="F271" i="9"/>
  <c r="K204" i="9"/>
  <c r="L141" i="9"/>
  <c r="F35" i="9"/>
  <c r="O154" i="9"/>
  <c r="H277" i="9"/>
  <c r="L273" i="9"/>
  <c r="I60" i="9"/>
  <c r="I160" i="9"/>
  <c r="O276" i="9"/>
  <c r="F41" i="9"/>
  <c r="O223" i="9"/>
  <c r="O102" i="9"/>
  <c r="E230" i="9"/>
  <c r="F251" i="9"/>
  <c r="H234" i="9"/>
  <c r="F279" i="9"/>
  <c r="C251" i="9"/>
  <c r="H263" i="9"/>
  <c r="K240" i="9"/>
  <c r="O72" i="9"/>
  <c r="N28" i="9"/>
  <c r="K148" i="9"/>
  <c r="N193" i="9"/>
  <c r="C85" i="9"/>
  <c r="F70" i="9"/>
  <c r="C120" i="9"/>
  <c r="O31" i="9"/>
  <c r="H262" i="9"/>
  <c r="L266" i="9"/>
  <c r="K28" i="9"/>
  <c r="I179" i="9"/>
  <c r="L184" i="9"/>
  <c r="E120" i="9"/>
  <c r="K69" i="3"/>
  <c r="K89" i="9"/>
  <c r="C109" i="9"/>
  <c r="I264" i="9"/>
  <c r="N36" i="9"/>
  <c r="N279" i="9"/>
  <c r="N180" i="9"/>
  <c r="G42" i="3"/>
  <c r="O150" i="9"/>
  <c r="L241" i="9"/>
  <c r="N203" i="9"/>
  <c r="E221" i="9"/>
  <c r="G31" i="3"/>
  <c r="N236" i="9"/>
  <c r="O69" i="3"/>
  <c r="K18" i="5"/>
  <c r="C153" i="9"/>
  <c r="E241" i="9"/>
  <c r="O266" i="9"/>
  <c r="C228" i="9"/>
  <c r="N46" i="9"/>
  <c r="N269" i="9"/>
  <c r="H48" i="9"/>
  <c r="C105" i="9"/>
  <c r="L27" i="9"/>
  <c r="F233" i="9"/>
  <c r="K228" i="9"/>
  <c r="E107" i="9"/>
  <c r="L278" i="9"/>
  <c r="F183" i="9"/>
  <c r="F266" i="9"/>
  <c r="C278" i="9"/>
  <c r="E45" i="9"/>
  <c r="F261" i="9"/>
  <c r="K107" i="9"/>
  <c r="K190" i="9"/>
  <c r="I259" i="9"/>
  <c r="H177" i="9"/>
  <c r="E105" i="9"/>
  <c r="K68" i="3"/>
  <c r="F201" i="9"/>
  <c r="C264" i="9"/>
  <c r="F39" i="9"/>
  <c r="K20" i="3"/>
  <c r="C262" i="9"/>
  <c r="K7" i="5"/>
  <c r="E49" i="9"/>
  <c r="I201" i="9"/>
  <c r="N224" i="9"/>
  <c r="I149" i="9"/>
  <c r="C137" i="9"/>
  <c r="E226" i="9"/>
  <c r="G66" i="3"/>
  <c r="K224" i="9"/>
  <c r="F33" i="9"/>
  <c r="F123" i="9"/>
  <c r="L60" i="9"/>
  <c r="E178" i="9"/>
  <c r="F159" i="9"/>
  <c r="H232" i="9"/>
  <c r="N122" i="9"/>
  <c r="N85" i="9"/>
  <c r="K74" i="9"/>
  <c r="K239" i="9"/>
  <c r="K188" i="9"/>
  <c r="C279" i="9"/>
  <c r="N242" i="9"/>
  <c r="L89" i="9"/>
  <c r="K25" i="3"/>
  <c r="E46" i="9"/>
  <c r="F188" i="9"/>
  <c r="O239" i="9"/>
  <c r="O77" i="9"/>
  <c r="L279" i="9"/>
  <c r="O250" i="9"/>
  <c r="H82" i="9"/>
  <c r="N111" i="9"/>
  <c r="L137" i="9"/>
  <c r="O260" i="9"/>
  <c r="E86" i="9"/>
  <c r="K250" i="9"/>
  <c r="O71" i="9"/>
  <c r="H182" i="9"/>
  <c r="O201" i="9"/>
  <c r="I277" i="9"/>
  <c r="L274" i="9"/>
  <c r="I31" i="9"/>
  <c r="L257" i="9"/>
  <c r="E44" i="9"/>
  <c r="C24" i="9"/>
  <c r="K267" i="9"/>
  <c r="H202" i="9"/>
  <c r="K176" i="9"/>
  <c r="H141" i="9"/>
  <c r="I191" i="9"/>
  <c r="C155" i="9"/>
  <c r="O25" i="9"/>
  <c r="K163" i="9"/>
  <c r="N38" i="9"/>
  <c r="O198" i="9"/>
  <c r="O227" i="9"/>
  <c r="H268" i="9"/>
  <c r="E102" i="9"/>
  <c r="N256" i="9"/>
  <c r="L122" i="9"/>
  <c r="E186" i="9"/>
  <c r="O28" i="9"/>
  <c r="I226" i="9"/>
  <c r="C154" i="9"/>
  <c r="H83" i="9"/>
  <c r="O166" i="9"/>
  <c r="K32" i="9"/>
  <c r="K251" i="9"/>
  <c r="L201" i="9"/>
  <c r="I221" i="9"/>
  <c r="N225" i="9"/>
  <c r="E114" i="9"/>
  <c r="C83" i="9"/>
  <c r="K60" i="3"/>
  <c r="F122" i="9"/>
  <c r="K76" i="9"/>
  <c r="E151" i="9"/>
  <c r="F26" i="9"/>
  <c r="G57" i="3"/>
  <c r="O231" i="9"/>
  <c r="H250" i="9"/>
  <c r="H176" i="9"/>
  <c r="F232" i="9"/>
  <c r="C113" i="9"/>
  <c r="K137" i="9"/>
  <c r="H81" i="9"/>
  <c r="I153" i="9"/>
  <c r="L239" i="9"/>
  <c r="L271" i="9"/>
  <c r="I152" i="9"/>
  <c r="K16" i="5"/>
  <c r="I44" i="9"/>
  <c r="L181" i="9"/>
  <c r="F161" i="9"/>
  <c r="F162" i="9"/>
  <c r="I216" i="9"/>
  <c r="C239" i="9"/>
  <c r="L164" i="9"/>
  <c r="I109" i="9"/>
  <c r="E229" i="9"/>
  <c r="G39" i="3"/>
  <c r="C146" i="9"/>
  <c r="N140" i="9"/>
  <c r="H259" i="9"/>
  <c r="N151" i="9"/>
  <c r="O141" i="9"/>
  <c r="F270" i="9"/>
  <c r="E35" i="9"/>
  <c r="F234" i="9"/>
  <c r="K177" i="9"/>
  <c r="C52" i="9"/>
  <c r="E164" i="9"/>
  <c r="C106" i="9"/>
  <c r="N138" i="9"/>
  <c r="L64" i="9"/>
  <c r="I203" i="9"/>
  <c r="K7" i="3"/>
  <c r="O230" i="9"/>
  <c r="C159" i="9"/>
  <c r="C250" i="9"/>
  <c r="N52" i="9"/>
  <c r="K49" i="9"/>
  <c r="I101" i="9"/>
  <c r="F253" i="9"/>
  <c r="O65" i="3"/>
  <c r="N175" i="9"/>
  <c r="O262" i="9"/>
  <c r="H178" i="9"/>
  <c r="O37" i="9"/>
  <c r="E77" i="9"/>
  <c r="C87" i="9"/>
  <c r="C86" i="9"/>
  <c r="E218" i="9"/>
  <c r="O50" i="3"/>
  <c r="K276" i="9"/>
  <c r="H27" i="9"/>
  <c r="C45" i="9"/>
  <c r="C193" i="9"/>
  <c r="H278" i="9"/>
  <c r="L70" i="9"/>
  <c r="O237" i="9"/>
  <c r="O61" i="3"/>
  <c r="I184" i="9"/>
  <c r="K81" i="9"/>
  <c r="L71" i="9"/>
  <c r="E153" i="9"/>
  <c r="H98" i="9"/>
  <c r="H163" i="9"/>
  <c r="H64" i="9"/>
  <c r="E36" i="9"/>
  <c r="K70" i="9"/>
  <c r="F65" i="9"/>
  <c r="H175" i="9"/>
  <c r="L101" i="9"/>
  <c r="K178" i="9"/>
  <c r="H78" i="9"/>
  <c r="L217" i="9"/>
  <c r="L193" i="9"/>
  <c r="K104" i="9"/>
  <c r="F177" i="9"/>
  <c r="O153" i="9"/>
  <c r="E238" i="9"/>
  <c r="K23" i="3"/>
  <c r="I51" i="9"/>
  <c r="C44" i="9"/>
  <c r="H136" i="9"/>
  <c r="K182" i="9"/>
  <c r="E234" i="9"/>
  <c r="I87" i="9"/>
  <c r="I29" i="9"/>
  <c r="N197" i="9"/>
  <c r="O71" i="3"/>
  <c r="K222" i="9"/>
  <c r="O235" i="9"/>
  <c r="N270" i="9"/>
  <c r="F117" i="9"/>
  <c r="H125" i="9"/>
  <c r="L218" i="9"/>
  <c r="F225" i="9"/>
  <c r="C241" i="9"/>
  <c r="H87" i="9"/>
  <c r="O238" i="9"/>
  <c r="H73" i="9"/>
  <c r="C217" i="9"/>
  <c r="I30" i="9"/>
  <c r="G56" i="3"/>
  <c r="E24" i="9"/>
  <c r="I166" i="9"/>
  <c r="E87" i="9"/>
  <c r="K65" i="3"/>
  <c r="L146" i="9"/>
  <c r="E115" i="9"/>
  <c r="L22" i="9"/>
  <c r="O214" i="9"/>
  <c r="C84" i="9"/>
  <c r="E108" i="9"/>
  <c r="F178" i="9"/>
  <c r="L190" i="9"/>
  <c r="H227" i="9"/>
  <c r="F145" i="9"/>
  <c r="K229" i="9"/>
  <c r="K11" i="5"/>
  <c r="L36" i="9"/>
  <c r="O159" i="9"/>
  <c r="H199" i="9"/>
  <c r="C184" i="9"/>
  <c r="C145" i="9"/>
  <c r="N146" i="9"/>
  <c r="H186" i="9"/>
  <c r="E250" i="9"/>
  <c r="N142" i="9"/>
  <c r="N145" i="9"/>
  <c r="H239" i="9"/>
  <c r="H261" i="9"/>
  <c r="E139" i="9"/>
  <c r="L98" i="9"/>
  <c r="I122" i="9"/>
  <c r="K56" i="3"/>
  <c r="C225" i="9"/>
  <c r="C107" i="9"/>
  <c r="E29" i="9"/>
  <c r="O179" i="9"/>
  <c r="F197" i="9"/>
  <c r="F274" i="9"/>
  <c r="L145" i="9"/>
  <c r="N144" i="9"/>
  <c r="N112" i="9"/>
  <c r="E276" i="9"/>
  <c r="N119" i="9"/>
  <c r="F155" i="9"/>
  <c r="C23" i="9"/>
  <c r="K99" i="9"/>
  <c r="H65" i="9"/>
  <c r="O258" i="9"/>
  <c r="L224" i="9"/>
  <c r="E145" i="9"/>
  <c r="E259" i="9"/>
  <c r="K46" i="3"/>
  <c r="O105" i="9"/>
  <c r="H219" i="9"/>
  <c r="E140" i="9"/>
  <c r="L136" i="9"/>
  <c r="F118" i="9"/>
  <c r="H217" i="9"/>
  <c r="F152" i="9"/>
  <c r="K230" i="9"/>
  <c r="I41" i="9"/>
  <c r="O236" i="9"/>
  <c r="E106" i="9"/>
  <c r="O189" i="9"/>
  <c r="K266" i="9"/>
  <c r="I52" i="9"/>
  <c r="C50" i="9"/>
  <c r="I69" i="9"/>
  <c r="K17" i="5"/>
  <c r="O263" i="9"/>
  <c r="G69" i="3"/>
  <c r="O226" i="9"/>
  <c r="C73" i="9"/>
  <c r="I89" i="9"/>
  <c r="K41" i="3"/>
  <c r="N254" i="9"/>
  <c r="C226" i="9"/>
  <c r="H162" i="9"/>
  <c r="E224" i="9"/>
  <c r="O217" i="9"/>
  <c r="N104" i="9"/>
  <c r="E194" i="9"/>
  <c r="O41" i="3"/>
  <c r="I100" i="9"/>
  <c r="K24" i="9"/>
  <c r="K27" i="9"/>
  <c r="H260" i="9"/>
  <c r="N160" i="9"/>
  <c r="F114" i="9"/>
  <c r="K221" i="9"/>
  <c r="E148" i="9"/>
  <c r="N271" i="9"/>
  <c r="E242" i="9"/>
  <c r="O219" i="9"/>
  <c r="I142" i="9"/>
  <c r="F45" i="9"/>
  <c r="E25" i="9"/>
  <c r="F63" i="9"/>
  <c r="N234" i="9"/>
  <c r="O267" i="9"/>
  <c r="I219" i="9"/>
  <c r="L259" i="9"/>
  <c r="H108" i="9"/>
  <c r="H204" i="9"/>
  <c r="C80" i="9"/>
  <c r="L159" i="9"/>
  <c r="E162" i="9"/>
  <c r="E214" i="9"/>
  <c r="H71" i="9"/>
  <c r="I234" i="9"/>
  <c r="G49" i="3"/>
  <c r="O31" i="3"/>
  <c r="C259" i="9"/>
  <c r="E204" i="9"/>
  <c r="O49" i="3"/>
  <c r="O233" i="9"/>
  <c r="C240" i="9"/>
  <c r="I180" i="9"/>
  <c r="L34" i="9"/>
  <c r="F158" i="9"/>
  <c r="K147" i="9"/>
  <c r="E181" i="9"/>
  <c r="L109" i="9"/>
  <c r="C189" i="9"/>
  <c r="K34" i="3"/>
  <c r="O68" i="9"/>
  <c r="I146" i="9"/>
  <c r="H79" i="9"/>
  <c r="L215" i="9"/>
  <c r="I112" i="9"/>
  <c r="H142" i="9"/>
  <c r="H119" i="9"/>
  <c r="L24" i="9"/>
  <c r="N213" i="9"/>
  <c r="F89" i="9"/>
  <c r="O255" i="9"/>
  <c r="E111" i="9"/>
  <c r="E257" i="9"/>
  <c r="O273" i="9"/>
  <c r="O155" i="9"/>
  <c r="H139" i="9"/>
  <c r="C272" i="9"/>
  <c r="C75" i="9"/>
  <c r="K79" i="9"/>
  <c r="H187" i="9"/>
  <c r="F262" i="9"/>
  <c r="N212" i="9"/>
  <c r="K242" i="9"/>
  <c r="F22" i="9"/>
  <c r="E98" i="9"/>
  <c r="N200" i="9"/>
  <c r="N49" i="9"/>
  <c r="O253" i="9"/>
  <c r="K39" i="3"/>
  <c r="F230" i="9"/>
  <c r="N276" i="9"/>
  <c r="E174" i="9"/>
  <c r="E212" i="9"/>
  <c r="H228" i="9"/>
  <c r="K202" i="9"/>
  <c r="C261" i="9"/>
  <c r="H47" i="9"/>
  <c r="E72" i="9"/>
  <c r="O89" i="9"/>
  <c r="E254" i="9"/>
  <c r="N139" i="9"/>
  <c r="C150" i="9"/>
  <c r="O176" i="9"/>
  <c r="E267" i="9"/>
  <c r="L150" i="9"/>
  <c r="C157" i="9"/>
  <c r="E271" i="9"/>
  <c r="E183" i="9"/>
  <c r="E198" i="9"/>
  <c r="K13" i="5"/>
  <c r="N182" i="9"/>
  <c r="I182" i="9"/>
  <c r="L47" i="9"/>
  <c r="L68" i="9"/>
  <c r="F116" i="9"/>
  <c r="K278" i="9"/>
  <c r="H203" i="9"/>
  <c r="C62" i="9"/>
  <c r="K217" i="9"/>
  <c r="O86" i="9"/>
  <c r="L152" i="9"/>
  <c r="F106" i="9"/>
  <c r="K126" i="9"/>
  <c r="C63" i="9"/>
  <c r="K41" i="9"/>
  <c r="G68" i="3"/>
  <c r="F64" i="9"/>
  <c r="K64" i="9"/>
  <c r="C139" i="9"/>
  <c r="F190" i="9"/>
  <c r="E154" i="9"/>
  <c r="F149" i="9"/>
  <c r="I224" i="9"/>
  <c r="O113" i="9"/>
  <c r="L39" i="9"/>
  <c r="L90" i="9"/>
  <c r="N90" i="9"/>
  <c r="O137" i="9"/>
  <c r="L103" i="9"/>
  <c r="O116" i="9"/>
  <c r="I223" i="9"/>
  <c r="L40" i="9"/>
  <c r="O274" i="9"/>
  <c r="K31" i="9"/>
  <c r="N227" i="9"/>
  <c r="H24" i="9"/>
  <c r="H99" i="9"/>
  <c r="C136" i="9"/>
  <c r="I26" i="9"/>
  <c r="H253" i="9"/>
  <c r="L87" i="9"/>
  <c r="L242" i="9"/>
  <c r="F166" i="9"/>
  <c r="L106" i="9"/>
  <c r="K42" i="3"/>
  <c r="O41" i="9"/>
  <c r="N255" i="9"/>
  <c r="F250" i="9"/>
  <c r="K258" i="9"/>
  <c r="F278" i="9"/>
  <c r="C178" i="9"/>
  <c r="E235" i="9"/>
  <c r="C43" i="9"/>
  <c r="G75" i="3"/>
  <c r="N110" i="9"/>
  <c r="O33" i="9"/>
  <c r="C149" i="9"/>
  <c r="C71" i="9"/>
  <c r="K255" i="9"/>
  <c r="N163" i="9"/>
  <c r="N66" i="9"/>
  <c r="N127" i="9"/>
  <c r="F80" i="9"/>
  <c r="K111" i="9"/>
  <c r="L222" i="9"/>
  <c r="F203" i="9"/>
  <c r="N231" i="9"/>
  <c r="C163" i="9"/>
  <c r="K153" i="9"/>
  <c r="H235" i="9"/>
  <c r="O37" i="3"/>
  <c r="K85" i="9"/>
  <c r="O98" i="9"/>
  <c r="O87" i="9"/>
  <c r="I24" i="9"/>
  <c r="O140" i="9"/>
  <c r="C89" i="9"/>
  <c r="H146" i="9"/>
  <c r="L32" i="9"/>
  <c r="F192" i="9"/>
  <c r="K174" i="9"/>
  <c r="N45" i="9"/>
  <c r="O145" i="9"/>
  <c r="H126" i="9"/>
  <c r="O199" i="9"/>
  <c r="N226" i="9"/>
  <c r="L191" i="9"/>
  <c r="H31" i="9"/>
  <c r="F260" i="9"/>
  <c r="N126" i="9"/>
  <c r="N161" i="9"/>
  <c r="E117" i="9"/>
  <c r="K66" i="3"/>
  <c r="I45" i="9"/>
  <c r="K31" i="3"/>
  <c r="K161" i="9"/>
  <c r="C138" i="9"/>
  <c r="L226" i="9"/>
  <c r="I165" i="9"/>
  <c r="N118" i="9"/>
  <c r="O108" i="9"/>
  <c r="O272" i="9"/>
  <c r="K127" i="9"/>
  <c r="O30" i="9"/>
  <c r="F32" i="9"/>
  <c r="I63" i="9"/>
  <c r="H189" i="9"/>
  <c r="K201" i="9"/>
  <c r="F174" i="9"/>
  <c r="C267" i="9"/>
  <c r="H122" i="9"/>
  <c r="C68" i="9"/>
  <c r="I83" i="9"/>
  <c r="E263" i="9"/>
  <c r="C275" i="9"/>
  <c r="C117" i="9"/>
  <c r="N228" i="9"/>
  <c r="N62" i="9"/>
  <c r="K71" i="3"/>
  <c r="I157" i="9"/>
  <c r="E152" i="9"/>
  <c r="O125" i="9"/>
  <c r="K9" i="5"/>
  <c r="L216" i="9"/>
  <c r="N220" i="9"/>
  <c r="C64" i="9"/>
  <c r="L163" i="9"/>
  <c r="N154" i="9"/>
  <c r="F40" i="9"/>
  <c r="I27" i="9"/>
  <c r="H240" i="9"/>
  <c r="F44" i="9"/>
  <c r="H269" i="9"/>
  <c r="I141" i="9"/>
  <c r="C257" i="9"/>
  <c r="I271" i="9"/>
  <c r="L100" i="9"/>
  <c r="C164" i="9"/>
  <c r="E157" i="9"/>
  <c r="C201" i="9"/>
  <c r="L157" i="9"/>
  <c r="C216" i="9"/>
  <c r="I107" i="9"/>
  <c r="K44" i="9"/>
  <c r="C60" i="9"/>
  <c r="C237" i="9"/>
  <c r="H238" i="9"/>
  <c r="N50" i="9"/>
  <c r="E47" i="9"/>
  <c r="I159" i="9"/>
  <c r="F61" i="9"/>
  <c r="H127" i="9"/>
  <c r="H143" i="9"/>
  <c r="N194" i="9"/>
  <c r="F228" i="9"/>
  <c r="E149" i="9"/>
  <c r="I42" i="9"/>
  <c r="I80" i="9"/>
  <c r="N148" i="9"/>
  <c r="C65" i="9"/>
  <c r="K277" i="9"/>
  <c r="O251" i="9"/>
  <c r="C36" i="9"/>
  <c r="E158" i="9"/>
  <c r="H184" i="9"/>
  <c r="L234" i="9"/>
  <c r="K139" i="9"/>
  <c r="K42" i="9"/>
  <c r="F62" i="9"/>
  <c r="E124" i="9"/>
  <c r="K16" i="3"/>
  <c r="E52" i="9"/>
  <c r="C212" i="9"/>
  <c r="L118" i="9"/>
  <c r="H102" i="9"/>
  <c r="I164" i="9"/>
  <c r="E76" i="9"/>
  <c r="C252" i="9"/>
  <c r="N252" i="9"/>
  <c r="H44" i="9"/>
  <c r="O99" i="9"/>
  <c r="L105" i="9"/>
  <c r="L62" i="9"/>
  <c r="K24" i="3"/>
  <c r="C274" i="9"/>
  <c r="O63" i="9"/>
  <c r="N25" i="9"/>
  <c r="C74" i="9"/>
  <c r="L51" i="9"/>
  <c r="I116" i="9"/>
  <c r="K175" i="9"/>
  <c r="F87" i="9"/>
  <c r="O148" i="9"/>
  <c r="F187" i="9"/>
  <c r="O275" i="9"/>
  <c r="I71" i="9"/>
  <c r="H45" i="9"/>
  <c r="O106" i="9"/>
  <c r="K80" i="9"/>
  <c r="L253" i="9"/>
  <c r="C182" i="9"/>
  <c r="E67" i="9"/>
  <c r="O46" i="9"/>
  <c r="I48" i="9"/>
  <c r="H274" i="9"/>
  <c r="I68" i="9"/>
  <c r="I253" i="9"/>
  <c r="L147" i="9"/>
  <c r="L111" i="9"/>
  <c r="E104" i="9"/>
  <c r="O48" i="3"/>
  <c r="L219" i="9"/>
  <c r="N241" i="9"/>
  <c r="K160" i="9"/>
  <c r="K43" i="3"/>
  <c r="H147" i="9"/>
  <c r="L37" i="9"/>
  <c r="O194" i="9"/>
  <c r="L200" i="9"/>
  <c r="E220" i="9"/>
  <c r="F184" i="9"/>
  <c r="K192" i="9"/>
  <c r="H220" i="9"/>
  <c r="O32" i="9"/>
  <c r="F27" i="9"/>
  <c r="I145" i="9"/>
  <c r="K77" i="9"/>
  <c r="L236" i="9"/>
  <c r="O212" i="9"/>
  <c r="L192" i="9"/>
  <c r="K223" i="9"/>
  <c r="E185" i="9"/>
  <c r="I174" i="9"/>
  <c r="I240" i="9"/>
  <c r="I86" i="9"/>
  <c r="F194" i="9"/>
  <c r="E103" i="9"/>
  <c r="H149" i="9"/>
  <c r="O174" i="9"/>
  <c r="F235" i="9"/>
  <c r="O115" i="9"/>
  <c r="E39" i="9"/>
  <c r="L63" i="9"/>
  <c r="L139" i="9"/>
  <c r="K50" i="3"/>
  <c r="N277" i="9"/>
  <c r="K58" i="3"/>
  <c r="N23" i="9"/>
  <c r="K73" i="3"/>
  <c r="K6" i="3"/>
  <c r="K30" i="9"/>
  <c r="L254" i="9"/>
  <c r="L138" i="9"/>
  <c r="E264" i="9"/>
  <c r="K86" i="9"/>
  <c r="E89" i="9"/>
  <c r="K195" i="9"/>
  <c r="L269" i="9"/>
  <c r="L225" i="9"/>
  <c r="K66" i="9"/>
  <c r="K181" i="9"/>
  <c r="I73" i="9"/>
  <c r="O156" i="9"/>
  <c r="K273" i="9"/>
  <c r="N199" i="9"/>
  <c r="N79" i="9"/>
  <c r="L180" i="9"/>
  <c r="E280" i="9"/>
  <c r="G58" i="3"/>
  <c r="L275" i="9"/>
  <c r="K275" i="9"/>
  <c r="F74" i="9"/>
  <c r="H191" i="9"/>
  <c r="C195" i="9"/>
  <c r="F85" i="9"/>
  <c r="O271" i="9"/>
  <c r="I177" i="9"/>
  <c r="E200" i="9"/>
  <c r="C42" i="9"/>
  <c r="K241" i="9"/>
  <c r="K193" i="9"/>
  <c r="C258" i="9"/>
  <c r="I241" i="9"/>
  <c r="O264" i="9"/>
  <c r="K37" i="3"/>
  <c r="L149" i="9"/>
  <c r="H23" i="9"/>
  <c r="F236" i="9"/>
  <c r="K140" i="9"/>
  <c r="G73" i="3"/>
  <c r="N102" i="9"/>
  <c r="N230" i="9"/>
  <c r="K22" i="5"/>
  <c r="C236" i="9"/>
  <c r="L174" i="9"/>
  <c r="K43" i="9"/>
  <c r="I35" i="9"/>
  <c r="I200" i="9"/>
  <c r="L83" i="9"/>
  <c r="E239" i="9"/>
  <c r="C202" i="9"/>
  <c r="I270" i="9"/>
  <c r="L276" i="9"/>
  <c r="E73" i="9"/>
  <c r="O81" i="9"/>
  <c r="C110" i="9"/>
  <c r="I279" i="9"/>
  <c r="C200" i="9"/>
  <c r="N125" i="9"/>
  <c r="H273" i="9"/>
  <c r="N217" i="9"/>
  <c r="I117" i="9"/>
  <c r="G37" i="3"/>
  <c r="F34" i="9"/>
  <c r="I40" i="9"/>
  <c r="I128" i="9"/>
  <c r="H215" i="9"/>
  <c r="K128" i="9"/>
  <c r="F103" i="9"/>
  <c r="F71" i="9"/>
  <c r="I74" i="9"/>
  <c r="O144" i="9"/>
  <c r="G38" i="3"/>
  <c r="N63" i="9"/>
  <c r="L112" i="9"/>
  <c r="F121" i="9"/>
  <c r="I103" i="9"/>
  <c r="K180" i="9"/>
  <c r="N80" i="9"/>
  <c r="H39" i="9"/>
  <c r="H270" i="9"/>
  <c r="K87" i="9"/>
  <c r="K122" i="9"/>
  <c r="O70" i="3"/>
  <c r="N35" i="9"/>
  <c r="N176" i="9"/>
  <c r="N24" i="9"/>
  <c r="H43" i="9"/>
  <c r="H226" i="9"/>
  <c r="F112" i="9"/>
  <c r="I268" i="9"/>
  <c r="K44" i="3"/>
  <c r="K219" i="9"/>
  <c r="K256" i="9"/>
  <c r="K101" i="9"/>
  <c r="F202" i="9"/>
  <c r="I49" i="9"/>
  <c r="E180" i="9"/>
  <c r="N184" i="9"/>
  <c r="L43" i="9"/>
  <c r="K19" i="3"/>
  <c r="I123" i="9"/>
  <c r="C233" i="9"/>
  <c r="F144" i="9"/>
  <c r="I190" i="9"/>
  <c r="L49" i="9"/>
  <c r="N191" i="9"/>
  <c r="K114" i="9"/>
  <c r="N273" i="9"/>
  <c r="L119" i="9"/>
  <c r="H70" i="9"/>
  <c r="I98" i="9"/>
  <c r="F31" i="9"/>
  <c r="L140" i="9"/>
  <c r="F241" i="9"/>
  <c r="K20" i="5"/>
  <c r="C235" i="9"/>
  <c r="O193" i="9"/>
  <c r="E90" i="9"/>
  <c r="N239" i="9"/>
  <c r="L188" i="9"/>
  <c r="L74" i="9"/>
  <c r="I102" i="9"/>
  <c r="K12" i="5"/>
  <c r="N70" i="9"/>
  <c r="O104" i="9"/>
  <c r="O242" i="9"/>
  <c r="I144" i="9"/>
  <c r="N103" i="9"/>
  <c r="E193" i="9"/>
  <c r="K203" i="9"/>
  <c r="K40" i="9"/>
  <c r="O123" i="9"/>
  <c r="F229" i="9"/>
  <c r="H224" i="9"/>
  <c r="N71" i="9"/>
  <c r="L272" i="9"/>
  <c r="O66" i="3"/>
  <c r="O261" i="9"/>
  <c r="L33" i="9"/>
  <c r="O187" i="9"/>
  <c r="I104" i="9"/>
  <c r="F139" i="9"/>
  <c r="O43" i="9"/>
  <c r="C215" i="9"/>
  <c r="L230" i="9"/>
  <c r="H107" i="9"/>
  <c r="C28" i="9"/>
  <c r="I105" i="9"/>
  <c r="E109" i="9"/>
  <c r="G32" i="3"/>
  <c r="L25" i="9"/>
  <c r="E126" i="9"/>
  <c r="N221" i="9"/>
  <c r="C156" i="9"/>
  <c r="H105" i="9"/>
  <c r="O73" i="3"/>
  <c r="K109" i="9"/>
  <c r="L202" i="9"/>
  <c r="H60" i="9"/>
  <c r="K146" i="9"/>
  <c r="E219" i="9"/>
  <c r="F115" i="9"/>
  <c r="H66" i="9"/>
  <c r="I231" i="9"/>
  <c r="H110" i="9"/>
  <c r="L223" i="9"/>
  <c r="N216" i="9"/>
  <c r="I33" i="9"/>
  <c r="F109" i="9"/>
  <c r="N108" i="9"/>
  <c r="L176" i="9"/>
  <c r="O80" i="9"/>
  <c r="K212" i="9"/>
  <c r="F36" i="9"/>
  <c r="I175" i="9"/>
  <c r="H114" i="9"/>
  <c r="C112" i="9"/>
  <c r="I196" i="9"/>
  <c r="I67" i="9"/>
  <c r="E216" i="9"/>
  <c r="L238" i="9"/>
  <c r="F220" i="9"/>
  <c r="O259" i="9"/>
  <c r="O120" i="9"/>
  <c r="I119" i="9"/>
  <c r="E69" i="9"/>
  <c r="N174" i="9"/>
  <c r="K265" i="9"/>
  <c r="E143" i="9"/>
  <c r="H128" i="9"/>
  <c r="C185" i="9"/>
  <c r="H84" i="9"/>
  <c r="K159" i="9"/>
  <c r="K259" i="9"/>
  <c r="C30" i="9"/>
  <c r="H229" i="9"/>
  <c r="I218" i="9"/>
  <c r="F276" i="9"/>
  <c r="F25" i="9"/>
  <c r="F24" i="9"/>
  <c r="I232" i="9"/>
  <c r="N67" i="9"/>
  <c r="O33" i="3"/>
  <c r="K38" i="3"/>
  <c r="I227" i="9"/>
  <c r="C103" i="9"/>
  <c r="L117" i="9"/>
  <c r="H218" i="9"/>
  <c r="H257" i="9"/>
  <c r="N238" i="9"/>
  <c r="K36" i="9"/>
  <c r="F189" i="9"/>
  <c r="I70" i="9"/>
  <c r="F267" i="9"/>
  <c r="C40" i="9"/>
  <c r="H225" i="9"/>
  <c r="N223" i="9"/>
  <c r="N44" i="9"/>
  <c r="H37" i="9"/>
  <c r="G35" i="3"/>
  <c r="K199" i="9"/>
  <c r="C204" i="9"/>
  <c r="F127" i="9"/>
  <c r="I280" i="9"/>
  <c r="H49" i="9"/>
  <c r="L29" i="9"/>
  <c r="K165" i="9"/>
  <c r="E31" i="9"/>
  <c r="L182" i="9"/>
  <c r="E23" i="9"/>
  <c r="F60" i="9"/>
  <c r="K100" i="9"/>
  <c r="E101" i="9"/>
  <c r="H113" i="9"/>
  <c r="C197" i="9"/>
  <c r="E163" i="9"/>
  <c r="E110" i="9"/>
  <c r="C165" i="9"/>
  <c r="L107" i="9"/>
  <c r="I155" i="9"/>
  <c r="O229" i="9"/>
  <c r="O109" i="9"/>
  <c r="E78" i="9"/>
  <c r="O73" i="9"/>
  <c r="I28" i="9"/>
  <c r="E61" i="9"/>
  <c r="I230" i="9"/>
  <c r="I127" i="9"/>
  <c r="C128" i="9"/>
  <c r="L186" i="9"/>
  <c r="E253" i="9"/>
  <c r="F193" i="9"/>
  <c r="K232" i="9"/>
  <c r="K14" i="5"/>
  <c r="O38" i="9"/>
  <c r="I61" i="9"/>
  <c r="N187" i="9"/>
  <c r="O45" i="9"/>
  <c r="H280" i="9"/>
  <c r="K113" i="9"/>
  <c r="L78" i="9"/>
  <c r="L23" i="9"/>
  <c r="E112" i="9"/>
  <c r="H26" i="9"/>
  <c r="F163" i="9"/>
  <c r="G60" i="3"/>
  <c r="I76" i="9"/>
  <c r="E279" i="9"/>
  <c r="L221" i="9"/>
  <c r="I262" i="9"/>
  <c r="H144" i="9"/>
  <c r="K157" i="9"/>
  <c r="O103" i="9"/>
  <c r="I147" i="9"/>
  <c r="K11" i="3"/>
  <c r="K263" i="9"/>
  <c r="K15" i="5"/>
  <c r="N157" i="9"/>
  <c r="O42" i="9"/>
  <c r="O181" i="9"/>
  <c r="K166" i="9"/>
  <c r="I214" i="9"/>
  <c r="N189" i="9"/>
  <c r="F23" i="9"/>
  <c r="N78" i="9"/>
  <c r="K22" i="3"/>
  <c r="C238" i="9"/>
  <c r="O101" i="9"/>
  <c r="E237" i="9"/>
  <c r="C69" i="9"/>
  <c r="N77" i="9"/>
  <c r="K50" i="9"/>
  <c r="N156" i="9"/>
  <c r="N162" i="9"/>
  <c r="E202" i="9"/>
  <c r="K261" i="9"/>
  <c r="O177" i="9"/>
  <c r="I238" i="9"/>
  <c r="K46" i="9"/>
  <c r="I255" i="9"/>
  <c r="E40" i="9"/>
  <c r="F157" i="9"/>
  <c r="N121" i="9"/>
  <c r="N74" i="9"/>
  <c r="E179" i="9"/>
  <c r="K90" i="9"/>
  <c r="L35" i="9"/>
  <c r="N68" i="9"/>
  <c r="K200" i="9"/>
  <c r="K71" i="9"/>
  <c r="E228" i="9"/>
  <c r="E113" i="9"/>
  <c r="O74" i="9"/>
  <c r="N237" i="9"/>
  <c r="O110" i="9"/>
  <c r="O160" i="9"/>
  <c r="I237" i="9"/>
  <c r="F199" i="9"/>
  <c r="H264" i="9"/>
  <c r="N155" i="9"/>
  <c r="H181" i="9"/>
  <c r="E118" i="9"/>
  <c r="C254" i="9"/>
  <c r="N136" i="9"/>
  <c r="I220" i="9"/>
  <c r="H183" i="9"/>
  <c r="K75" i="3"/>
  <c r="K21" i="3"/>
  <c r="C101" i="9"/>
  <c r="H120" i="9"/>
  <c r="C231" i="9"/>
  <c r="H63" i="9"/>
  <c r="I43" i="9"/>
  <c r="L162" i="9"/>
  <c r="I111" i="9"/>
  <c r="O147" i="9"/>
  <c r="K189" i="9"/>
  <c r="H265" i="9"/>
  <c r="E161" i="9"/>
  <c r="I199" i="9"/>
  <c r="H158" i="9"/>
  <c r="I276" i="9"/>
  <c r="I183" i="9"/>
  <c r="I62" i="9"/>
  <c r="O126" i="9"/>
  <c r="I233" i="9"/>
  <c r="L151" i="9"/>
  <c r="H36" i="9"/>
  <c r="C142" i="9"/>
  <c r="F126" i="9"/>
  <c r="G34" i="3"/>
  <c r="N87" i="9"/>
  <c r="H254" i="9"/>
  <c r="F238" i="9"/>
  <c r="F195" i="9"/>
  <c r="C51" i="9"/>
  <c r="I192" i="9"/>
  <c r="C98" i="9"/>
  <c r="I46" i="9"/>
  <c r="E63" i="9"/>
  <c r="H266" i="9"/>
  <c r="O220" i="9"/>
  <c r="O175" i="9"/>
  <c r="F277" i="9"/>
  <c r="K112" i="9"/>
  <c r="N137" i="9"/>
  <c r="F73" i="9"/>
  <c r="F217" i="9"/>
  <c r="O136" i="9"/>
  <c r="O127" i="9"/>
  <c r="N81" i="9"/>
  <c r="C41" i="9"/>
  <c r="L67" i="9"/>
  <c r="O215" i="9"/>
  <c r="H242" i="9"/>
  <c r="H258" i="9"/>
  <c r="K164" i="9"/>
  <c r="F107" i="9"/>
  <c r="K98" i="9"/>
  <c r="F137" i="9"/>
  <c r="E82" i="9"/>
  <c r="O265" i="9"/>
  <c r="O64" i="3"/>
  <c r="F231" i="9"/>
  <c r="K14" i="3"/>
  <c r="K233" i="9"/>
  <c r="I79" i="9"/>
  <c r="C126" i="9"/>
  <c r="C115" i="9"/>
  <c r="H123" i="9"/>
  <c r="O45" i="3"/>
  <c r="L232" i="9"/>
  <c r="K47" i="3"/>
  <c r="K185" i="9"/>
  <c r="E261" i="9"/>
  <c r="I72" i="9"/>
  <c r="E199" i="9"/>
  <c r="K123" i="9"/>
  <c r="K60" i="9"/>
  <c r="K213" i="9"/>
  <c r="I154" i="9"/>
  <c r="E125" i="9"/>
  <c r="O60" i="3"/>
  <c r="K120" i="9"/>
  <c r="C203" i="9"/>
  <c r="H152" i="9"/>
  <c r="E236" i="9"/>
  <c r="E272" i="9"/>
  <c r="O221" i="9"/>
  <c r="O278" i="9"/>
  <c r="L156" i="9"/>
  <c r="E155" i="9"/>
  <c r="H30" i="9"/>
  <c r="N106" i="9"/>
  <c r="H51" i="9"/>
  <c r="O43" i="3"/>
  <c r="I125" i="9"/>
  <c r="F143" i="9"/>
  <c r="F69" i="9"/>
  <c r="N159" i="9"/>
  <c r="I269" i="9"/>
  <c r="H275" i="9"/>
  <c r="L42" i="9"/>
  <c r="G43" i="3"/>
  <c r="C188" i="9"/>
  <c r="K25" i="5"/>
  <c r="L155" i="9"/>
  <c r="F175" i="9"/>
  <c r="L72" i="9"/>
  <c r="I124" i="9"/>
  <c r="K10" i="5"/>
  <c r="O163" i="9"/>
  <c r="I187" i="9"/>
  <c r="G63" i="3"/>
  <c r="L102" i="9"/>
  <c r="O47" i="3"/>
  <c r="E79" i="9"/>
  <c r="C125" i="9"/>
  <c r="F269" i="9"/>
  <c r="L260" i="9"/>
  <c r="K49" i="3"/>
  <c r="O44" i="9"/>
  <c r="K67" i="3"/>
  <c r="C230" i="9"/>
  <c r="I121" i="9"/>
  <c r="C70" i="9"/>
  <c r="H68" i="9"/>
  <c r="O200" i="9"/>
  <c r="H100" i="9"/>
  <c r="K78" i="9"/>
  <c r="O157" i="9"/>
  <c r="C280" i="9"/>
  <c r="O122" i="9"/>
  <c r="I114" i="9"/>
  <c r="H188" i="9"/>
  <c r="O32" i="3"/>
  <c r="G64" i="3"/>
  <c r="K197" i="9"/>
  <c r="G40" i="3"/>
  <c r="H117" i="9"/>
  <c r="C199" i="9"/>
  <c r="N123" i="9"/>
  <c r="H256" i="9"/>
  <c r="I136" i="9"/>
  <c r="C79" i="9"/>
  <c r="C38" i="9"/>
  <c r="N250" i="9"/>
  <c r="F273" i="9"/>
  <c r="N89" i="9"/>
  <c r="F222" i="9"/>
  <c r="H89" i="9"/>
  <c r="N166" i="9"/>
  <c r="C162" i="9"/>
  <c r="L194" i="9"/>
  <c r="E51" i="9"/>
  <c r="E64" i="9"/>
  <c r="K35" i="9"/>
  <c r="F252" i="9"/>
  <c r="H35" i="9"/>
  <c r="C102" i="9"/>
  <c r="K158" i="9"/>
  <c r="K257" i="9"/>
  <c r="N278" i="9"/>
  <c r="E251" i="9"/>
  <c r="C183" i="9"/>
  <c r="C269" i="9"/>
  <c r="L85" i="9"/>
  <c r="G62" i="3"/>
  <c r="K254" i="9"/>
  <c r="N266" i="9"/>
  <c r="L183" i="9"/>
  <c r="E231" i="9"/>
  <c r="N275" i="9"/>
  <c r="E266" i="9"/>
  <c r="H214" i="9"/>
  <c r="I50" i="9"/>
  <c r="K179" i="9"/>
  <c r="K116" i="9"/>
  <c r="O112" i="9"/>
  <c r="E75" i="9"/>
  <c r="I77" i="9"/>
  <c r="F242" i="9"/>
  <c r="E26" i="9"/>
  <c r="L277" i="9"/>
  <c r="L177" i="9"/>
  <c r="H236" i="9"/>
  <c r="K226" i="9"/>
  <c r="K72" i="3"/>
  <c r="L113" i="9"/>
  <c r="O67" i="9"/>
  <c r="L197" i="9"/>
  <c r="C270" i="9"/>
  <c r="I202" i="9"/>
  <c r="C124" i="9"/>
  <c r="K6" i="5"/>
  <c r="N41" i="9"/>
  <c r="O203" i="9"/>
  <c r="O117" i="9"/>
  <c r="L251" i="9"/>
  <c r="I263" i="9"/>
  <c r="C82" i="9"/>
  <c r="H165" i="9"/>
  <c r="I151" i="9"/>
  <c r="F125" i="9"/>
  <c r="L195" i="9"/>
  <c r="L108" i="9"/>
  <c r="H111" i="9"/>
  <c r="N86" i="9"/>
  <c r="G36" i="3"/>
  <c r="N48" i="9"/>
  <c r="O165" i="9"/>
  <c r="O139" i="9"/>
  <c r="E262" i="9"/>
  <c r="O128" i="9"/>
  <c r="I120" i="9"/>
  <c r="L175" i="9"/>
  <c r="K155" i="9"/>
  <c r="E269" i="9"/>
  <c r="H174" i="9"/>
  <c r="C213" i="9"/>
  <c r="F214" i="9"/>
  <c r="F216" i="9"/>
  <c r="F142" i="9"/>
  <c r="E28" i="9"/>
  <c r="L214" i="9"/>
  <c r="L256" i="9"/>
  <c r="N196" i="9"/>
  <c r="E33" i="9"/>
  <c r="F224" i="9"/>
  <c r="O24" i="9"/>
  <c r="L110" i="9"/>
  <c r="K74" i="3"/>
  <c r="L262" i="9"/>
  <c r="I274" i="9"/>
  <c r="C29" i="9"/>
  <c r="O100" i="9"/>
  <c r="K125" i="9"/>
  <c r="H88" i="9"/>
  <c r="E197" i="9"/>
  <c r="F258" i="9"/>
  <c r="F79" i="9"/>
  <c r="O213" i="9"/>
  <c r="O67" i="3"/>
  <c r="I272" i="9"/>
  <c r="I275" i="9"/>
  <c r="H46" i="9"/>
  <c r="F98" i="9"/>
  <c r="L213" i="9"/>
  <c r="K280" i="9"/>
  <c r="F67" i="9"/>
  <c r="K36" i="3"/>
  <c r="I47" i="9"/>
  <c r="L280" i="9"/>
  <c r="O65" i="9"/>
  <c r="I186" i="9"/>
  <c r="E38" i="9"/>
  <c r="G65" i="3"/>
  <c r="K194" i="9"/>
  <c r="I23" i="9"/>
  <c r="L86" i="9"/>
  <c r="O69" i="9"/>
  <c r="E156" i="9"/>
  <c r="I158" i="9"/>
  <c r="K13" i="3"/>
  <c r="H86" i="9"/>
  <c r="E182" i="9"/>
  <c r="K103" i="9"/>
  <c r="E184" i="9"/>
  <c r="N100" i="9"/>
  <c r="K40" i="3"/>
  <c r="O118" i="9"/>
  <c r="L65" i="9"/>
  <c r="L189" i="9"/>
  <c r="N257" i="9"/>
  <c r="I265" i="9"/>
  <c r="K47" i="9"/>
  <c r="H29" i="9"/>
  <c r="O143" i="9"/>
  <c r="I140" i="9"/>
  <c r="K29" i="9"/>
  <c r="L73" i="9"/>
  <c r="L233" i="9"/>
  <c r="O277" i="9"/>
  <c r="O62" i="3"/>
  <c r="E74" i="9"/>
  <c r="I162" i="9"/>
  <c r="K48" i="9"/>
  <c r="I235" i="9"/>
  <c r="N113" i="9"/>
  <c r="O107" i="9"/>
  <c r="O70" i="9"/>
  <c r="I236" i="9"/>
  <c r="L115" i="9"/>
  <c r="H106" i="9"/>
  <c r="O114" i="9"/>
  <c r="F176" i="9"/>
  <c r="L26" i="9"/>
  <c r="K262" i="9"/>
  <c r="F119" i="9"/>
  <c r="H52" i="9"/>
  <c r="F30" i="9"/>
  <c r="E176" i="9"/>
  <c r="F237" i="9"/>
  <c r="N264" i="9"/>
  <c r="G72" i="3"/>
  <c r="I72" i="3" l="1"/>
  <c r="H72" i="3"/>
  <c r="J72" i="3"/>
  <c r="P62" i="3"/>
  <c r="Q62" i="3"/>
  <c r="R62" i="3"/>
  <c r="M40" i="3"/>
  <c r="N40" i="3"/>
  <c r="L40" i="3"/>
  <c r="M13" i="3"/>
  <c r="L13" i="3"/>
  <c r="N13" i="3"/>
  <c r="I65" i="3"/>
  <c r="J65" i="3"/>
  <c r="H65" i="3"/>
  <c r="N36" i="3"/>
  <c r="M36" i="3"/>
  <c r="L36" i="3"/>
  <c r="F130" i="9"/>
  <c r="E130" i="9" s="1"/>
  <c r="D6" i="9" s="1"/>
  <c r="P67" i="3"/>
  <c r="Q67" i="3"/>
  <c r="R67" i="3"/>
  <c r="J29" i="9"/>
  <c r="M29" i="9"/>
  <c r="G29" i="9"/>
  <c r="D29" i="9"/>
  <c r="L74" i="3"/>
  <c r="M74" i="3"/>
  <c r="N74" i="3"/>
  <c r="M213" i="9"/>
  <c r="D213" i="9"/>
  <c r="G213" i="9"/>
  <c r="J213" i="9"/>
  <c r="J36" i="3"/>
  <c r="H36" i="3"/>
  <c r="I36" i="3"/>
  <c r="M82" i="9"/>
  <c r="D82" i="9"/>
  <c r="G82" i="9"/>
  <c r="J82" i="9"/>
  <c r="L6" i="5"/>
  <c r="N6" i="5"/>
  <c r="M6" i="5"/>
  <c r="J124" i="9"/>
  <c r="M124" i="9"/>
  <c r="D124" i="9"/>
  <c r="G124" i="9"/>
  <c r="G270" i="9"/>
  <c r="J270" i="9"/>
  <c r="D270" i="9"/>
  <c r="M270" i="9"/>
  <c r="M72" i="3"/>
  <c r="L72" i="3"/>
  <c r="N72" i="3"/>
  <c r="I62" i="3"/>
  <c r="H62" i="3"/>
  <c r="J62" i="3"/>
  <c r="G269" i="9"/>
  <c r="D269" i="9"/>
  <c r="J269" i="9"/>
  <c r="M269" i="9"/>
  <c r="J183" i="9"/>
  <c r="D183" i="9"/>
  <c r="M183" i="9"/>
  <c r="G183" i="9"/>
  <c r="D102" i="9"/>
  <c r="M102" i="9"/>
  <c r="G102" i="9"/>
  <c r="J102" i="9"/>
  <c r="J162" i="9"/>
  <c r="D162" i="9"/>
  <c r="M162" i="9"/>
  <c r="G162" i="9"/>
  <c r="M38" i="9"/>
  <c r="D38" i="9"/>
  <c r="J38" i="9"/>
  <c r="G38" i="9"/>
  <c r="D79" i="9"/>
  <c r="J79" i="9"/>
  <c r="G79" i="9"/>
  <c r="M79" i="9"/>
  <c r="I168" i="9"/>
  <c r="H168" i="9" s="1"/>
  <c r="G12" i="9" s="1"/>
  <c r="M199" i="9"/>
  <c r="G199" i="9"/>
  <c r="D199" i="9"/>
  <c r="J199" i="9"/>
  <c r="I40" i="3"/>
  <c r="H40" i="3"/>
  <c r="J40" i="3"/>
  <c r="H64" i="3"/>
  <c r="J64" i="3"/>
  <c r="I64" i="3"/>
  <c r="P32" i="3"/>
  <c r="R32" i="3"/>
  <c r="Q32" i="3"/>
  <c r="D280" i="9"/>
  <c r="J280" i="9"/>
  <c r="M280" i="9"/>
  <c r="G280" i="9"/>
  <c r="J70" i="9"/>
  <c r="M70" i="9"/>
  <c r="D70" i="9"/>
  <c r="G70" i="9"/>
  <c r="G230" i="9"/>
  <c r="J230" i="9"/>
  <c r="M230" i="9"/>
  <c r="D230" i="9"/>
  <c r="M67" i="3"/>
  <c r="N67" i="3"/>
  <c r="L67" i="3"/>
  <c r="M49" i="3"/>
  <c r="N49" i="3"/>
  <c r="L49" i="3"/>
  <c r="M125" i="9"/>
  <c r="D125" i="9"/>
  <c r="G125" i="9"/>
  <c r="J125" i="9"/>
  <c r="P47" i="3"/>
  <c r="Q47" i="3"/>
  <c r="R47" i="3"/>
  <c r="J63" i="3"/>
  <c r="H63" i="3"/>
  <c r="I63" i="3"/>
  <c r="N10" i="5"/>
  <c r="L10" i="5"/>
  <c r="M10" i="5"/>
  <c r="M25" i="5"/>
  <c r="N25" i="5"/>
  <c r="L25" i="5"/>
  <c r="G188" i="9"/>
  <c r="J188" i="9"/>
  <c r="D188" i="9"/>
  <c r="M188" i="9"/>
  <c r="H43" i="3"/>
  <c r="I43" i="3"/>
  <c r="J43" i="3"/>
  <c r="P43" i="3"/>
  <c r="R43" i="3"/>
  <c r="Q43" i="3"/>
  <c r="M203" i="9"/>
  <c r="G203" i="9"/>
  <c r="D203" i="9"/>
  <c r="J203" i="9"/>
  <c r="Q60" i="3"/>
  <c r="P60" i="3"/>
  <c r="R60" i="3"/>
  <c r="M47" i="3"/>
  <c r="L47" i="3"/>
  <c r="N47" i="3"/>
  <c r="Q45" i="3"/>
  <c r="P45" i="3"/>
  <c r="R45" i="3"/>
  <c r="G115" i="9"/>
  <c r="J115" i="9"/>
  <c r="M115" i="9"/>
  <c r="D115" i="9"/>
  <c r="G126" i="9"/>
  <c r="D126" i="9"/>
  <c r="M126" i="9"/>
  <c r="J126" i="9"/>
  <c r="L14" i="3"/>
  <c r="N14" i="3"/>
  <c r="M14" i="3"/>
  <c r="Q64" i="3"/>
  <c r="P64" i="3"/>
  <c r="R64" i="3"/>
  <c r="D41" i="9"/>
  <c r="G41" i="9"/>
  <c r="M41" i="9"/>
  <c r="J41" i="9"/>
  <c r="O168" i="9"/>
  <c r="N168" i="9" s="1"/>
  <c r="M12" i="9" s="1"/>
  <c r="G98" i="9"/>
  <c r="J98" i="9"/>
  <c r="C130" i="9"/>
  <c r="M98" i="9"/>
  <c r="D98" i="9"/>
  <c r="J51" i="9"/>
  <c r="G51" i="9"/>
  <c r="D51" i="9"/>
  <c r="M51" i="9"/>
  <c r="J34" i="3"/>
  <c r="I34" i="3"/>
  <c r="H34" i="3"/>
  <c r="D142" i="9"/>
  <c r="G142" i="9"/>
  <c r="J142" i="9"/>
  <c r="M142" i="9"/>
  <c r="D231" i="9"/>
  <c r="J231" i="9"/>
  <c r="G231" i="9"/>
  <c r="M231" i="9"/>
  <c r="D101" i="9"/>
  <c r="J101" i="9"/>
  <c r="M101" i="9"/>
  <c r="G101" i="9"/>
  <c r="M21" i="3"/>
  <c r="L21" i="3"/>
  <c r="N21" i="3"/>
  <c r="N75" i="3"/>
  <c r="M75" i="3"/>
  <c r="L75" i="3"/>
  <c r="D254" i="9"/>
  <c r="M254" i="9"/>
  <c r="G254" i="9"/>
  <c r="J254" i="9"/>
  <c r="G69" i="9"/>
  <c r="D69" i="9"/>
  <c r="J69" i="9"/>
  <c r="M69" i="9"/>
  <c r="M238" i="9"/>
  <c r="J238" i="9"/>
  <c r="G238" i="9"/>
  <c r="D238" i="9"/>
  <c r="L22" i="3"/>
  <c r="N22" i="3"/>
  <c r="M22" i="3"/>
  <c r="L15" i="5"/>
  <c r="M15" i="5"/>
  <c r="N15" i="5"/>
  <c r="N11" i="3"/>
  <c r="M11" i="3"/>
  <c r="L11" i="3"/>
  <c r="J60" i="3"/>
  <c r="H60" i="3"/>
  <c r="I60" i="3"/>
  <c r="N14" i="5"/>
  <c r="L14" i="5"/>
  <c r="M14" i="5"/>
  <c r="G128" i="9"/>
  <c r="M128" i="9"/>
  <c r="J128" i="9"/>
  <c r="D128" i="9"/>
  <c r="M165" i="9"/>
  <c r="D165" i="9"/>
  <c r="G165" i="9"/>
  <c r="J165" i="9"/>
  <c r="M197" i="9"/>
  <c r="G197" i="9"/>
  <c r="J197" i="9"/>
  <c r="D197" i="9"/>
  <c r="F92" i="9"/>
  <c r="E92" i="9" s="1"/>
  <c r="D4" i="9" s="1"/>
  <c r="D204" i="9"/>
  <c r="M204" i="9"/>
  <c r="G204" i="9"/>
  <c r="J204" i="9"/>
  <c r="J35" i="3"/>
  <c r="H35" i="3"/>
  <c r="I35" i="3"/>
  <c r="J40" i="9"/>
  <c r="D40" i="9"/>
  <c r="G40" i="9"/>
  <c r="M40" i="9"/>
  <c r="M103" i="9"/>
  <c r="D103" i="9"/>
  <c r="J103" i="9"/>
  <c r="G103" i="9"/>
  <c r="N38" i="3"/>
  <c r="L38" i="3"/>
  <c r="M38" i="3"/>
  <c r="R33" i="3"/>
  <c r="P33" i="3"/>
  <c r="Q33" i="3"/>
  <c r="M30" i="9"/>
  <c r="D30" i="9"/>
  <c r="J30" i="9"/>
  <c r="G30" i="9"/>
  <c r="M185" i="9"/>
  <c r="J185" i="9"/>
  <c r="D185" i="9"/>
  <c r="G185" i="9"/>
  <c r="M112" i="9"/>
  <c r="J112" i="9"/>
  <c r="G112" i="9"/>
  <c r="D112" i="9"/>
  <c r="Q73" i="3"/>
  <c r="R73" i="3"/>
  <c r="P73" i="3"/>
  <c r="G156" i="9"/>
  <c r="D156" i="9"/>
  <c r="J156" i="9"/>
  <c r="M156" i="9"/>
  <c r="H32" i="3"/>
  <c r="J32" i="3"/>
  <c r="I32" i="3"/>
  <c r="M28" i="9"/>
  <c r="G28" i="9"/>
  <c r="J28" i="9"/>
  <c r="D28" i="9"/>
  <c r="D215" i="9"/>
  <c r="J215" i="9"/>
  <c r="G215" i="9"/>
  <c r="M215" i="9"/>
  <c r="Q66" i="3"/>
  <c r="R66" i="3"/>
  <c r="P66" i="3"/>
  <c r="L12" i="5"/>
  <c r="N12" i="5"/>
  <c r="M12" i="5"/>
  <c r="J235" i="9"/>
  <c r="D235" i="9"/>
  <c r="M235" i="9"/>
  <c r="G235" i="9"/>
  <c r="N20" i="5"/>
  <c r="L20" i="5"/>
  <c r="M20" i="5"/>
  <c r="I130" i="9"/>
  <c r="H130" i="9" s="1"/>
  <c r="G6" i="9" s="1"/>
  <c r="D233" i="9"/>
  <c r="J233" i="9"/>
  <c r="M233" i="9"/>
  <c r="G233" i="9"/>
  <c r="N19" i="3"/>
  <c r="L19" i="3"/>
  <c r="M19" i="3"/>
  <c r="N44" i="3"/>
  <c r="L44" i="3"/>
  <c r="M44" i="3"/>
  <c r="R70" i="3"/>
  <c r="P70" i="3"/>
  <c r="Q70" i="3"/>
  <c r="H38" i="3"/>
  <c r="I38" i="3"/>
  <c r="J38" i="3"/>
  <c r="I37" i="3"/>
  <c r="J37" i="3"/>
  <c r="H37" i="3"/>
  <c r="D200" i="9"/>
  <c r="G200" i="9"/>
  <c r="M200" i="9"/>
  <c r="J200" i="9"/>
  <c r="G110" i="9"/>
  <c r="M110" i="9"/>
  <c r="D110" i="9"/>
  <c r="J110" i="9"/>
  <c r="G202" i="9"/>
  <c r="J202" i="9"/>
  <c r="D202" i="9"/>
  <c r="M202" i="9"/>
  <c r="L206" i="9"/>
  <c r="K206" i="9" s="1"/>
  <c r="J8" i="9" s="1"/>
  <c r="M236" i="9"/>
  <c r="J236" i="9"/>
  <c r="G236" i="9"/>
  <c r="D236" i="9"/>
  <c r="L22" i="5"/>
  <c r="M22" i="5"/>
  <c r="N22" i="5"/>
  <c r="I73" i="3"/>
  <c r="J73" i="3"/>
  <c r="H73" i="3"/>
  <c r="L37" i="3"/>
  <c r="N37" i="3"/>
  <c r="M37" i="3"/>
  <c r="J258" i="9"/>
  <c r="G258" i="9"/>
  <c r="M258" i="9"/>
  <c r="D258" i="9"/>
  <c r="G42" i="9"/>
  <c r="M42" i="9"/>
  <c r="J42" i="9"/>
  <c r="D42" i="9"/>
  <c r="J195" i="9"/>
  <c r="M195" i="9"/>
  <c r="D195" i="9"/>
  <c r="G195" i="9"/>
  <c r="I58" i="3"/>
  <c r="H58" i="3"/>
  <c r="J58" i="3"/>
  <c r="N6" i="3"/>
  <c r="M6" i="3"/>
  <c r="L6" i="3"/>
  <c r="M73" i="3"/>
  <c r="N73" i="3"/>
  <c r="L73" i="3"/>
  <c r="N58" i="3"/>
  <c r="L58" i="3"/>
  <c r="M58" i="3"/>
  <c r="L50" i="3"/>
  <c r="M50" i="3"/>
  <c r="N50" i="3"/>
  <c r="O206" i="9"/>
  <c r="N206" i="9" s="1"/>
  <c r="M8" i="9" s="1"/>
  <c r="I206" i="9"/>
  <c r="H206" i="9" s="1"/>
  <c r="G8" i="9" s="1"/>
  <c r="O244" i="9"/>
  <c r="N244" i="9" s="1"/>
  <c r="M10" i="9" s="1"/>
  <c r="M43" i="3"/>
  <c r="N43" i="3"/>
  <c r="L43" i="3"/>
  <c r="P48" i="3"/>
  <c r="R48" i="3"/>
  <c r="Q48" i="3"/>
  <c r="D182" i="9"/>
  <c r="G182" i="9"/>
  <c r="J182" i="9"/>
  <c r="M182" i="9"/>
  <c r="J74" i="9"/>
  <c r="M74" i="9"/>
  <c r="D74" i="9"/>
  <c r="G74" i="9"/>
  <c r="M274" i="9"/>
  <c r="G274" i="9"/>
  <c r="D274" i="9"/>
  <c r="J274" i="9"/>
  <c r="M24" i="3"/>
  <c r="N24" i="3"/>
  <c r="L24" i="3"/>
  <c r="G252" i="9"/>
  <c r="D252" i="9"/>
  <c r="M252" i="9"/>
  <c r="J252" i="9"/>
  <c r="C244" i="9"/>
  <c r="G212" i="9"/>
  <c r="M212" i="9"/>
  <c r="D212" i="9"/>
  <c r="J212" i="9"/>
  <c r="N16" i="3"/>
  <c r="M16" i="3"/>
  <c r="L16" i="3"/>
  <c r="D36" i="9"/>
  <c r="J36" i="9"/>
  <c r="G36" i="9"/>
  <c r="M36" i="9"/>
  <c r="M65" i="9"/>
  <c r="G65" i="9"/>
  <c r="D65" i="9"/>
  <c r="J65" i="9"/>
  <c r="G237" i="9"/>
  <c r="M237" i="9"/>
  <c r="J237" i="9"/>
  <c r="D237" i="9"/>
  <c r="J60" i="9"/>
  <c r="C92" i="9"/>
  <c r="D60" i="9"/>
  <c r="M60" i="9"/>
  <c r="G60" i="9"/>
  <c r="M216" i="9"/>
  <c r="G216" i="9"/>
  <c r="J216" i="9"/>
  <c r="D216" i="9"/>
  <c r="D201" i="9"/>
  <c r="J201" i="9"/>
  <c r="M201" i="9"/>
  <c r="G201" i="9"/>
  <c r="D164" i="9"/>
  <c r="J164" i="9"/>
  <c r="G164" i="9"/>
  <c r="M164" i="9"/>
  <c r="G257" i="9"/>
  <c r="M257" i="9"/>
  <c r="J257" i="9"/>
  <c r="D257" i="9"/>
  <c r="J64" i="9"/>
  <c r="G64" i="9"/>
  <c r="M64" i="9"/>
  <c r="D64" i="9"/>
  <c r="L9" i="5"/>
  <c r="N9" i="5"/>
  <c r="M9" i="5"/>
  <c r="M71" i="3"/>
  <c r="N71" i="3"/>
  <c r="L71" i="3"/>
  <c r="G117" i="9"/>
  <c r="J117" i="9"/>
  <c r="M117" i="9"/>
  <c r="D117" i="9"/>
  <c r="J275" i="9"/>
  <c r="D275" i="9"/>
  <c r="M275" i="9"/>
  <c r="G275" i="9"/>
  <c r="G68" i="9"/>
  <c r="M68" i="9"/>
  <c r="D68" i="9"/>
  <c r="J68" i="9"/>
  <c r="D267" i="9"/>
  <c r="J267" i="9"/>
  <c r="G267" i="9"/>
  <c r="M267" i="9"/>
  <c r="F206" i="9"/>
  <c r="E206" i="9" s="1"/>
  <c r="D8" i="9" s="1"/>
  <c r="J138" i="9"/>
  <c r="M138" i="9"/>
  <c r="D138" i="9"/>
  <c r="G138" i="9"/>
  <c r="L31" i="3"/>
  <c r="N31" i="3"/>
  <c r="M31" i="3"/>
  <c r="M66" i="3"/>
  <c r="L66" i="3"/>
  <c r="N66" i="3"/>
  <c r="J89" i="9"/>
  <c r="D89" i="9"/>
  <c r="G89" i="9"/>
  <c r="M89" i="9"/>
  <c r="O130" i="9"/>
  <c r="N130" i="9" s="1"/>
  <c r="M6" i="9" s="1"/>
  <c r="Q37" i="3"/>
  <c r="R37" i="3"/>
  <c r="P37" i="3"/>
  <c r="G163" i="9"/>
  <c r="D163" i="9"/>
  <c r="J163" i="9"/>
  <c r="M163" i="9"/>
  <c r="J71" i="9"/>
  <c r="D71" i="9"/>
  <c r="G71" i="9"/>
  <c r="M71" i="9"/>
  <c r="M149" i="9"/>
  <c r="G149" i="9"/>
  <c r="D149" i="9"/>
  <c r="J149" i="9"/>
  <c r="I75" i="3"/>
  <c r="H75" i="3"/>
  <c r="J75" i="3"/>
  <c r="M43" i="9"/>
  <c r="J43" i="9"/>
  <c r="G43" i="9"/>
  <c r="D43" i="9"/>
  <c r="D178" i="9"/>
  <c r="J178" i="9"/>
  <c r="G178" i="9"/>
  <c r="M178" i="9"/>
  <c r="F282" i="9"/>
  <c r="E282" i="9" s="1"/>
  <c r="D14" i="9" s="1"/>
  <c r="M42" i="3"/>
  <c r="N42" i="3"/>
  <c r="L42" i="3"/>
  <c r="J136" i="9"/>
  <c r="G136" i="9"/>
  <c r="M136" i="9"/>
  <c r="D136" i="9"/>
  <c r="C168" i="9"/>
  <c r="M139" i="9"/>
  <c r="D139" i="9"/>
  <c r="G139" i="9"/>
  <c r="J139" i="9"/>
  <c r="I68" i="3"/>
  <c r="J68" i="3"/>
  <c r="H68" i="3"/>
  <c r="D63" i="9"/>
  <c r="M63" i="9"/>
  <c r="J63" i="9"/>
  <c r="G63" i="9"/>
  <c r="M62" i="9"/>
  <c r="G62" i="9"/>
  <c r="D62" i="9"/>
  <c r="J62" i="9"/>
  <c r="M13" i="5"/>
  <c r="N13" i="5"/>
  <c r="L13" i="5"/>
  <c r="M157" i="9"/>
  <c r="D157" i="9"/>
  <c r="G157" i="9"/>
  <c r="J157" i="9"/>
  <c r="G150" i="9"/>
  <c r="D150" i="9"/>
  <c r="M150" i="9"/>
  <c r="J150" i="9"/>
  <c r="D261" i="9"/>
  <c r="J261" i="9"/>
  <c r="M261" i="9"/>
  <c r="G261" i="9"/>
  <c r="L39" i="3"/>
  <c r="M39" i="3"/>
  <c r="N39" i="3"/>
  <c r="F54" i="9"/>
  <c r="D75" i="9"/>
  <c r="M75" i="9"/>
  <c r="G75" i="9"/>
  <c r="J75" i="9"/>
  <c r="M272" i="9"/>
  <c r="G272" i="9"/>
  <c r="D272" i="9"/>
  <c r="J272" i="9"/>
  <c r="M34" i="3"/>
  <c r="N34" i="3"/>
  <c r="L34" i="3"/>
  <c r="M189" i="9"/>
  <c r="J189" i="9"/>
  <c r="G189" i="9"/>
  <c r="D189" i="9"/>
  <c r="J240" i="9"/>
  <c r="G240" i="9"/>
  <c r="M240" i="9"/>
  <c r="D240" i="9"/>
  <c r="P49" i="3"/>
  <c r="R49" i="3"/>
  <c r="Q49" i="3"/>
  <c r="M259" i="9"/>
  <c r="J259" i="9"/>
  <c r="G259" i="9"/>
  <c r="D259" i="9"/>
  <c r="Q31" i="3"/>
  <c r="R31" i="3"/>
  <c r="P31" i="3"/>
  <c r="J49" i="3"/>
  <c r="I49" i="3"/>
  <c r="H49" i="3"/>
  <c r="M80" i="9"/>
  <c r="D80" i="9"/>
  <c r="J80" i="9"/>
  <c r="G80" i="9"/>
  <c r="P41" i="3"/>
  <c r="R41" i="3"/>
  <c r="Q41" i="3"/>
  <c r="J226" i="9"/>
  <c r="G226" i="9"/>
  <c r="M226" i="9"/>
  <c r="D226" i="9"/>
  <c r="L41" i="3"/>
  <c r="M41" i="3"/>
  <c r="N41" i="3"/>
  <c r="G73" i="9"/>
  <c r="D73" i="9"/>
  <c r="M73" i="9"/>
  <c r="J73" i="9"/>
  <c r="J69" i="3"/>
  <c r="I69" i="3"/>
  <c r="H69" i="3"/>
  <c r="M17" i="5"/>
  <c r="L17" i="5"/>
  <c r="N17" i="5"/>
  <c r="G50" i="9"/>
  <c r="J50" i="9"/>
  <c r="M50" i="9"/>
  <c r="D50" i="9"/>
  <c r="L168" i="9"/>
  <c r="K168" i="9" s="1"/>
  <c r="J12" i="9" s="1"/>
  <c r="N46" i="3"/>
  <c r="M46" i="3"/>
  <c r="L46" i="3"/>
  <c r="M23" i="9"/>
  <c r="D23" i="9"/>
  <c r="G23" i="9"/>
  <c r="J23" i="9"/>
  <c r="M107" i="9"/>
  <c r="J107" i="9"/>
  <c r="G107" i="9"/>
  <c r="D107" i="9"/>
  <c r="D225" i="9"/>
  <c r="G225" i="9"/>
  <c r="J225" i="9"/>
  <c r="M225" i="9"/>
  <c r="L56" i="3"/>
  <c r="M56" i="3"/>
  <c r="N56" i="3"/>
  <c r="L130" i="9"/>
  <c r="K130" i="9" s="1"/>
  <c r="J6" i="9" s="1"/>
  <c r="D145" i="9"/>
  <c r="G145" i="9"/>
  <c r="J145" i="9"/>
  <c r="M145" i="9"/>
  <c r="D184" i="9"/>
  <c r="J184" i="9"/>
  <c r="M184" i="9"/>
  <c r="G184" i="9"/>
  <c r="N11" i="5"/>
  <c r="M11" i="5"/>
  <c r="L11" i="5"/>
  <c r="J84" i="9"/>
  <c r="D84" i="9"/>
  <c r="M84" i="9"/>
  <c r="G84" i="9"/>
  <c r="L54" i="9"/>
  <c r="K54" i="9" s="1"/>
  <c r="J16" i="9" s="1"/>
  <c r="N65" i="3"/>
  <c r="L65" i="3"/>
  <c r="M65" i="3"/>
  <c r="I56" i="3"/>
  <c r="H56" i="3"/>
  <c r="J56" i="3"/>
  <c r="J217" i="9"/>
  <c r="M217" i="9"/>
  <c r="G217" i="9"/>
  <c r="D217" i="9"/>
  <c r="M241" i="9"/>
  <c r="J241" i="9"/>
  <c r="G241" i="9"/>
  <c r="D241" i="9"/>
  <c r="Q71" i="3"/>
  <c r="P71" i="3"/>
  <c r="R71" i="3"/>
  <c r="D44" i="9"/>
  <c r="G44" i="9"/>
  <c r="M44" i="9"/>
  <c r="J44" i="9"/>
  <c r="L23" i="3"/>
  <c r="M23" i="3"/>
  <c r="N23" i="3"/>
  <c r="Q61" i="3"/>
  <c r="P61" i="3"/>
  <c r="R61" i="3"/>
  <c r="G193" i="9"/>
  <c r="D193" i="9"/>
  <c r="J193" i="9"/>
  <c r="M193" i="9"/>
  <c r="M45" i="9"/>
  <c r="G45" i="9"/>
  <c r="J45" i="9"/>
  <c r="D45" i="9"/>
  <c r="R50" i="3"/>
  <c r="P50" i="3"/>
  <c r="Q50" i="3"/>
  <c r="D86" i="9"/>
  <c r="J86" i="9"/>
  <c r="G86" i="9"/>
  <c r="M86" i="9"/>
  <c r="J87" i="9"/>
  <c r="M87" i="9"/>
  <c r="G87" i="9"/>
  <c r="D87" i="9"/>
  <c r="R65" i="3"/>
  <c r="Q65" i="3"/>
  <c r="P65" i="3"/>
  <c r="M250" i="9"/>
  <c r="C282" i="9"/>
  <c r="J250" i="9"/>
  <c r="G250" i="9"/>
  <c r="D250" i="9"/>
  <c r="G159" i="9"/>
  <c r="D159" i="9"/>
  <c r="J159" i="9"/>
  <c r="M159" i="9"/>
  <c r="M7" i="3"/>
  <c r="L7" i="3"/>
  <c r="N7" i="3"/>
  <c r="J106" i="9"/>
  <c r="G106" i="9"/>
  <c r="M106" i="9"/>
  <c r="D106" i="9"/>
  <c r="J52" i="9"/>
  <c r="D52" i="9"/>
  <c r="M52" i="9"/>
  <c r="G52" i="9"/>
  <c r="D146" i="9"/>
  <c r="G146" i="9"/>
  <c r="J146" i="9"/>
  <c r="M146" i="9"/>
  <c r="H39" i="3"/>
  <c r="J39" i="3"/>
  <c r="I39" i="3"/>
  <c r="D239" i="9"/>
  <c r="M239" i="9"/>
  <c r="G239" i="9"/>
  <c r="J239" i="9"/>
  <c r="N16" i="5"/>
  <c r="L16" i="5"/>
  <c r="M16" i="5"/>
  <c r="G113" i="9"/>
  <c r="M113" i="9"/>
  <c r="D113" i="9"/>
  <c r="J113" i="9"/>
  <c r="I57" i="3"/>
  <c r="J57" i="3"/>
  <c r="H57" i="3"/>
  <c r="M60" i="3"/>
  <c r="L60" i="3"/>
  <c r="N60" i="3"/>
  <c r="M83" i="9"/>
  <c r="J83" i="9"/>
  <c r="D83" i="9"/>
  <c r="G83" i="9"/>
  <c r="D154" i="9"/>
  <c r="J154" i="9"/>
  <c r="M154" i="9"/>
  <c r="G154" i="9"/>
  <c r="G155" i="9"/>
  <c r="J155" i="9"/>
  <c r="D155" i="9"/>
  <c r="M155" i="9"/>
  <c r="J24" i="9"/>
  <c r="M24" i="9"/>
  <c r="D24" i="9"/>
  <c r="G24" i="9"/>
  <c r="O282" i="9"/>
  <c r="N282" i="9" s="1"/>
  <c r="M14" i="9" s="1"/>
  <c r="M25" i="3"/>
  <c r="N25" i="3"/>
  <c r="L25" i="3"/>
  <c r="J279" i="9"/>
  <c r="G279" i="9"/>
  <c r="D279" i="9"/>
  <c r="M279" i="9"/>
  <c r="L92" i="9"/>
  <c r="K92" i="9" s="1"/>
  <c r="J4" i="9" s="1"/>
  <c r="I66" i="3"/>
  <c r="H66" i="3"/>
  <c r="J66" i="3"/>
  <c r="G137" i="9"/>
  <c r="D137" i="9"/>
  <c r="M137" i="9"/>
  <c r="J137" i="9"/>
  <c r="N7" i="5"/>
  <c r="M7" i="5"/>
  <c r="L7" i="5"/>
  <c r="D262" i="9"/>
  <c r="J262" i="9"/>
  <c r="G262" i="9"/>
  <c r="M262" i="9"/>
  <c r="N20" i="3"/>
  <c r="M20" i="3"/>
  <c r="L20" i="3"/>
  <c r="M264" i="9"/>
  <c r="J264" i="9"/>
  <c r="G264" i="9"/>
  <c r="D264" i="9"/>
  <c r="L68" i="3"/>
  <c r="M68" i="3"/>
  <c r="N68" i="3"/>
  <c r="G278" i="9"/>
  <c r="J278" i="9"/>
  <c r="D278" i="9"/>
  <c r="M278" i="9"/>
  <c r="J105" i="9"/>
  <c r="M105" i="9"/>
  <c r="D105" i="9"/>
  <c r="G105" i="9"/>
  <c r="J228" i="9"/>
  <c r="G228" i="9"/>
  <c r="D228" i="9"/>
  <c r="M228" i="9"/>
  <c r="G153" i="9"/>
  <c r="D153" i="9"/>
  <c r="M153" i="9"/>
  <c r="J153" i="9"/>
  <c r="N18" i="5"/>
  <c r="M18" i="5"/>
  <c r="L18" i="5"/>
  <c r="Q69" i="3"/>
  <c r="P69" i="3"/>
  <c r="R69" i="3"/>
  <c r="J31" i="3"/>
  <c r="H31" i="3"/>
  <c r="I31" i="3"/>
  <c r="I42" i="3"/>
  <c r="H42" i="3"/>
  <c r="J42" i="3"/>
  <c r="D109" i="9"/>
  <c r="M109" i="9"/>
  <c r="G109" i="9"/>
  <c r="J109" i="9"/>
  <c r="L69" i="3"/>
  <c r="M69" i="3"/>
  <c r="N69" i="3"/>
  <c r="M120" i="9"/>
  <c r="D120" i="9"/>
  <c r="G120" i="9"/>
  <c r="J120" i="9"/>
  <c r="J85" i="9"/>
  <c r="G85" i="9"/>
  <c r="D85" i="9"/>
  <c r="M85" i="9"/>
  <c r="M251" i="9"/>
  <c r="G251" i="9"/>
  <c r="J251" i="9"/>
  <c r="D251" i="9"/>
  <c r="I92" i="9"/>
  <c r="H92" i="9" s="1"/>
  <c r="G4" i="9" s="1"/>
  <c r="M265" i="9"/>
  <c r="J265" i="9"/>
  <c r="D265" i="9"/>
  <c r="G265" i="9"/>
  <c r="L61" i="3"/>
  <c r="N61" i="3"/>
  <c r="M61" i="3"/>
  <c r="G232" i="9"/>
  <c r="D232" i="9"/>
  <c r="J232" i="9"/>
  <c r="M232" i="9"/>
  <c r="Q36" i="3"/>
  <c r="P36" i="3"/>
  <c r="R36" i="3"/>
  <c r="N17" i="3"/>
  <c r="L17" i="3"/>
  <c r="M17" i="3"/>
  <c r="G166" i="9"/>
  <c r="D166" i="9"/>
  <c r="J166" i="9"/>
  <c r="M166" i="9"/>
  <c r="D277" i="9"/>
  <c r="M277" i="9"/>
  <c r="G277" i="9"/>
  <c r="J277" i="9"/>
  <c r="L48" i="3"/>
  <c r="M48" i="3"/>
  <c r="N48" i="3"/>
  <c r="M114" i="9"/>
  <c r="G114" i="9"/>
  <c r="D114" i="9"/>
  <c r="J114" i="9"/>
  <c r="N62" i="3"/>
  <c r="L62" i="3"/>
  <c r="M62" i="3"/>
  <c r="J191" i="9"/>
  <c r="G191" i="9"/>
  <c r="M191" i="9"/>
  <c r="D191" i="9"/>
  <c r="H45" i="3"/>
  <c r="J45" i="3"/>
  <c r="I45" i="3"/>
  <c r="G218" i="9"/>
  <c r="M218" i="9"/>
  <c r="D218" i="9"/>
  <c r="J218" i="9"/>
  <c r="J116" i="9"/>
  <c r="M116" i="9"/>
  <c r="D116" i="9"/>
  <c r="G116" i="9"/>
  <c r="L33" i="3"/>
  <c r="N33" i="3"/>
  <c r="M33" i="3"/>
  <c r="G123" i="9"/>
  <c r="D123" i="9"/>
  <c r="M123" i="9"/>
  <c r="J123" i="9"/>
  <c r="J81" i="9"/>
  <c r="D81" i="9"/>
  <c r="G81" i="9"/>
  <c r="M81" i="9"/>
  <c r="M253" i="9"/>
  <c r="D253" i="9"/>
  <c r="G253" i="9"/>
  <c r="J253" i="9"/>
  <c r="D148" i="9"/>
  <c r="M148" i="9"/>
  <c r="G148" i="9"/>
  <c r="J148" i="9"/>
  <c r="J34" i="9"/>
  <c r="M34" i="9"/>
  <c r="D34" i="9"/>
  <c r="G34" i="9"/>
  <c r="G100" i="9"/>
  <c r="D100" i="9"/>
  <c r="M100" i="9"/>
  <c r="J100" i="9"/>
  <c r="J229" i="9"/>
  <c r="G229" i="9"/>
  <c r="M229" i="9"/>
  <c r="D229" i="9"/>
  <c r="J67" i="9"/>
  <c r="D67" i="9"/>
  <c r="G67" i="9"/>
  <c r="M67" i="9"/>
  <c r="D49" i="9"/>
  <c r="G49" i="9"/>
  <c r="J49" i="9"/>
  <c r="M49" i="9"/>
  <c r="G266" i="9"/>
  <c r="D266" i="9"/>
  <c r="J266" i="9"/>
  <c r="M266" i="9"/>
  <c r="I70" i="3"/>
  <c r="H70" i="3"/>
  <c r="J70" i="3"/>
  <c r="M88" i="9"/>
  <c r="D88" i="9"/>
  <c r="G88" i="9"/>
  <c r="J88" i="9"/>
  <c r="G175" i="9"/>
  <c r="M175" i="9"/>
  <c r="D175" i="9"/>
  <c r="J175" i="9"/>
  <c r="N8" i="3"/>
  <c r="M8" i="3"/>
  <c r="L8" i="3"/>
  <c r="O92" i="9"/>
  <c r="N92" i="9" s="1"/>
  <c r="M4" i="9" s="1"/>
  <c r="M147" i="9"/>
  <c r="D147" i="9"/>
  <c r="J147" i="9"/>
  <c r="G147" i="9"/>
  <c r="J273" i="9"/>
  <c r="D273" i="9"/>
  <c r="G273" i="9"/>
  <c r="M273" i="9"/>
  <c r="G186" i="9"/>
  <c r="J186" i="9"/>
  <c r="D186" i="9"/>
  <c r="M186" i="9"/>
  <c r="D196" i="9"/>
  <c r="G196" i="9"/>
  <c r="J196" i="9"/>
  <c r="M196" i="9"/>
  <c r="G224" i="9"/>
  <c r="J224" i="9"/>
  <c r="M224" i="9"/>
  <c r="D224" i="9"/>
  <c r="N35" i="3"/>
  <c r="M35" i="3"/>
  <c r="L35" i="3"/>
  <c r="M268" i="9"/>
  <c r="D268" i="9"/>
  <c r="G268" i="9"/>
  <c r="J268" i="9"/>
  <c r="Q39" i="3"/>
  <c r="P39" i="3"/>
  <c r="R39" i="3"/>
  <c r="M174" i="9"/>
  <c r="G174" i="9"/>
  <c r="D174" i="9"/>
  <c r="J174" i="9"/>
  <c r="C206" i="9"/>
  <c r="J72" i="9"/>
  <c r="D72" i="9"/>
  <c r="G72" i="9"/>
  <c r="M72" i="9"/>
  <c r="M47" i="9"/>
  <c r="D47" i="9"/>
  <c r="G47" i="9"/>
  <c r="J47" i="9"/>
  <c r="I67" i="3"/>
  <c r="J67" i="3"/>
  <c r="H67" i="3"/>
  <c r="J99" i="9"/>
  <c r="G99" i="9"/>
  <c r="D99" i="9"/>
  <c r="M99" i="9"/>
  <c r="M219" i="9"/>
  <c r="J219" i="9"/>
  <c r="D219" i="9"/>
  <c r="G219" i="9"/>
  <c r="M152" i="9"/>
  <c r="J152" i="9"/>
  <c r="G152" i="9"/>
  <c r="D152" i="9"/>
  <c r="R42" i="3"/>
  <c r="Q42" i="3"/>
  <c r="P42" i="3"/>
  <c r="J77" i="9"/>
  <c r="M77" i="9"/>
  <c r="D77" i="9"/>
  <c r="G77" i="9"/>
  <c r="H33" i="3"/>
  <c r="I33" i="3"/>
  <c r="J33" i="3"/>
  <c r="R75" i="3"/>
  <c r="P75" i="3"/>
  <c r="Q75" i="3"/>
  <c r="Q72" i="3"/>
  <c r="R72" i="3"/>
  <c r="P72" i="3"/>
  <c r="G160" i="9"/>
  <c r="J160" i="9"/>
  <c r="D160" i="9"/>
  <c r="M160" i="9"/>
  <c r="M227" i="9"/>
  <c r="D227" i="9"/>
  <c r="J227" i="9"/>
  <c r="G227" i="9"/>
  <c r="G151" i="9"/>
  <c r="J151" i="9"/>
  <c r="M151" i="9"/>
  <c r="D151" i="9"/>
  <c r="G66" i="9"/>
  <c r="M66" i="9"/>
  <c r="D66" i="9"/>
  <c r="J66" i="9"/>
  <c r="J198" i="9"/>
  <c r="G198" i="9"/>
  <c r="D198" i="9"/>
  <c r="M198" i="9"/>
  <c r="M263" i="9"/>
  <c r="D263" i="9"/>
  <c r="G263" i="9"/>
  <c r="J263" i="9"/>
  <c r="M18" i="3"/>
  <c r="N18" i="3"/>
  <c r="L18" i="3"/>
  <c r="G39" i="9"/>
  <c r="J39" i="9"/>
  <c r="M39" i="9"/>
  <c r="D39" i="9"/>
  <c r="J222" i="9"/>
  <c r="D222" i="9"/>
  <c r="G222" i="9"/>
  <c r="M222" i="9"/>
  <c r="M181" i="9"/>
  <c r="J181" i="9"/>
  <c r="G181" i="9"/>
  <c r="D181" i="9"/>
  <c r="J190" i="9"/>
  <c r="G190" i="9"/>
  <c r="M190" i="9"/>
  <c r="D190" i="9"/>
  <c r="R58" i="3"/>
  <c r="Q58" i="3"/>
  <c r="P58" i="3"/>
  <c r="J180" i="9"/>
  <c r="M180" i="9"/>
  <c r="D180" i="9"/>
  <c r="G180" i="9"/>
  <c r="Q46" i="3"/>
  <c r="R46" i="3"/>
  <c r="P46" i="3"/>
  <c r="M177" i="9"/>
  <c r="G177" i="9"/>
  <c r="D177" i="9"/>
  <c r="J177" i="9"/>
  <c r="N70" i="3"/>
  <c r="L70" i="3"/>
  <c r="M70" i="3"/>
  <c r="M122" i="9"/>
  <c r="G122" i="9"/>
  <c r="D122" i="9"/>
  <c r="J122" i="9"/>
  <c r="M111" i="9"/>
  <c r="J111" i="9"/>
  <c r="D111" i="9"/>
  <c r="G111" i="9"/>
  <c r="D276" i="9"/>
  <c r="G276" i="9"/>
  <c r="M276" i="9"/>
  <c r="J276" i="9"/>
  <c r="M187" i="9"/>
  <c r="G187" i="9"/>
  <c r="D187" i="9"/>
  <c r="J187" i="9"/>
  <c r="L9" i="3"/>
  <c r="N9" i="3"/>
  <c r="M9" i="3"/>
  <c r="J61" i="3"/>
  <c r="I61" i="3"/>
  <c r="H61" i="3"/>
  <c r="M214" i="9"/>
  <c r="D214" i="9"/>
  <c r="G214" i="9"/>
  <c r="J214" i="9"/>
  <c r="M104" i="9"/>
  <c r="J104" i="9"/>
  <c r="D104" i="9"/>
  <c r="G104" i="9"/>
  <c r="M12" i="3"/>
  <c r="N12" i="3"/>
  <c r="L12" i="3"/>
  <c r="D25" i="9"/>
  <c r="J25" i="9"/>
  <c r="G25" i="9"/>
  <c r="M25" i="9"/>
  <c r="M220" i="9"/>
  <c r="G220" i="9"/>
  <c r="D220" i="9"/>
  <c r="J220" i="9"/>
  <c r="P68" i="3"/>
  <c r="Q68" i="3"/>
  <c r="R68" i="3"/>
  <c r="L244" i="9"/>
  <c r="K244" i="9" s="1"/>
  <c r="J10" i="9" s="1"/>
  <c r="H44" i="3"/>
  <c r="J44" i="3"/>
  <c r="I44" i="3"/>
  <c r="I282" i="9"/>
  <c r="H282" i="9" s="1"/>
  <c r="G14" i="9" s="1"/>
  <c r="R63" i="3"/>
  <c r="P63" i="3"/>
  <c r="Q63" i="3"/>
  <c r="H50" i="3"/>
  <c r="I50" i="3"/>
  <c r="J50" i="3"/>
  <c r="M271" i="9"/>
  <c r="G271" i="9"/>
  <c r="D271" i="9"/>
  <c r="J271" i="9"/>
  <c r="M10" i="3"/>
  <c r="N10" i="3"/>
  <c r="L10" i="3"/>
  <c r="M64" i="3"/>
  <c r="L64" i="3"/>
  <c r="N64" i="3"/>
  <c r="M242" i="9"/>
  <c r="G242" i="9"/>
  <c r="D242" i="9"/>
  <c r="J242" i="9"/>
  <c r="I54" i="9"/>
  <c r="H54" i="9" s="1"/>
  <c r="G16" i="9" s="1"/>
  <c r="M24" i="5"/>
  <c r="N24" i="5"/>
  <c r="L24" i="5"/>
  <c r="M35" i="9"/>
  <c r="J35" i="9"/>
  <c r="D35" i="9"/>
  <c r="G35" i="9"/>
  <c r="N32" i="3"/>
  <c r="L32" i="3"/>
  <c r="M32" i="3"/>
  <c r="G26" i="9"/>
  <c r="M26" i="9"/>
  <c r="J26" i="9"/>
  <c r="D26" i="9"/>
  <c r="M255" i="9"/>
  <c r="D255" i="9"/>
  <c r="J255" i="9"/>
  <c r="G255" i="9"/>
  <c r="D221" i="9"/>
  <c r="M221" i="9"/>
  <c r="G221" i="9"/>
  <c r="J221" i="9"/>
  <c r="I48" i="3"/>
  <c r="H48" i="3"/>
  <c r="J48" i="3"/>
  <c r="F168" i="9"/>
  <c r="E168" i="9" s="1"/>
  <c r="D12" i="9" s="1"/>
  <c r="I244" i="9"/>
  <c r="H244" i="9" s="1"/>
  <c r="G10" i="9" s="1"/>
  <c r="L15" i="3"/>
  <c r="M15" i="3"/>
  <c r="N15" i="3"/>
  <c r="D33" i="9"/>
  <c r="J33" i="9"/>
  <c r="G33" i="9"/>
  <c r="M33" i="9"/>
  <c r="Q40" i="3"/>
  <c r="R40" i="3"/>
  <c r="P40" i="3"/>
  <c r="M260" i="9"/>
  <c r="G260" i="9"/>
  <c r="J260" i="9"/>
  <c r="D260" i="9"/>
  <c r="M48" i="9"/>
  <c r="D48" i="9"/>
  <c r="J48" i="9"/>
  <c r="G48" i="9"/>
  <c r="N59" i="3"/>
  <c r="M59" i="3"/>
  <c r="L59" i="3"/>
  <c r="J223" i="9"/>
  <c r="D223" i="9"/>
  <c r="G223" i="9"/>
  <c r="M223" i="9"/>
  <c r="D108" i="9"/>
  <c r="J108" i="9"/>
  <c r="G108" i="9"/>
  <c r="M108" i="9"/>
  <c r="O54" i="9"/>
  <c r="N54" i="9" s="1"/>
  <c r="M16" i="9" s="1"/>
  <c r="M256" i="9"/>
  <c r="J256" i="9"/>
  <c r="G256" i="9"/>
  <c r="D256" i="9"/>
  <c r="D158" i="9"/>
  <c r="G158" i="9"/>
  <c r="M158" i="9"/>
  <c r="J158" i="9"/>
  <c r="R74" i="3"/>
  <c r="Q74" i="3"/>
  <c r="P74" i="3"/>
  <c r="G90" i="9"/>
  <c r="D90" i="9"/>
  <c r="M90" i="9"/>
  <c r="J90" i="9"/>
  <c r="R34" i="3"/>
  <c r="Q34" i="3"/>
  <c r="P34" i="3"/>
  <c r="D27" i="9"/>
  <c r="M27" i="9"/>
  <c r="G27" i="9"/>
  <c r="J27" i="9"/>
  <c r="M23" i="5"/>
  <c r="L23" i="5"/>
  <c r="N23" i="5"/>
  <c r="M121" i="9"/>
  <c r="G121" i="9"/>
  <c r="J121" i="9"/>
  <c r="D121" i="9"/>
  <c r="M127" i="9"/>
  <c r="G127" i="9"/>
  <c r="J127" i="9"/>
  <c r="D127" i="9"/>
  <c r="J22" i="9"/>
  <c r="G22" i="9"/>
  <c r="C54" i="9"/>
  <c r="M22" i="9"/>
  <c r="D22" i="9"/>
  <c r="M192" i="9"/>
  <c r="D192" i="9"/>
  <c r="G192" i="9"/>
  <c r="J192" i="9"/>
  <c r="D234" i="9"/>
  <c r="M234" i="9"/>
  <c r="G234" i="9"/>
  <c r="J234" i="9"/>
  <c r="J161" i="9"/>
  <c r="D161" i="9"/>
  <c r="M161" i="9"/>
  <c r="G161" i="9"/>
  <c r="H74" i="3"/>
  <c r="J74" i="3"/>
  <c r="I74" i="3"/>
  <c r="G179" i="9"/>
  <c r="M179" i="9"/>
  <c r="D179" i="9"/>
  <c r="J179" i="9"/>
  <c r="J37" i="9"/>
  <c r="M37" i="9"/>
  <c r="D37" i="9"/>
  <c r="G37" i="9"/>
  <c r="J144" i="9"/>
  <c r="D144" i="9"/>
  <c r="G144" i="9"/>
  <c r="M144" i="9"/>
  <c r="J46" i="3"/>
  <c r="H46" i="3"/>
  <c r="I46" i="3"/>
  <c r="M176" i="9"/>
  <c r="D176" i="9"/>
  <c r="G176" i="9"/>
  <c r="J176" i="9"/>
  <c r="D118" i="9"/>
  <c r="M118" i="9"/>
  <c r="J118" i="9"/>
  <c r="G118" i="9"/>
  <c r="M45" i="3"/>
  <c r="L45" i="3"/>
  <c r="N45" i="3"/>
  <c r="D194" i="9"/>
  <c r="M194" i="9"/>
  <c r="G194" i="9"/>
  <c r="J194" i="9"/>
  <c r="M8" i="5"/>
  <c r="N8" i="5"/>
  <c r="L8" i="5"/>
  <c r="I71" i="3"/>
  <c r="H71" i="3"/>
  <c r="J71" i="3"/>
  <c r="D143" i="9"/>
  <c r="J143" i="9"/>
  <c r="G143" i="9"/>
  <c r="M143" i="9"/>
  <c r="L63" i="3"/>
  <c r="M63" i="3"/>
  <c r="N63" i="3"/>
  <c r="Q44" i="3"/>
  <c r="R44" i="3"/>
  <c r="P44" i="3"/>
  <c r="R35" i="3"/>
  <c r="P35" i="3"/>
  <c r="Q35" i="3"/>
  <c r="H41" i="3"/>
  <c r="I41" i="3"/>
  <c r="J41" i="3"/>
  <c r="L282" i="9"/>
  <c r="K282" i="9" s="1"/>
  <c r="J14" i="9" s="1"/>
  <c r="F244" i="9"/>
  <c r="E244" i="9" s="1"/>
  <c r="D10" i="9" s="1"/>
  <c r="M119" i="9"/>
  <c r="G119" i="9"/>
  <c r="D119" i="9"/>
  <c r="J119" i="9"/>
  <c r="D31" i="9"/>
  <c r="J31" i="9"/>
  <c r="G31" i="9"/>
  <c r="M31" i="9"/>
  <c r="M32" i="9"/>
  <c r="D32" i="9"/>
  <c r="G32" i="9"/>
  <c r="J32" i="9"/>
  <c r="M57" i="3"/>
  <c r="L57" i="3"/>
  <c r="N57" i="3"/>
  <c r="M19" i="5"/>
  <c r="L19" i="5"/>
  <c r="N19" i="5"/>
  <c r="G76" i="9"/>
  <c r="M76" i="9"/>
  <c r="D76" i="9"/>
  <c r="J76" i="9"/>
  <c r="P59" i="3"/>
  <c r="Q59" i="3"/>
  <c r="R59" i="3"/>
  <c r="R56" i="3"/>
  <c r="Q56" i="3"/>
  <c r="P56" i="3"/>
  <c r="H59" i="3"/>
  <c r="I59" i="3"/>
  <c r="J59" i="3"/>
  <c r="R38" i="3"/>
  <c r="P38" i="3"/>
  <c r="Q38" i="3"/>
  <c r="M46" i="9"/>
  <c r="G46" i="9"/>
  <c r="J46" i="9"/>
  <c r="D46" i="9"/>
  <c r="P57" i="3"/>
  <c r="R57" i="3"/>
  <c r="Q57" i="3"/>
  <c r="M78" i="9"/>
  <c r="G78" i="9"/>
  <c r="D78" i="9"/>
  <c r="J78" i="9"/>
  <c r="L21" i="5"/>
  <c r="N21" i="5"/>
  <c r="M21" i="5"/>
  <c r="M141" i="9"/>
  <c r="D141" i="9"/>
  <c r="G141" i="9"/>
  <c r="J141" i="9"/>
  <c r="D140" i="9"/>
  <c r="G140" i="9"/>
  <c r="M140" i="9"/>
  <c r="J140" i="9"/>
  <c r="I47" i="3"/>
  <c r="J47" i="3"/>
  <c r="H47" i="3"/>
  <c r="M61" i="9"/>
  <c r="J61" i="9"/>
  <c r="G61" i="9"/>
  <c r="D61" i="9"/>
  <c r="D206" i="9" l="1"/>
  <c r="G168" i="9"/>
  <c r="D92" i="9"/>
  <c r="M244" i="9"/>
  <c r="J130" i="9"/>
  <c r="G54" i="9"/>
  <c r="G206" i="9"/>
  <c r="D282" i="9"/>
  <c r="M282" i="9"/>
  <c r="J168" i="9"/>
  <c r="G244" i="9"/>
  <c r="D130" i="9"/>
  <c r="G130" i="9"/>
  <c r="D54" i="9"/>
  <c r="J54" i="9"/>
  <c r="M206" i="9"/>
  <c r="G282" i="9"/>
  <c r="D168" i="9"/>
  <c r="G92" i="9"/>
  <c r="J92" i="9"/>
  <c r="J244" i="9"/>
  <c r="M130" i="9"/>
  <c r="M54" i="9"/>
  <c r="J206" i="9"/>
  <c r="J282" i="9"/>
  <c r="E54" i="9"/>
  <c r="D16" i="9" s="1"/>
  <c r="B12" i="9" s="1"/>
  <c r="M168" i="9"/>
  <c r="M92" i="9"/>
  <c r="D244" i="9"/>
  <c r="B14" i="9" l="1"/>
  <c r="B5" i="9"/>
  <c r="B16" i="9"/>
  <c r="B7" i="9"/>
  <c r="B8" i="9"/>
  <c r="B10" i="9"/>
  <c r="B4" i="9"/>
  <c r="B15" i="9"/>
  <c r="B6" i="9"/>
  <c r="B3" i="9"/>
  <c r="B11" i="9"/>
  <c r="B13" i="9"/>
  <c r="B9" i="9"/>
</calcChain>
</file>

<file path=xl/sharedStrings.xml><?xml version="1.0" encoding="utf-8"?>
<sst xmlns="http://schemas.openxmlformats.org/spreadsheetml/2006/main" count="10361" uniqueCount="355">
  <si>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</si>
  <si>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</si>
  <si>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</si>
  <si>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</si>
  <si>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</si>
  <si>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</si>
  <si>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</si>
  <si>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</si>
  <si>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</si>
  <si>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</si>
  <si>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</si>
  <si>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</si>
  <si>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</si>
  <si>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</si>
  <si>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</si>
  <si>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</si>
  <si>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</si>
  <si>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</si>
  <si>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</si>
  <si>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</si>
  <si>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</si>
  <si>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</si>
  <si>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</si>
  <si>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</si>
  <si>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</si>
  <si>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</si>
  <si>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</si>
  <si>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</si>
  <si>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</si>
  <si>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</si>
  <si>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</si>
  <si>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</si>
  <si>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</si>
  <si>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</si>
  <si>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</si>
  <si>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</si>
  <si>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</si>
  <si>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</si>
  <si>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</si>
  <si>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</si>
  <si>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</si>
  <si>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</si>
  <si>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</si>
  <si>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</si>
  <si>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</si>
  <si>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</si>
  <si>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</si>
  <si>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</si>
  <si>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</si>
  <si>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</si>
  <si>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</si>
  <si>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</si>
  <si>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</si>
  <si>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</si>
  <si>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</si>
  <si>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</si>
  <si>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</si>
  <si>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</si>
  <si>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</si>
  <si>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</si>
  <si>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</si>
  <si>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</si>
  <si>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</si>
  <si>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</si>
  <si>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</si>
  <si>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</si>
  <si>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</si>
  <si>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</si>
  <si>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</si>
  <si>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</si>
  <si>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</si>
  <si>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</si>
  <si>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</si>
  <si>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</si>
  <si>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</si>
  <si>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</si>
  <si>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</si>
  <si>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</si>
  <si>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</si>
  <si>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</si>
  <si>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</si>
  <si>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</si>
  <si>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</si>
  <si>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</si>
  <si>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</si>
  <si>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</si>
  <si>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</si>
  <si>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</si>
  <si>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</si>
  <si>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</si>
  <si>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</si>
  <si>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</si>
  <si>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</si>
  <si>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</si>
  <si>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</si>
  <si>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</si>
  <si>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</si>
  <si>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</si>
  <si>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</si>
  <si>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</si>
  <si>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</si>
  <si>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</si>
  <si>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</si>
  <si>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</si>
  <si>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</si>
  <si>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</si>
  <si>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</si>
  <si>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</si>
  <si>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</si>
  <si>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</si>
  <si>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</si>
  <si>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</si>
  <si>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</si>
  <si>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</si>
  <si>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</si>
  <si>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</si>
  <si>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</si>
  <si>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</si>
  <si>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</si>
  <si>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</si>
  <si>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</si>
  <si>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</si>
  <si>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</si>
  <si>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</si>
  <si>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</si>
  <si>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</si>
  <si>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</si>
  <si>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</si>
  <si>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</si>
  <si>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</si>
  <si>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</si>
  <si>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</si>
  <si>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</si>
  <si>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</si>
  <si>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</si>
  <si>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</si>
  <si>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</si>
  <si>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</si>
  <si>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</si>
  <si>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</si>
  <si>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</si>
  <si>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</si>
  <si>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</si>
  <si>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</si>
  <si>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</si>
  <si>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</si>
  <si>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</si>
  <si>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</si>
  <si>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</si>
  <si>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</si>
  <si>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</si>
  <si>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</si>
  <si>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</si>
  <si>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</si>
  <si>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</si>
  <si>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</si>
  <si>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</si>
  <si>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</si>
  <si>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</si>
  <si>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</si>
  <si>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</si>
  <si>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</si>
  <si>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</si>
  <si>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</si>
  <si>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</si>
  <si>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</si>
  <si>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</si>
  <si>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</si>
  <si>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</si>
  <si>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</si>
  <si>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</si>
  <si>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</si>
  <si>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</si>
  <si>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</si>
  <si>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</si>
  <si>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</si>
  <si>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</si>
  <si>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</si>
  <si>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</si>
  <si>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</si>
  <si>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</si>
  <si>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</si>
  <si>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</si>
  <si>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</si>
  <si>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</si>
  <si>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</si>
  <si>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</si>
  <si>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</si>
  <si>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</si>
  <si>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</si>
  <si>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</si>
  <si>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</si>
  <si>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</si>
  <si>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</si>
  <si>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</si>
  <si>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</si>
  <si>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</si>
  <si>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</si>
  <si>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</si>
  <si>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</si>
  <si>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</si>
  <si>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</si>
  <si>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</si>
  <si>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</si>
  <si>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</si>
  <si>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</si>
  <si>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</si>
  <si>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</si>
  <si>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</si>
  <si>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</si>
  <si>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</si>
  <si>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</si>
  <si>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</si>
  <si>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</si>
  <si>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</si>
  <si>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</si>
  <si>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</si>
  <si>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</si>
  <si>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</si>
  <si>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</si>
  <si>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</si>
  <si>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</si>
  <si>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</si>
  <si>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</si>
  <si>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</si>
  <si>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</si>
  <si>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</si>
  <si>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</si>
  <si>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</si>
  <si>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</si>
  <si>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</si>
  <si>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</si>
  <si>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</si>
  <si>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</si>
  <si>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</si>
  <si>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</si>
  <si>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</si>
  <si>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</si>
  <si>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</si>
  <si>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</si>
  <si>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</si>
  <si>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</si>
  <si>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</si>
  <si>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</si>
  <si>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</si>
  <si>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</si>
  <si>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</si>
  <si>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</si>
  <si>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</si>
  <si>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</si>
  <si>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</si>
  <si>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</si>
  <si>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</si>
  <si>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</si>
  <si>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</si>
  <si>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</si>
  <si>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</si>
  <si>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</si>
  <si>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</si>
  <si>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</si>
  <si>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</si>
  <si>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</si>
  <si>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</si>
  <si>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</si>
  <si>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</si>
  <si>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</si>
  <si>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</si>
  <si>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</si>
  <si>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</si>
  <si>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</si>
  <si>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</si>
  <si>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</si>
  <si>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</si>
  <si>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</si>
  <si>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</si>
  <si>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</si>
  <si>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</si>
  <si>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</si>
  <si>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</si>
  <si>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</si>
  <si>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</si>
  <si>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</si>
  <si>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</si>
  <si>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</si>
  <si>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</si>
  <si>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</si>
  <si>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</si>
  <si>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</si>
  <si>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</si>
  <si>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</si>
  <si>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</si>
  <si>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</si>
  <si>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</si>
  <si>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</si>
  <si>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</si>
  <si>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</si>
  <si>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</si>
  <si>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</si>
  <si>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</si>
  <si>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</si>
  <si>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</si>
  <si>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</si>
  <si>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</si>
  <si>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</si>
  <si>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</si>
  <si>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</si>
  <si>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</si>
  <si>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</si>
  <si>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</si>
  <si>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</si>
  <si>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</si>
  <si>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</si>
  <si>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</si>
  <si>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</si>
  <si>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</si>
  <si>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</si>
  <si>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</si>
  <si>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</si>
  <si>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</si>
  <si>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KRW-NEAR</t>
  </si>
  <si>
    <t>니어프로토콜</t>
  </si>
  <si>
    <t>KRW-AAVE</t>
  </si>
  <si>
    <t>에이브</t>
  </si>
  <si>
    <t>KRW-MATIC</t>
  </si>
  <si>
    <t>폴리곤</t>
  </si>
  <si>
    <t>KRW-T</t>
  </si>
  <si>
    <t>쓰레스홀드</t>
  </si>
  <si>
    <t>KRW-AVAX</t>
  </si>
  <si>
    <t>아발란체</t>
  </si>
  <si>
    <t>KRW-SOL</t>
  </si>
  <si>
    <t>솔라나</t>
  </si>
  <si>
    <t>KRW-ALGO</t>
  </si>
  <si>
    <t>알고랜드</t>
  </si>
  <si>
    <t>헤데라</t>
  </si>
  <si>
    <t>KRW-XEC</t>
  </si>
  <si>
    <t>이캐시</t>
  </si>
  <si>
    <t>크로노스</t>
  </si>
  <si>
    <t>솔라</t>
  </si>
  <si>
    <t>썬더코어</t>
  </si>
  <si>
    <t>KRW-1INCH</t>
  </si>
  <si>
    <t>1인치네트워크</t>
  </si>
  <si>
    <t>KRW-NU</t>
  </si>
  <si>
    <t>누사이퍼</t>
  </si>
  <si>
    <t>KRW-APT</t>
  </si>
  <si>
    <t>앱토스</t>
  </si>
  <si>
    <t>KRW-GMT</t>
  </si>
  <si>
    <t>스테픈</t>
  </si>
  <si>
    <t>위믹스</t>
  </si>
  <si>
    <t>KRW-CELO</t>
  </si>
  <si>
    <t>셀로</t>
  </si>
  <si>
    <t>아이큐</t>
  </si>
  <si>
    <t>KRW-POLYX</t>
  </si>
  <si>
    <t>폴리매쉬</t>
  </si>
  <si>
    <t/>
  </si>
  <si>
    <t>2022.12.26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</si>
</sst>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>
      <alignment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8B90274E-23D4-4564-B2AC-D829B695C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C1093E66-D058-4B26-89DC-D672BB0EB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B7BC45EA-8491-437D-9922-5BEEFC149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38234B62-FA59-49E7-91FC-12FFA16F7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9A17A68E-D953-416B-970E-FCE390F2B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341363A2-81CE-4E19-9E61-CB662C0CC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7B6610A6-4988-4453-8F4B-F6E33CD72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4D793FC8-0790-4632-A47F-6312B4DE3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E39342DF-0CDE-410A-B3E0-8C0D10904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59980352-12FC-485F-A733-4043A38DE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E86438C5-8129-4691-861E-5B841430D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8CDE8136-CB5E-490A-B996-6FD23FC79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32370183-8EE1-4B4C-8F9E-B98227A377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4D7253B5-661B-4EA9-BCC0-5041FE882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F40604B2-D13F-4023-8CA5-6A2B06743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443607DD-D37F-443F-B6EA-D0E062B9F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4E8E0954-89D6-4778-91AE-F5926CEE4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703C4368-F403-4DC4-8B30-7B807DEEBD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E7A48D07-6BCA-49DD-BBBE-82CAA7CE7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EC84EBDE-784D-44B9-B622-FDB054938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15BF694C-C364-4A33-A2FA-97B4C677DD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1F3CB69-D5E1-44A0-8875-3887ACD40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55FBF3D8-6CE5-4E8F-BCC7-30BC8BB19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F3BF6AA0-70E1-40E7-B60B-0F9656B037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27B2E315-BDD8-4596-A3C2-7613AA540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17D88F93-173A-4FFD-B24F-15425D636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B1202A72-88FF-4B10-87C2-CD3BE7244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72C50CB6-87B0-4C98-8376-FF85E1572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A8341DEF-7F34-420C-9AF2-354523D0B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FE97F4BE-4E7A-45B0-9AEE-8DD27505C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8DAD1925-EF29-4EDE-AD54-A8B4529545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201DD7E8-F7A7-473C-B596-DB0E59742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DA1F73FF-CB70-4C30-AE7E-77A34BDCD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CB75B194-9752-4C6F-AAA1-F5D2CD6C3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D32C84E7-D8EF-4A29-95F8-4AC27C6E4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73BDAC0A-2CCD-403A-8A2F-EDEA49DF7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6D82A4C1-3FB9-4014-B6C4-053EF05D60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63C846B-C72B-43B9-8C2E-C0B27634A8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E369AD31-81BE-4908-B4ED-CE1E68CDFF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87FEC8FD-2D67-4AB3-9ED4-1075C412E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E2C28AD0-075C-4FBE-816E-E6ED6F243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EDFD5C09-AD78-4D47-87C7-5EEA47A9C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39CB2C7-BA6A-4ECC-A95D-671982BBB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6265510A-8248-49D0-994E-A7FCBF232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6E65896E-C781-42F6-8830-D996ED7B0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848861CB-8FFE-4B25-9D5E-5247EFFF9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7CEAA818-1E01-4524-B012-FAE4B0FCE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2B54EC35-460B-40E7-978F-029A1B5DE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A6CCF105-95FD-4FAD-9C5C-219365310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2621BDE9-627D-4EEE-8E59-46FE122E9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35B3964A-6F1E-4D34-8EFB-E693AC124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16C6D412-579A-4586-8B71-26CF2F5BF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7EF10EE6-69BD-4997-9DFB-37808B63F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6A19CCB5-F7C8-420A-99F4-BBC4B0504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651FDAAB-805D-4293-8B58-13804F535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D721231A-9354-45F2-955E-9E65A77A8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6A79906E-89DE-4147-B9E6-8482481E2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7618FE99-F670-4902-A141-246210D8F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1C8DDB40-5864-4B87-825B-E42296263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F1126891-441C-4357-A8B1-F611F67C5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8E67BF82-B6C2-4237-922B-FE8F265E6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69EA699-998B-40BC-87DA-5E2E8FEA6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552166F8-302C-4F7A-9E66-A79C8EABFF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38D0EA7-5B19-4970-9289-FFBE1D8FB4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C7DA50C0-7EB1-4225-9197-675BDB8138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3BCAAD7A-6AA0-4879-A4A4-D860BA520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F36D7992-B442-48EC-B16F-18A2541C4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66C4670-40E3-4EF2-A853-745AD4A5A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C7B73B41-1DC4-4EF8-A6C3-02F52678F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FBFDB44C-2975-4627-B07F-A2711569D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25858A3C-1FA6-484D-B5AB-AA2AEA35F9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874DFA3D-00D9-46B8-A76A-8228AF3B4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BBB1A1DF-BC68-47BF-8FFF-208CDBC64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5D19B2E3-E24E-4BFE-953F-F5DDEF894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6B7D5DE9-B053-41C2-881E-2FDD9754CE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E66F893D-FFE2-45A9-982A-5C1AA422F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86F6AF36-8F70-4857-B657-3015B5B9A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E15DE473-5DEB-4F91-AD60-13D8D7684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9A1CFB34-523D-4062-923F-4C6171787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D3A13352-7C94-4D37-8B48-CC9011B99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1CC693AB-C7E7-4AE4-BBEC-4A41A3AE24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D8CD19B9-8497-4072-B86E-3BAAFF08B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14B66C35-49FB-4103-991B-9CFDBD361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361AF278-44AE-4853-844C-448F05F8C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129CD09E-01F5-48D4-B86B-BF96CC26A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4A8F28DF-D4DF-457D-BA44-683B65CEE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F3E4DD6E-51B6-46F8-8FDD-F82913E27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8693B34C-D885-48AB-8370-64427E2CA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B5FCD492-428B-4DA1-81DD-1AAF04707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BF9CA029-4036-4E55-89DB-ECAED1E2DC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722FA410-C707-444B-B191-41823992A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D7DF940F-66B1-4A2C-A162-18D7FD6C3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31F1645A-5F5A-4009-A37C-BF6475F8C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4329913C-0650-4174-A523-DBCF40A46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175C1599-4999-4B34-AFCD-030B85393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D044B54B-CC1C-4B86-884A-0449ED10D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F440E00F-0552-472F-B766-EC795F82A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744ED107-6153-42F4-B3B0-3F0B1405B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9CAF48-D0BF-44EA-8A94-740BAD523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E21231F5-9120-48E4-A27A-B63FF90DA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6E6FAA89-FD5E-4C57-80F4-C0F0F95E3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1D243B3E-E2E7-4D9D-8B1A-EE0618E17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34208938-F81F-42DF-A7CD-9A50557BA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FE4B433-C698-479D-8C5C-B7748FF1BB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9568BCC9-016E-41C7-938F-488B3DB83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C9B1AB-09D2-45A8-8244-83DEB0F5D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60F75554-217D-4998-881A-66FBC4F38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402FE7DF-0250-47E0-910F-5C64CB679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2E01AFEE-28FE-49A4-A78C-D683D7C7A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AE86C58E-FABB-4A07-9F2C-70025D988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3D5E3CC9-8B90-42BE-BBE1-805D73B7F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FFFCDF31-5DBA-4635-AD5D-C9DE5422B7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A57CBFF4-5B84-4858-B323-8248F99E8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F46851B2-D29A-4986-B0D0-4EF959D85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A45631C5-03DD-4CEF-8A28-2C47F2AC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C57CCFAF-E409-465E-AE83-596A26916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B5C2D54C-B8A3-4639-A85B-B3FF57D82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D385197A-559C-4E3F-9CBF-D0DC0885D1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F0B1E7F9-1506-4302-95DB-6667C4B4F1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EAC8BC99-45B5-4F03-9A1A-41BCD9A5F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60599B8F-87A3-4E92-8789-8896F621C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F80CD4AC-C358-4300-B7BA-A521A3E595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D78A2AF-9BAF-47CA-9FE1-40D553002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689104B8-C3BC-4256-8F41-BFB1001A6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554D0C8E-6FCB-468E-9C68-2CA510511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F3B2680C-3231-41D4-8EFA-08771B9DE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BA2A69C4-C841-4828-BDC3-B10DF11B7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5C89B4E2-93AC-46FA-84BC-5736CD399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CBAB3096-C6D6-492B-9E01-0412C733C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2D0FF793-52D6-4DA4-8FB4-3E08CD449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C26E239E-E7A9-46F7-AFE2-06C5DED58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5A0FC8F6-6C32-4076-B8E3-2BDFCD779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BAE470A6-3A01-4ACF-AAA7-886844AE8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9C1210A1-7CD8-4FF7-8BB4-81F33C64F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B4CD9780-F211-4DF1-9CA6-558960000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BFEB75D4-FD81-4905-823D-26D42095E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BCE7CD76-AA34-4E99-8B5E-A1C2CFC3B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C87119B4-968F-4C8E-8357-1AD021A44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ED4B07E3-EE60-47BB-AF45-44F51F60D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BBC6534B-ABCE-4486-8960-644693509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849786DC-D0D0-464B-A564-E9DFD5CC1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12A3AC02-C031-4AFC-BE2F-CA863C7AE0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9F8A5EDD-2BE7-4562-AB9F-4C9A08E3C2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B7BA23AB-51D4-4567-BF5B-9FBC5E322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E015AE36-3BA2-4557-A6A1-200B5BF51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186D7ADC-ACB5-4D7E-96AE-818516A64F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D24EE8BF-A4C7-4B6C-926A-E032340DA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A3D50651-B8B8-4C1E-83DF-B2B235B56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ED795DA0-908B-4992-9F80-7E846EC50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FDE4C53F-8E34-4850-9CA1-F189F0872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D75C333B-35B1-4FE1-8538-04B5E91C6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4F269129-2AC7-4A0B-AE4E-042803E0B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96941D1A-FC1C-4EAD-8040-3892E8930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BE5AFC01-6B5B-4873-8379-01DAF9471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9BDBB638-EE44-402E-BF0D-708DEB6CC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78ADF98A-6BEB-404D-8A98-8D364CC48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AD33BCBB-E6C1-481E-AA68-F87AC2228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19D11D82-4A2C-44FD-8AAB-70924B02E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BD648A45-7489-4166-98AC-0802125AC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787D974B-D13D-4D2B-8379-837A3F050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586AAB8C-0F4C-48E9-BE6E-A89AB1EE0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EA98A669-EAF1-46F9-8A24-F7871BF62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834EE72C-CDB0-4A45-9508-843DD732AE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821CBC8E-0730-4AC7-8C8B-3AF276144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B502E1ED-A006-486B-9C9F-54976447A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66CCD574-86D9-4604-9C00-E26C978AAD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3E83AB76-2E34-4508-95B0-65E688D56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E03C26FB-39D5-4AAA-992C-89CFC76E7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D947EE31-8020-48D7-854C-EBA9D63F4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F88E09A7-9D4C-4937-BAB9-065E6BBF1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64AA96D0-C9F2-448F-9C69-D88250540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DDE256DA-0DE4-459F-B569-9AE0923D8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F798D727-647E-4E19-A6A0-138D94FE84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C39F6CEA-4229-4687-AA09-E03915CB9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D08EDF8-93AF-4F63-BF3E-9F74E9DD9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80FBE617-EBB7-47E0-8AA9-AAB71B5BB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EEDF4ED5-65FC-40CD-A58F-E4C67B886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E6FFBE7C-9613-4864-A4FB-C64BC8106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ADE62328-E358-416F-A481-5E0B0A2F68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FFF8332B-BC9D-4DA4-9848-D6D38A4A4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27862A71-A365-4329-AC9C-AE59534AA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96DAB983-6149-44A7-85F0-26A16943C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679EB2FB-4E49-4FB5-AF78-D1A0DCC63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21A73A19-D86B-49B5-BBDA-3DAA93A35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1EE0FAC4-0764-4D5D-9CC0-33D1548C8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EE5102A1-079D-4ABF-9649-C63CAA82C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7551DD0D-7DE6-4D9D-8584-1EE4AEE02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B6DEBF7C-BF4F-4967-A88F-48E691CC1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F45B49EC-054F-4319-BE65-D5DD6D7A1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1BDFB616-A747-421B-AFB0-45D8CE2D5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D51B199E-0E05-4B77-A98A-011B72890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BF472B15-8B43-43BF-99D8-8E5A6D82B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42816297-74E1-42CB-92E2-8D441AE0C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3930A55E-4032-48FA-98AF-61BA00ECA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EDAD1DF9-543A-4CE1-A0E3-9015A5F91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DCAC8881-B037-47E9-A790-C293C61C5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DA87E25-5129-4574-B44C-5BB12EFC9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49A81286-4ECA-4698-9EA6-64C687946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DC88E67D-7698-4C2E-B8B0-4F8FE5811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29E8315E-29C0-4452-BD40-13E9BFA79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4569C8A9-DD69-4019-92C5-7A698554B0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CF47ACA0-C384-422E-A677-440D4D5A3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80E452B-1852-472F-876C-D0D02569C0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A44AC7AC-98EF-4813-973A-FCFA077C18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45B28A2F-6F0E-4544-A857-91D9EA654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3CB88966-EEC1-44BE-9E55-66F7E0BB5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26541618-79E1-4C25-AA1E-41ACD6310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16B9B69C-6419-47F1-80BA-AB5187623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8E9FE003-52CA-4BC8-9C94-38ECCF43E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7A2BEA08-088B-44A7-9192-4A5B75DE7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48EABD1F-0525-40AA-83FD-AC43237BC8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56A4322C-73B3-46B4-9582-B6328FF6A9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CECA34EA-417A-4CB6-9E22-33E5EF7FC0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164A8B98-A346-4E24-B94A-654890BBD4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4135AE91-C447-4070-BE85-CC57DA08B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13AAD85D-72FA-4C0E-9E29-B984DE18D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24FEA9A2-527B-4378-93F7-896C419BD5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DA7A8DBF-1D3F-4C4D-8AD5-79A4770F97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1D582289-C169-461E-B46A-D798C799A7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A95F89E7-D2CD-4B34-95BC-7AF205762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BC526DC1-5C0C-4853-8EAB-08447C774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4BEDF337-E7E3-4C13-BF6C-292FA1DC1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34F9E63E-0FEB-4754-A08C-ECBD968C0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ABFA01E0-7944-44D8-8B45-59DA8A2F5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971FE046-1289-4682-B91A-4CD9ADB96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B6473229-2A4F-413E-B531-D5BD56B10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D89FFFBB-DEE9-49B3-B37F-3F3D4FA47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D5641674-B3A3-4770-9FCE-6790FD341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FDDD526D-61A9-492B-8505-98B9477E7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4070C064-660A-4BC3-9F14-22A53DD7B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D7BB2EB6-1181-49C9-B7B7-EB79FA029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7E53A522-D4AB-4E43-B48C-83E2BA520B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3980A9DA-7946-43CF-869F-A46B762ACF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67F755EE-209C-4FF2-B02C-6D248054B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EC1B2FEB-30F9-4FE2-A162-3C448A85E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A2310B34-A487-4AED-BF45-535527ADF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B9FE47D0-B31B-44B2-9D47-B3C77A783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9E4DAECD-7542-4C48-BF4C-98931A425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F0C2445F-41FF-42EF-92C6-AE8C6FAD1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740CFB0B-F80C-496E-80C3-7A7F05125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68ACE3FA-AB13-4D63-8C65-AAD151A55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9517F515-CC84-4D1C-A719-3B6AABD3F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1E60054D-769F-4120-B989-8742E12E0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D9E3ED79-866F-401F-9648-ADC7B7155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1AE7DE5F-16F3-4850-959A-443795AF2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A8A8A3ED-4E64-4868-8BB1-EB414B65EF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B53DCA27-7A8F-4E96-B6CB-5DA0DD8B2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458B4A2F-718C-492A-A457-EE7ECB838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A04EBB18-C24D-4E69-BA53-AA075486D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83D53B8F-5E8C-4B25-8E40-049A953E0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D7B86109-DA30-4609-8404-F72A2D301A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812695D9-9DF0-4DAB-8425-0212F9DF1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C2C14219-3AE6-4CC5-BF61-9893B0F288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BBC016D2-CEA8-4ABB-8FCA-7BFC30A90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AF7AFC39-FD29-4D20-A76B-FD6300EF2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38F1A7EB-35E2-4683-A5C4-0E5DADB33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F0EF95F5-6C8D-4118-81D0-94253DAD8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B5AFE74E-B7CE-4F55-AF1C-7A5B2C3A7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7761B02F-79A3-458E-B920-3CFAF7A9B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547FBAFE-659F-47EE-90F7-C4FFF6403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1BBE7462-38A4-4228-A4CC-95D33595C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54971932-73DA-49FF-9B7D-08DAF4DF9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FBFE711E-0DBE-46BB-9F80-37E4CA894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5E1C1CFE-6DD8-4C1A-B148-2AFAF2056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F8B315D7-2EFE-4C3A-AB90-6C91582BA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5C948C75-7F2E-4890-8B9A-94A7794F0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27D74E5C-7906-4FF3-8482-F7CA92303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725A4881-01DE-4DFF-827D-DAAB98407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16B95C70-CEAA-4499-A6B1-4C2BB05FE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2AEAF829-1379-4F37-BD34-55A2642BE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739B53D9-3A6C-4824-A343-272DDD6E7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4E75698B-793B-4FBA-AE6B-014ECF307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59F029D3-2295-44E2-B493-4FA6FD2B2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56DFBB59-FD01-4600-8442-EEEB3F7AD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542FD18A-14CE-4D06-8650-42193E4B3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176B6492-8439-49BC-9181-5577543F32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9A54FA5C-7121-4D2E-921A-70DC8227E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90B0CF64-165A-440E-B5EF-D2EF79036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7DEB3523-D175-43BB-9C7D-25C3757A34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FED4DB60-D4F9-4E72-9906-3BC65396B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B2A81749-8BC5-469B-B280-D70829655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13A9B687-78E7-4398-B560-826BEB8A4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2323B3E0-9404-4598-8362-07BAE10F1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86CDBF73-2958-4EA9-A749-A7D573B76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E625657A-3E61-4B04-A159-2AAD543CC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BF5949F-E556-4EA2-952E-09D22B4AF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DCFC30E2-FAF0-4C36-BA34-85C8706DA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C43B19BA-51EC-40A0-80F5-9EFA99406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7D0ECA9E-2DF5-4131-ACE8-9FC3B3026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296018F4-F794-48F7-9C4B-328786E661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2455688D-C769-4B34-AC79-92E457810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2425A227-7F74-4CEB-8A4F-B6CCE8E0F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8F326DA5-8C96-4076-B40A-BAB27123C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57E8C0B-0ACA-49EC-9FE7-7FEF3810C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2D4CB3F8-7425-4D13-BB67-41F0360F6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83E1A5B0-17E3-4962-A6A0-F66AB735E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AC014494-1A18-4895-9BE4-77CFCAC06D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A9E372AF-9DD3-47B9-AE63-B95B4C46A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D19430D8-DC79-4F9D-AF9B-9E6E27818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6360DDC1-8463-4226-9BAA-9825CFB3C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C1589F63-C1AB-41D6-A640-38875F980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B618664C-FA16-46BB-9370-C3B351E84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D9D3A719-5993-4318-BA80-4BA60D088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B994AA91-5C3E-44F1-9F69-8592234B7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A3725D03-7129-463B-BB6D-4EFD9DD28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B3233B68-61BD-4CD2-BD1D-00267C378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E82495C-AC02-475A-8E7B-24879CAEA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2E599EB5-450F-415D-94EF-C4EB81BC8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F1E59A74-EF39-40AE-A03A-21268152C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A1C0709D-8250-46C5-9AAF-CFB88763D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70FF466B-A6E5-459C-B84B-947C5CC75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B6A14060-FFFF-4B40-8402-127B32AD2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2B6ABC61-97AC-45D3-B0FB-0D2B61718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88252651-26A9-44F1-8DE5-FD747FC6B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316B1CA5-7B52-4211-BC17-48E65703A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8E1AE225-5732-4653-AF75-F1919837BB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762D9995-1A26-41E1-B045-54923705B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2F0BC08F-66C8-40F6-9500-AB3EF6B41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5D31FFED-C40E-4DE3-B09C-31D61F9098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713F3B69-77D6-44AC-9675-58570A3E6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20AD46BB-56E9-4906-81CD-0ED0D19AE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9F1DE0DD-7752-4377-9197-1DBD35079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2AF82670-5338-4EDD-A2DD-F39BB67F0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30F8FEDF-80B2-43C3-A840-366A1EB6F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3E6FE73E-0F5B-4766-BE7B-CECB701DCD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9140088-AA55-490D-8BB8-2147CAB252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BB8A341D-1776-4466-BD1D-5E1920209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988C49AA-44AB-401F-8683-ACAB37D6B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5C69BC4D-D161-41B4-AE05-9DB4B73C6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9E26A4FC-583F-4E90-96A3-6B937045E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A77C7F8B-9175-4824-B5B3-3AA7F2E22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14A90A4D-45C7-4695-91C7-991EF4248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B86E8EA4-818F-40B9-B609-91221052C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EA6AE19D-58BD-4B8C-A9C1-B5DE561C6F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794E3D57-6D05-4B1F-AE6D-3491822D2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F2E3DD92-6EEA-4CA8-9F3B-71E8F60C4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CD38B54E-9861-4A6C-9790-F8F225F0F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B74006CA-D176-4AD3-B55A-6725AB205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B95D301-25ED-45DB-87BD-A1F6D88622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D30448F2-1FB4-493C-9442-E61FBD722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3E8AAEDC-9729-4A55-8D35-2F003D472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4C13E357-56BA-4CFA-8065-87CBE3847A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EC5B3C74-9FAC-43BD-9AC8-9FD86D3919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B0A5D76D-AEF0-4D46-B935-7DC4B1D1D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8C4C349C-D1D4-4E2F-AC24-239A9DB37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ED5E2061-712E-494B-8EE3-C0489DF0A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A60968DE-751A-4CBD-90EB-A5B7C26381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B3AA3C4-259D-4430-BA88-A43F36CAD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CD60E092-51C7-45D5-8C2A-7D75F62E4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CB5E861E-145C-400F-9F6D-B52852DBA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838DE3CA-49AA-4C27-9CE7-9EEEDA36C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E0511523-881E-4921-8769-51FCE67F2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BF16B030-6DAF-4091-9F30-04748C6BF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E0C5FC66-29B5-4435-B4FB-13C2E6F4F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7CECDB3E-A79E-4444-B1FE-B5F18859B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1A197839-FFDF-4EF6-AF8A-C559131E9E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A034D313-D9FC-4934-BA52-A7E081F17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17D6F2BA-4217-45B7-BFAF-57FDB8239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7DD0ECA0-EF2C-4DD5-BE3F-A256AF162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6EA56B48-D82C-4655-881B-AA11E42F3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34D2144C-8E9F-4714-B462-4138573B3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FA6144D7-2784-4485-B8CC-425510516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62536AD8-1C85-4D86-913C-04A371967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10E91A51-BF35-49D9-A0AB-A8FB5FE0A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79563974-2D54-471D-A39A-DB5CB0F0A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1BD8DCDF-D8F0-480C-81DA-2F939E3B0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F08183B7-BFA4-4426-87BF-38BA48140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5512FA43-BD1C-4E22-8B3B-536F176E2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F8CDE727-D687-4B80-A140-CB5CF73E7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885F95D6-2C49-4313-A877-014FB946C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23A2816D-6AAC-44F2-9C26-092C3ABA8B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6EC9B3F0-5B5B-4381-8E95-AB3B4C8DA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34CD4A00-58C3-464F-B971-1A1C5AD70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D29213AB-722E-4072-8115-9EFA783610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3CBA604-0AE9-4866-A974-4E0FD12B5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CAA7FA70-7A3E-4F2E-BC50-8E1C27564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39CDB80D-4EFA-468E-A07A-9DCCB82AA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C35AF946-F3B5-463E-8686-F237C11A9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34CDF67A-5D86-4AB8-98F2-32AF62D76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4C8ED593-37C8-484D-8E56-E556629A0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1AFAD598-CA86-496C-9DF5-A2474311A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56900B2-0307-4C6F-8D1A-8C2DC6E6C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EE7F90D6-DEC5-42C5-9F5B-C1491748A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56F79AB6-8D97-4A66-BA62-AFC653E54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C09B640-3E8A-4A48-AF53-F1A855A3F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F612BBB6-85CA-4590-80C5-3610F7AD5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E24BA962-34A5-43C9-84B6-65388AEA2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8998D7B7-B095-4143-BDA2-E5B7522EE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39684A42-FFB2-45B9-9753-12BAF7A34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2A660A19-DADB-49F2-861B-BF5E0D4C1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CE9FEC7D-0C0A-4385-BB58-F0BDD9D950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6D9717D4-5713-44D3-BFB4-19C339835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2FB57778-5885-4C5C-9C3F-1E72BD5F4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41B6FBF2-02CF-4CB6-BDCF-B417191AA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5C6A9F28-849C-4BCA-8CF0-515630856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69A77638-9F9D-4590-91E9-E4540B9A8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EF3FDAF7-5B1F-4E78-BED2-C7C6F0B56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73203507-26BF-47A7-B759-C766EFB72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F010B945-38BD-4213-90C1-012BDE7C4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795D4588-CA20-4C67-922C-4FFAB10FF1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F2381CC1-70A2-4EEC-8438-6F9C1A2CB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EEA1DA84-096A-496D-9439-4B9EF7BE1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AAEFDEEE-DCCC-4F12-AA61-DF62AAA6C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5996ED73-B81E-422C-929C-169E54C10B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FD839F02-0AEC-44EF-8316-143B1E255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4E67DBB0-DE53-4295-82CF-FD3522584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9ACD1B10-018F-48BD-A29A-CC5A26473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DA6943FA-0D05-4E37-9A57-959A2CD3B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9E4525E1-F451-413D-A6A5-9A9D2D3F6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D8232395-8F74-4D42-8EBF-ACA244485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3C5ECBDB-6B94-4A73-B776-3FCC2357D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144139CC-61AF-4C8A-BE5E-73EF1C32F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A64D6567-AB5B-4B91-A01F-EDF5B23FF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8569A6B1-4EC1-49F6-B580-C8CE813A7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721C3906-A53D-49AA-89B6-B7B3813CF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B85BB00F-450B-48D2-806A-951358F7B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52A4B679-DA58-457B-A4AE-DB0EE5DAF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77DB9198-F47D-4163-BA3B-7FE1E46AA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41981C9A-6FCD-4640-9D41-10EBC2AE7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BE75576A-BDBD-4273-90E7-9B0E62DEC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6FFEF156-51E4-4101-9419-B6CF2CC86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1AC83758-C9CF-475A-A506-9EEB021274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59B3AFDA-E285-485D-9805-53C53B131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54232A48-FA4A-49AB-B599-4A5710409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C3F4A8F7-7102-4180-AC01-84C989BCA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D0367F19-CAA2-42D4-AFAF-ECFEF8133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7D73E15A-2469-4A58-9E6E-8CE0AFB24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8BFD44F5-27F1-42FE-868D-4C5C17A2E4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47842B1B-2A7F-4328-B9A8-E38F137B6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606A823D-F679-4B4A-8551-460169216D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1E77C553-63F2-4E5D-8566-421C99B78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11D29EE6-805D-41E3-A45F-3090B1409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8D5D1C4C-88A3-49A3-B0F2-E030DA7AEA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47B0B092-C2F4-4F13-8595-29008DE79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1214161A-4773-4287-9E2D-A406F93F8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C7914595-24F6-453F-B9A7-CE8A85981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3AE1E163-F877-4E4E-ADE2-2D30691CA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56C4FF60-42B4-4974-86C7-054FA5523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5DA0E037-219E-4EF0-80A8-10EE5C331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B88FF56-3031-4106-85C6-C64B5D5A6C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F890D33C-8311-49FF-A6C1-B7293B33C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6781D01F-EB06-424A-B7CE-A61AA3925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35D1E27A-D4F7-42C4-B3F0-4CBD3E66D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C8336833-624B-41AC-B64D-E2B168A129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738B5361-DD5A-494A-B1A7-D640B365C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89EE33CC-91C8-47DB-B1AB-4AD306F25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E0C7A830-DDC9-4DD1-8215-EBFCFBB98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4A74A1C6-A688-4C9A-975B-A137B9D77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855E7942-E0A6-4313-84A1-05DFC5725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A5E5550E-2AE3-48A5-89BA-540A4436E9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A088142A-3172-4ACC-82E2-E739424737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7C148D9A-8105-48BD-8A30-F5919D68F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DD3A4B24-B3C8-4BE3-AAB9-A7A57B938A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71658DBD-A76C-406D-962A-43C134B34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E5C275AD-9D6F-4F91-B8ED-064286852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ABAB905E-A20F-4710-B728-A542C60E1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A65573BD-9656-4088-BBA0-774486D9E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D7E07AC3-AE3E-4B24-92ED-89D7138380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C2F2252B-C532-44FA-AA9D-46C17262E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88224D38-52E2-48B9-99D3-5847979D2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198A6E31-2CD0-4529-843F-2A03A64A6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A35FDB35-7719-40E8-AF0C-F8835E304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8486B91B-6D8A-4715-994E-8D320322E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CB08D652-9FCD-4909-BE21-7DAA5E8B4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9BA4DED9-5D6D-43F1-B704-FAE92A569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48F07048-C3B2-42CE-914C-EFD11F671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A0D8D4B2-7F3B-417F-8935-BD449EF00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5DB8F6FE-F4E6-4DA6-A2D4-E034D59DA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13DAFDF2-459C-4E2D-9DAD-21D53E4AA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8770BA9E-3758-4C69-90C7-12FDC744F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756DE117-B1DA-4285-AA23-CB2811A53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10C1BDFD-11EE-4F93-AC91-72C328E65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8E1034E5-2360-43AE-8C7D-1B0438EBC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42DEBAA7-3D0A-4FD1-9390-E954D966B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DA918697-C7A4-4650-81D7-3BA51FD33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32EB5EB3-1D9C-4DE5-B5E6-1837D4E07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F1682185-57C1-4543-92F4-06D03EE46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F9382058-B4A0-46F5-B454-7850B14CC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93687BB5-8126-4C6F-9E9C-E04BBEAB8A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2BDBB0A5-2FA7-46A9-9D68-F81B7D6A3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F17FADBE-B573-45C0-9F4D-DDF3D3CE4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9F2E651F-63F6-479B-8091-0EF16812C1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D029E270-169A-4621-8EC7-CAA9B7A22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240EC275-AAE2-452A-B96C-3630C2C30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4182AD8F-508A-4A98-88DF-379B83AD55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CB7A85E3-F58A-4255-A232-DDBED568C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C1677180-36CA-4695-A9B0-887C6E96D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C64FAAD0-B44F-4D60-9807-6E49FB50D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FF58B820-E7F0-452B-946A-300ECFA8F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CC03A55-2114-4C11-83F6-02A70903F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EFD4B90F-B728-46F4-8148-326ED55D2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8D7944DA-2389-4348-9BA9-57F44A24E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6C70113D-430A-45D0-8C1A-A28C285AF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1E81E5A5-1D99-4663-BD59-969448D83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86E2F7DC-CB04-4155-8AE6-ECE97C434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F565FCD-4028-4847-81FC-48087350C5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32FD34E-7797-48D7-A62B-4FD8ABF64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4B0B392C-EA94-4BB3-B1C8-4F7145189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545C84E5-0AE8-43D1-8F63-A966707A0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BB09C882-2690-462B-9FE8-AD48BD39F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A8583A50-8160-4906-9F9E-783A9A0713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D169452E-C273-4E26-8C80-D9DCD74E5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EC87D5B6-07A7-4C20-98D2-E2EC7150A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B7FABCDB-5B42-4C3F-BBB9-2D6C4DC4D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8F8BDAAD-C126-4512-AE43-2EB51F1EE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EA2F0134-0332-4C1E-BE4C-DCF3D502A4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C7C08978-C829-4D44-A7D0-89CB3E2A32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1F1940AC-9F73-472C-8CF8-6D9AF9DFB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D0FA713-2EC7-4288-9DD9-403CEEB1C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739A8533-DE1B-495F-83B9-78D1B3C61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D34965C1-A1FE-4C21-8E57-B5AA62E31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56EFFF17-FD2B-4B23-91F6-D5F49BC29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E473C294-CA9C-4EDF-A1B4-FDF81D813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DD9E5178-1F67-428B-A49E-5D924EA28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D52700B6-399B-46FE-BD74-D84A1C2A66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EEA44F7A-8468-45C6-B3B5-53480CE8C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8D843C6B-4569-4767-BB42-7C591359D2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C54BD3F-4AFC-4723-889B-C08E8062E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C69CAC92-9FCE-4860-AF1C-8FED954F4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EC0B1DA0-2A80-4531-A28F-7A2FDB025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C4A4A4C6-AE43-49F8-9D05-7174D1928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7F5FFFDD-E2CC-419D-A23F-DA9005B1B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D6AFC0F9-C343-4DBB-ADE7-2C3C80482C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82E711E6-7DAE-4A0A-9733-635D34E08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814E359C-04D2-4FFC-9D1E-708E16E94E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8E957601-96F0-48DA-B7D6-13A2211FC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B2D0952B-2A1E-416A-9D41-B8CC1ABDC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ACF06743-27E8-45E8-BE07-04A95E1F2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F73909F7-D2A4-41E1-9648-E519E476A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E1BC3290-C221-49A2-B765-1DF8FF953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D6EF9FF6-C29B-4ABD-A1F7-30CDB72B6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EAAD7DEB-D3D5-4FEA-B98A-1C4A0949B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A8A93832-50DA-4F86-9BB5-E170A22A5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DA2B9799-0AA6-4FAC-8E89-B46D10D8E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2550CCAD-144D-44B3-91CA-FFFD3E18D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F084F9BF-4C25-401F-BE89-2F18E4229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EBD5A8C2-4DC5-4E94-862F-AE9C0FDF8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A7478BF8-A7A5-4AB9-969B-B16223D10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EE787927-FA44-484F-BA89-14EE9C17A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A1F370F3-A5F5-4D56-98F5-029326D91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CE95C1C7-F2B7-47BF-A061-2B97CAEAC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910E9BE0-502E-43C6-A0F2-5B0BA8762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F5385EF7-D6D6-4E51-A31A-E8D6D1784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A8F8D7A-20A7-4B23-8687-6BC8D69B5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A0724292-F4A5-4E01-8DD8-EEE4FEDF9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7812E8B8-AF7A-4093-9DF5-44D91B6D7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25D6F6DC-3BA0-4C4A-9E46-6DC9B1D32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5B528F95-3633-4640-8130-A8E3F863DB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84127FD5-331B-44E2-B44C-F811B9197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2EAE1846-5727-4A9E-BBDA-8ACB719F8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2BBB4A03-C393-475F-8AF6-7ED7D6C11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B103EEE6-DFCF-4B34-A65A-F63234C8E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3611955D-618D-43A3-80F0-B85E60C57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F52654F9-3968-4AB2-B26F-873A8EC9F2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BBC639C2-6112-4A5D-A322-E1165F7F3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B5C3630E-B1B0-48BC-A727-DB66DEA73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A6158D31-B36A-40E2-B063-05A333AC9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3E315976-A996-4E1D-9933-D98A0D455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7D6D9264-36EE-4560-9403-262F0C8A9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AA4B62DF-3053-4128-AEBE-D39D23213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ACEAC6D8-C584-49B2-9196-2B8EB55A7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C7051E6F-2DA8-47F2-B3AE-5F15E94B4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67B6B30A-CE78-4DDA-A439-EC8B7B306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79D2EE18-4E32-4EFB-B8CA-AC1C075AD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3D0C5AFA-C0A5-435A-A4C3-76CEC72C9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969F2375-03A6-4EBF-87C5-EDFB21622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64AB5EC7-34F7-4D6F-B222-DAC2FB9A4D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22F9F26C-7F2B-4229-A8CD-AE3E6FF05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D14A7A66-B804-40AB-B35F-87B0F3B42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F4CCBFAD-BDF1-4DBA-BDEF-6827A2428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45A979C0-18B4-40D3-B40A-B0D7E6718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C9D0671C-5494-4B20-A403-0404ADC21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D306FB83-187B-44A1-96E8-4A302FE1B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F91F0AEE-5168-4EBA-A909-7AE8C8626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BB38B469-4706-4705-BFDC-DD82E655A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EECB3C2C-1A7C-4C04-A201-EEECA017B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77301539-C9B9-4171-98C3-34008AFC3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6378E7D9-61DA-44B1-BF3A-EE9E723609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601FCFEB-01AD-4AB6-B9BA-4D7F89723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951FA576-07A7-4BEB-BA33-1FEA5230E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8C1D7871-91BB-4C91-96ED-033E1097A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322F17AC-BE54-4C50-87BE-83D9C2426C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7C857A6E-47BC-4693-9FE7-9A5D40373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C4F38CB0-CFC2-4B7F-B459-18A2853302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7650FB39-5A39-4CF5-8C21-5E022493B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215426B9-8C5D-4314-93D7-39880C191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4F24F1ED-1541-4C5C-92CD-646B285F3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6174D9D7-BB3B-4AAF-90E9-A95027B73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6B4AB9D5-F4F6-481A-8A05-EDEFB7B1B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692B4CCE-6AB6-49AA-B052-34D3962C9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400AD2C4-F96E-4F09-88C5-50CFD80B9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751165AD-7C3F-4559-87D3-7E8D75447C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262B96F1-6B01-433E-B126-D4F1A432E9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4C2D7E26-3003-4B46-BDEF-0DECFFC63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A05DB757-FB02-45C2-B1AC-71AD2E8B4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20433631-6615-4DE4-8151-5505F35BC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9309CFF5-77BE-4F98-AA91-E71ADBFC9E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EFEEF27C-F231-4963-8471-6F268F46B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23405298-9A90-41C7-BF60-452215C38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B60926EF-D1EA-4576-BACA-F7C76FF1F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F1CA9090-D8AC-4ADB-B1D5-F05AD9F4A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1BBCA0D0-0AB3-4880-AA4D-A2B648AA5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AEED12-B6CB-4D31-AADC-A6788DE15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96A62C40-A8C9-4223-9403-9BBEAB392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FB6FA576-AD27-448C-A474-B843ECAAE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25E6D41F-6629-4CC8-A24B-D40358E2DF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E468B345-C577-466B-B037-5EBD4858B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A8290F48-C7B1-4B7D-B7FD-EBF78D04C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AC00B813-BC0A-4323-96D8-4CBAB5009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36AB97EC-7A92-4472-8997-FAF8365DA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F4E5C49B-441B-4594-BE94-515577FCB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27B2E464-6E3A-498E-A0C7-4F2F5BA68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9E3DD206-903E-47CE-8501-061B506D1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D03D2240-071C-4DDD-AA97-9CD177F3F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1E46AD56-D48F-4998-8CE6-CDA225474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57FD0D9-F237-4599-A24A-A759A05D0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CFD4B7CF-940E-4F67-88EC-BC4CC613C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7CF4086C-36C0-44FF-AA9C-4F9352A0E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48906A7-8AE6-46CD-A8D9-6743371EE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D735112C-A6E7-4ECD-A404-556F879920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569E4C9B-15D0-4D49-B81F-B1FAA5A6D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684225F3-72A0-44F0-8679-D2598542A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1E218C51-1D7E-424A-8935-264FD055A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54772DB2-538B-4049-9493-72BD8228B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5918B333-18DF-4E0E-B4A9-DA69AACB1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8946FCA0-EB18-429D-9072-8A2E9F425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C18C1000-8074-4CEF-995B-931C0C93C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E2C33713-448B-4FCD-A60D-69FDD41C0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8ADF0A0A-B6AD-42F6-B808-0FA528643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8A619C22-3DC7-48DD-8FBB-79640F2E3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A4866EC-B913-40DE-A985-A18AAD861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83C47CA0-FECF-470A-B4E3-B0DB0D756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219B9432-9D79-43BE-ABA8-377F1B643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F827E680-E865-43AA-8B1E-CAE8E308ED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C3C737E1-1C38-4BC1-ACCA-0BFA8C9B3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41BBAD79-7495-46E7-A64F-4BEA36E82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7B61F56E-3AEB-4AEB-AC41-C421B54F1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7568C71-6A2B-4E37-BB71-5576A72A2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4EA86034-2769-48B3-A26A-DF7AEBD89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FFF4DA49-EC2B-48A6-80B3-C010AFCDF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7269DB2E-539C-474F-9A4F-E51EED8AD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FDC7C52F-2BEE-4479-8C06-F586B7AA0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F5B09A22-C169-4AA5-88A5-E59861723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29681324-5719-43D6-8C23-2D9BB97DF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7DDB9628-5AD3-48E8-BF9E-45060BA34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AC82E2EB-2A6E-4E05-8F3F-878F84BED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13970551-385D-4E63-A0FA-1CA1F2215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72250308-E52A-45D9-8AE7-4196D96BB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48576F10-3E04-4E8E-B28E-B63868642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30F261C5-A2D5-46EA-9CF9-DA5DF96E2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5C91BFD2-EA7B-4A60-8F7F-BC0BFFD72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C18F5985-5744-4F59-B20A-5D7C8BC7D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643FBC1B-21EB-43F7-B642-E00DB57D5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7ED634FA-F5D8-485E-9E79-0FC639CD8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9B6B81E5-E0C6-47CF-9980-A31B4B110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1AF99543-82F5-4CD0-9958-4AAF99ED0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96622A74-34D4-42E2-B9DE-FA789EC72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B9A3BF14-7838-4AB5-9DE1-695EC6712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C5B13FB3-F2F1-4618-8373-A8E688C89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7183D7E3-4A2B-43AD-B2D2-0896670C9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3609255F-BF65-4F35-A3AA-D2E89D7FC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81377548-5FAF-4D55-B49A-7B3E24CC4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4196409-9D36-4448-8F7D-E32254B03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A075A432-193A-47CC-8858-237B6CA8B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6B50D31D-6491-4DBA-BB15-61147D00A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EAB2A774-87A6-44C2-8061-BBBE9027E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B01DF5A5-E96A-43C2-A3CD-68EA4EC37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A8220001-2FAE-4121-9ACC-049203A8E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481FBB67-A196-4632-BCE3-62ECA3F23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96535328-6CB2-42E7-A7AD-A909189AF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989609EB-94D1-4C00-AC3A-1730E409D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AF9C5ED8-E335-4B67-959C-33074FD27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D0417BF6-AC96-4D89-9285-9287CA1F1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2D605939-D98E-4E1E-B3B6-1467F191B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98F3EB58-571A-43F0-802E-C727F0AE7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36CFDB31-75AC-44CD-AB24-063FFB628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3044AB7B-C3F6-423F-BB47-97A6897A3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87D07B3D-DDDE-4E1F-B758-D89394F93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2825D553-0AE3-42E4-922D-72E997A4C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B5DC5FCA-B9B9-4961-BF4C-696AC31D4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651C7138-FD20-4541-AC05-479322527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4570A5B5-4083-486C-848D-846220FA1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B9A2B55-BF14-462B-A4FE-BB9FBC69A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D584DE73-E6FE-423F-8224-2BE660CF66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B1F0278E-3F8F-41BC-A4C8-18BC46448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18C2E176-4CF9-4699-8482-E524F49D2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6234D6D0-8F40-430E-9ED5-88A199EF8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CFCB7464-89D9-4A9E-B497-7BE5CE162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3B2DB975-CEC1-4462-ACFA-D9EE972AF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1123DB99-D72B-4130-A854-69A8BF7B7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457089E-1717-4028-86DD-CA33D1D4F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154D84F3-657A-45B7-8330-E49FF4987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D1207E37-8DCE-476A-9504-D09066723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1352A5D5-C457-4216-A68D-7A0CA4C7FF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8D7E9BBD-23A5-45B3-B802-281BFE1D2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A2B4E2CF-AA99-4B0C-923D-8341F60FC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42DCB311-BF4C-47C5-9677-B4CAFCB2C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FC0E3174-B7E0-4F0E-B587-2A924BCEE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1839602B-A06A-4173-81D5-D26865D46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B58B4CDC-3BE7-4D16-AAF1-6C91FE2EB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718A2E07-6EE2-49D8-9CD2-51B68CFBF8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ED5D46A7-676D-4A18-90D3-3145336BF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2CBEC0E8-56B9-43C3-9FBC-96B9080A8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141ECEDA-121F-4E4F-BC7C-3D07C76A1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5A7A8521-AA56-46D6-9F44-D6B3A09E3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2D6CE385-E92D-48AD-8A6A-5B489711A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C9E3BB9C-1255-4198-A8EB-4D167B19F3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AA528275-0B03-41E9-B30F-FFED4BA70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D341FA3E-4AF5-4E57-BA36-39D12FA53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86A1C4F4-E433-49C9-B7BC-D6B078759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3E69262E-53F1-4487-A27F-840C53F361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EF227988-3FE9-48DE-A609-3659991B2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227D5BF9-0AA6-4665-A870-214C5C69E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86789289-D184-4299-8850-6350E4D0F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D53AB105-0D83-4C1A-A51F-C3125DAEE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2D8EA1A9-27CE-493B-984F-EB06C1042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84904B8D-2A51-4BCD-B0F0-7BB63B802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84C71AA-DFC2-4BB9-9BE4-D59417337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BE6D6462-4791-47E5-88E9-02B2061FD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D320E335-377E-4255-921A-E7E4112E8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E60AF1E8-E5C5-4190-95D2-1239BCCC5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93DBD888-A10D-43FA-B428-F45D915DC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B9B9954-EAFB-4F33-9B9F-6AA36E96B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8E1C30CF-24C0-4057-A6FC-34A5EAFC3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951E86DD-D71E-4A1E-90A8-345813036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655688EF-A845-492E-A0A5-FD57D9835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4A7E2D0D-7157-40AE-AD7A-5E4556D2E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4A20BD4B-73A6-4A2B-9049-3A3BB08B9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7D7647-A074-4DBE-BEFC-FC81DA487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4513435D-9670-493C-86DA-ADB62984B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A60D80E1-DE3F-4A38-BAD1-82E5287BD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BA903E74-CC75-4EFC-8EAE-D89216BB7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252B694C-5C88-4B98-93EA-B7A0D6CE4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70FFF199-3304-492E-AECE-EC539292A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8C2B5A58-7D89-4FCB-990C-5C156C3762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5DE3F575-F822-43C8-BB38-35CBDA7E4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6A343C9A-66C4-4C91-9390-23831261F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A298B3F2-F796-4CB4-9C1D-87790E26B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70314BE7-AC67-43A4-B51E-2CE44B423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63DE2BD8-E036-4AED-952A-664CB2402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60267A9D-5F59-41E0-AB24-9FCF500D4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E5853A62-1839-410E-848F-C99627EC9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FF680B47-7964-4A29-930C-3309F64B1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992680BB-C089-40FA-B3A7-C9BF5B6A8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E9A9EB59-0D07-4DBF-B612-7FE89E620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BEDB3FE-DD57-4597-9A0B-1F7040E5C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4955A454-2FC5-4F8A-9751-A165E4EA8A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462D84BA-A8A9-4DA4-9658-B1C667D7F0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21296FEC-6207-4090-B286-E208B645B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93415B6A-AF46-4CA0-8A22-BC2F964AF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91B30DBE-788F-4316-8402-32C3B9CFA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974FC57B-129F-4556-A7CB-502EDD79E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6DFFCE7D-B255-4597-BEA4-1877352DFD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53C4BF41-27F7-4025-9930-2B2DD642E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5D35D45-950F-4C0C-A9EC-8ECADA1A4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B42E7736-FA57-435C-AB48-C30B323F2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73766698-8CD7-4668-8F90-DE524A8CE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F89288E4-1D3E-455F-9595-D10EBC7B6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CD7EC1A3-11D6-4E31-B124-BE7294082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3A56AF8A-CBBD-457D-9052-4371273BF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A7D93EB3-E489-4DD8-A6F8-1F4346CCE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C54CFFE0-914E-4723-8850-41955A3CC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E4534770-ED91-4081-B4B0-5ADEAF6FB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744D13A4-3151-4FCB-9196-54DD1C6ED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E058601B-9778-491A-BE99-173639773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7591C8C9-CE27-471C-B72C-65F338516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8159905C-F413-4427-9619-0AC59A6171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ABBB5630-3A0E-4161-BD97-086183BCE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A74D4277-F17B-4822-BCA7-E49682E78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B87AF70D-50BF-46CA-9EB2-61A1B7AE0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BDBF628C-CFFF-4A16-840E-25A830C2E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C1C5F525-1BA1-423B-A690-5EB34F256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8D81FD04-6468-456A-9451-D98860F2F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35988059-434B-407E-87D1-8C6899BBC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8E16859C-13BE-47CD-BAD2-EABC08E72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DABCD763-E2E0-458B-8DF1-A378348DF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CABB3232-C5EA-491E-B533-12154BD92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27DA4122-3265-4EB4-A82F-D7E337382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C3DFD5BD-FE13-498D-A88A-2FE27FE11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1C2FEC11-5BC6-4699-82D7-4BF1A4990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DE15EC0-5098-4FB5-BE12-E2CF525B5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9CB27A9A-9FCB-4EAC-9E04-B4FB4C2D7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ED788B2C-D83C-4BA9-8191-BE94DF10A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3F68A490-ACA0-4F83-A29E-D834779DE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DD0984AA-1064-4A09-A0A6-A33ABFC52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E33C437B-EE79-4EEA-B9C3-AC2C60F89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4B232EEE-B803-4D8B-9E04-B5FB0E443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91601D17-046E-4C76-BB50-400AA5059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1E402F1A-1D94-4295-8BB5-14C7EB6FB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B30302B6-B31C-4C43-A1DB-72DFD774DD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50B2E441-FAFB-4FFB-B43A-160260455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DC6D0F78-1A31-4945-B9DE-54C29139B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1AFD69C7-3FD9-4446-BC37-6A34BD03F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99972929-9E9C-4FF6-A557-0581FDB5C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E82F353F-3FAF-4AC1-92DF-B99E35D72F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EF7EDE80-8728-4764-A962-187D3BABC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1F4CE8A5-46D5-4C60-8503-EF68264BA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C67BD94E-9D53-461F-A91A-C9BE23C0DE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5D1938EE-2B17-4FFF-80C7-9DD5F709D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1853A238-0B65-458C-AF71-A1CA9475D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3FF1C11-7F8D-4322-8387-1663D11E5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51477E77-5BC9-4A45-936E-4A867714A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3027AC5A-49C9-4CB4-985D-F58716D0D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E40D71F6-72C0-4AF7-AFB0-927E8563F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2399169D-E5A2-4E22-A8B1-94AA2BE3FF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7189CBAA-6A0A-4EF8-A098-587F822E1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C922FB80-2AB5-4AAC-9AFE-3FCF3F6B5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12668F30-9EDE-47F3-BF0A-1BA8CCA5C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827BE1A4-A48A-46AD-97F0-12A0D459A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ECB36CCE-CC18-471F-A209-07E58375C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5D24957-F996-45C5-849B-A7B2FF823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CC5AFF04-FADA-482B-A325-B1F94217B1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E8820E93-BC4E-4FC3-B024-5277DB34B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6192124D-CA89-4AB8-9832-D0B2CD424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F2C33E4A-8C12-4C56-88F8-0829D64B8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6A3B11EB-EF40-4324-A67A-3199FC165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7ACE72A5-C8FE-4B33-A142-6D2C20ED6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AEB1906B-5DCC-40B7-8DF9-0715E11B65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C2440AD5-358F-46C8-9A98-F875EC8CF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DB6836AC-2F58-4F19-9065-31A79E515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5EAA8622-2220-4AF7-A034-16DB60B56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84EF4A6A-9324-4DC3-BB8A-94834B637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6E4AA0AB-2C31-48FA-93E0-EC70191A0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B15DAADB-5F27-4A9C-BE6E-41C364B8D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86C7AD2B-0913-456F-AB4D-5E3D41D7F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1955949D-4214-4F26-8BFA-A0D082303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D9156FB3-7D3C-41F4-9822-C51C044E0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AA151C11-47A9-4569-9222-A549398546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4CF2D1E-63DA-4DFE-A2F7-303F955E4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F8B0FE7B-6A2D-4CBB-9BF4-A7FBB5657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464DBDEC-4EDE-48EF-A6E0-0654115FD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AD0AFE4C-2E5F-481C-A202-A310064E0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7F2BB7E-FDBC-42CE-9DDA-2FDF0E4BC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3B631FEE-0100-40B4-9927-DA5B37A4E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F342644F-5A1D-4675-B023-54F55F7A0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8F2FBC85-6386-4506-A1FD-9BD318AED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ECA587D7-D778-41C5-9245-FE16B1669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F8053493-53E9-4A68-A523-15EA05864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B233502E-3144-4977-8888-D6CB02492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1529D587-3117-4161-9542-EA0578C80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F4FA1D2E-E2C0-4A20-B5BD-4A225E4E9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583CA189-EA90-4C9B-8E04-8C2FC69B0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756259A7-CCF3-4B9C-AC3E-3462217C1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71DADD4E-542E-44C8-836C-51F781F1C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57978DAF-E1C9-49B5-B979-DFBC9C8BF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6B4C8DBD-47A0-4AC0-89D4-F30240BDF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E2AC4071-A049-48CC-96B0-5E121FD01E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FFA4C66B-AFD0-4AD2-97A8-232203698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B23FA22-97EF-40CE-B20F-8E6BA65A8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B06DA7D1-1213-4044-9AA9-C53E61A86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9E295789-82B6-4AF3-A4E6-D730FBD65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4D5338C9-6775-44CC-8644-8D7DF702A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FE472DC2-C953-40AB-9AAB-15D533098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B182945F-22C9-4CD6-A6DF-7B5CC1847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E799A9BF-B635-43EE-9180-C744A557D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CC11006F-8BAD-4A28-888E-344231910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4324703C-39E9-442A-B03C-96717C25E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4B8BDA4F-1AB5-4398-A726-6F8E5C8A1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11FE912-F6EE-47DC-BCB2-2A9724CC9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2B3B9927-0454-48CC-A307-31C038D4A2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221CBF93-A031-49DE-949B-4962D4F9D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D47912F0-FFBF-4F9E-B494-197346C3E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8AD957EF-7415-4BC6-9383-748F4C4BEA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7BBD51F9-619C-4F80-8F76-1C9430B5C2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115BD742-0437-4C65-9C3C-0C554A873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793E6B0E-8314-4761-BAC8-BBF6CF079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A1E0B813-79AF-4CA6-8D55-E3DE02CBD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B58EA2AC-8590-440F-8B99-0F3A526B4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65614ABB-F1B5-421B-8D14-6EBBC28258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B829DDA2-DAFF-4E96-8E74-DA5B4A747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B74D70AA-F5F8-48D2-A3AA-7B26100D1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6E4E61CF-2EAF-4EEB-8D1A-8E28D129B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4D7AAFD3-1E47-43FE-AE8B-D448E3A1A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16B08BF-E65C-4B92-AD74-57B4D4FBF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E52D2D23-033D-42AA-8D0E-43C6DC49E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C44A282B-0A04-47CC-A7B8-91BB810AB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81D6C222-4FDE-4159-A990-FC29648DD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1166B4D7-F5C2-4F8D-9F50-60C7D7AE3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3743E47E-2AE6-45BE-9F22-7AD01745F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2A816AD2-9CCB-4001-B944-2D92B4CCF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6D7DE578-94ED-490E-9AEB-F50DCEB5D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FE9C404A-353B-4763-A249-A0E9C0CCA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2E03633-70B7-4F09-96C9-F88E08854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533C80B3-B7B0-4FFB-BFB1-FDE75AEB9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C1E458BA-39AE-4AE9-858E-7F6DF86BB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A21B834C-5ABB-484D-A217-73A627A29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AF0F264E-235E-4725-93F1-CE6792F0E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592ABA96-AA6C-45F5-BCC4-D8FCF78B8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B446DE44-DF48-4E8B-879A-B4412B846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5836D03A-1619-4A60-BE35-754F716FA9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17F294F5-D3D2-4BB0-8EB9-99C02F575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4DF5F67F-1C71-4553-9640-1D7700A7A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3545FF8B-4CC8-4532-ACFB-CCB070707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B0E57A40-EEE3-4107-AC12-B0CF9BE7E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3ABBDFD2-95A7-4980-898D-FAEF26CA9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8B45894C-25D6-4EA2-8873-1C5C551978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3D9E8C77-DA2A-46A8-ADCD-F8F338114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496C2D85-2A19-4A7F-B49E-0FA062AF0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EEA5DE31-6667-460D-B5E0-B7DEF42CC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9D4FADF4-355E-453B-B093-20AA21304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B246A839-14B5-4C1A-B635-9ED32D9AC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FFD9F339-5C95-4647-8C53-C13BEFBFCE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D48044CF-8E16-4DF8-9040-4C0A4CF26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AB63B840-55CA-45ED-AFBB-D665E8DB9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EE1FB681-D556-4556-A198-A34A8EC46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8437C026-4617-4EF9-828D-ABC24A4F6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CDDA7FAF-E3DE-4D2B-B836-E19479CA04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2715F94E-C908-4EAB-A3B8-2A0DCF885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EEB3E52C-5CF6-42F6-902A-818AD19B1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590FFA7E-3AA5-4B99-A5BC-E92A9225B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712098A2-1AE0-4C6F-A64F-710D7B781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DC689973-AA71-4401-A84A-F416BB6EE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3213325D-FC78-4BF2-B8EF-AE2DE9705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21E654DA-E7E7-4D5C-9247-2C210DC93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16524015-E088-43E7-93C8-2A3CAA0B6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9104649D-0074-429A-AF97-15E82DBCB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41F87BA4-3F84-4B95-B6E8-88A138D93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F2DC24D2-0AC9-40D1-9979-366700071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8F06283-3D62-44DB-96C5-62B91575C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50B67BCE-4063-4CF5-8F20-6C0CBCB38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3E9C05-113C-4BB6-8594-5426DF4D2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27364DF1-F2EB-488B-A55C-27AC34872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9EC96FA4-D568-4069-8035-8222195FE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4D487BCF-2945-4CB7-98FB-E5E542451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514B6FFB-41FE-40A0-A05C-43D820FE5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E9D978F7-F424-484C-B3FA-C06FDC1D5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494002AD-B5D7-4EE8-BBBD-1D0518242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B9CCB0AE-C91B-48E0-93BA-FDBE0C384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C2C17078-45EB-407C-84E5-A6F97A1B5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6D1062C7-0BC9-48A0-ADD5-C269E0422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833FD508-AC69-47E0-A119-075433758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7F1480F5-286E-451E-AF6A-286B4EF78B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58C1D7E4-8AC8-456E-B896-9A3472D04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2C80DE28-B7D6-4535-9D3F-81AE57031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A4B2D874-604D-49FA-A4AA-627F30E69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C0169874-0D84-40C7-A794-454AE39D2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88E1F90B-B5A4-4089-8E77-01EE35BCC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33D13203-4050-4391-918E-FB1CCBEC93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30EF585D-0C32-4BD1-A9A1-78E67EEFB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3E815084-B4D2-4408-9295-151944F1A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43256D22-A7F1-42FD-8286-5FC153FE3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F0C8B989-5F3F-42F6-A56D-6D51BE47D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C098E07C-1C38-4B9C-84A5-2D17C5B31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16D30F37-62F0-4F75-9027-8AB05A107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3C842942-79DB-4D1B-8DBE-9A3D138EA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FC87F3D2-9D5F-410A-8E2F-260C73EC6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483F1F74-5475-4F8C-BA5A-2D6F840EA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72878230-B424-491E-A84F-37FCA5449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502F12ED-60EC-472A-9D52-50AEFBFE5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CC18AE41-5370-4D13-8622-EF6626B5B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AC8287C1-D9AB-4912-A465-2593B0C5B0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99F91E78-A82E-4D67-80DD-2066877ED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45FF6C9-A7B7-4A61-8995-FC6355C94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7CD1BF74-705F-42B3-9B3A-EC2E2C7328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91D38316-2AAC-4BD6-9220-08A025A7D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BC4CFFF9-D9D9-4705-BFEF-E7A558BBD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4C76B961-B294-43C9-B0C9-0C09DF7DB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E93002C5-5024-4970-9C5F-A15ED222A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FE16DBDC-E6D9-40AB-BE61-E68045E52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646B495F-C911-4180-8107-BF9969A05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4C88D533-D6EF-4C35-85C6-545FA28B8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FA5D5F4E-EE06-4938-BBFD-AC518804D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F5B3B2BF-C2EE-41B3-8901-C0184E94C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ACE2F515-7688-4387-BAF8-058C6674B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BD8C9E4D-DF64-486D-9400-7A8833E0B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C0450166-CF7D-41F2-8A7A-DE207B732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C4D68D0C-467B-478F-BDCD-0F313BF5D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ED423C66-6F7A-4687-B745-3018158B4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14CD8E62-413A-447A-A610-5AE27AD2A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9BCFFD98-1669-47B2-9C22-21D25AF891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F8902C09-EF55-462D-BE27-D905D57BE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D72B12C7-03FC-41BE-A2CA-A7DD4062C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3FC596DD-3B4E-40A7-BBD9-DA1279DC9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91FB7E28-B255-46DB-8BE9-DA342895BD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12D615CE-0B67-4EA7-9645-D418D6011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2AF827-0B14-49AE-B4A3-583926DBB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4078A907-33D9-4550-861C-86FFC1BED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560F2FB3-8721-4D32-A39B-077317FED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4171C903-514E-4142-8E7D-E844D3809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29C43E1D-4741-4591-B0FD-A172159F3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A0BD1E57-515A-4275-BBBF-E7FC8821B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17E73974-FCD1-4D14-B91C-AD5EE63CE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EDD2FD95-4E22-44EE-AE26-6D8DA424CC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D67CE471-9A1A-4210-A2E9-DCF9049E9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AE0A1377-E161-4A09-8658-029FDACA6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D3A51810-AFAB-40A1-A16D-7B0E99FE8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4020C773-F258-4703-8AFD-D32D5FB63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8888ED-04C8-4E53-A711-B5B0F5A7A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E2D26CC-B0A5-4047-A25F-18389DA36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37B54C20-B29B-4046-89EC-DCE2E2D92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E38C910E-C57C-4346-A70E-5B726F9C6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3E9B3240-1354-4CAD-971D-6FBC5AED0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87BFFE2A-8229-455D-B775-6C31ABE1E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EC5DDB8-0C29-4998-811A-C8576E32D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2F807126-489B-4CD2-AD1C-F47DA8376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346DFBF4-60AE-4059-BAEE-F104041C7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D85FF711-7ED6-4D74-A834-8B438747B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346294E4-CA5C-4C0F-A5B7-7465BB248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96637A51-165B-4174-9B0F-6B9CFC814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A7CE3704-8F6D-47DC-9197-F109508A5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C4B6BEE0-20C9-46F9-8A64-142219665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75C94967-05D1-4139-A1EC-DC9CDA448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A08B7DD1-75DA-44EF-936E-779596FCD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3D204A60-CD5C-4935-B7B0-243DE475B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36955D94-C046-46CB-B258-F8823B0F7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C1DC462D-134B-426D-9C99-B0D59C179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C248D1AB-202D-4EC1-8180-A99E3C2D91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AF45259D-DF25-476E-935C-DDECBDD99E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E3469D0C-EC24-4B20-A3B1-F82BB6AB1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B138CAC9-C49B-4140-B108-40BA1EF58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1509538-6A7D-4B3C-B8DE-39D14042E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207B634E-B39D-4612-8750-CFCA9302A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E6E88050-B1C5-4D54-A2F6-4607F7193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82B25112-0E58-4A54-9858-DC778C8C6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D697D069-98AC-4F91-A250-820AB5BBF9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F4510A94-C605-4975-A884-82D011BD1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ABB32F5C-14FD-4C72-A5A5-648AD62CA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3F89103A-605E-43D9-8EA7-F53BA394C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8F061467-5BF2-4DDA-AE4E-313776025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ACD8DF74-7F9D-476C-9A11-813052970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7A59C6F8-AEB9-4709-B2C8-9247DB4E3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D88AEC5C-8D21-4741-8395-7A8352C99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F65E6E8A-74A3-4C2D-8602-D8C07EBC8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EC516BCD-1D89-4978-A23C-910BF9ECE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DFBC8C4A-42F7-4AF2-85EA-040766AB3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76742773-8F02-4F49-8F2F-74A0FB951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4445384C-8630-49E9-BB74-9DEC85E8C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ED840BF2-58AF-4EB0-9C0F-9ED890293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641B9700-8701-41D1-AE21-D5CAD7E4C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E9DA2151-97FC-4EBD-AC7F-A6BEB7262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9F91A55B-620D-43AC-9415-6AD4D6C1D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97F6A768-23EF-41F1-8F16-2D502CDFC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CD9F8E27-942C-45C1-9D21-5AAE87A9F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3C268D8F-C80D-448D-87E8-F6DAE3390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44776385-C960-4B12-893B-C12339848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12BD75AC-9000-44F4-9E8C-ED13022E0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22B2DDDC-E123-41C0-886C-8D179D5FE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6101276-5AEE-4409-A591-9F5B6D059C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B61AC1A1-B62D-4C86-BBBC-64511688B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26DFE233-5BB6-4CD6-983D-48A579701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E19DACBE-AC21-43C2-8A49-0CEC95263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3D2A6C16-C343-44D0-B172-329F1C9750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9818FFB3-78ED-4E1F-A21C-8F2188B5B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F546A266-96C2-465F-9EE6-E9C116738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675DB81C-9C81-4DB9-ABAA-AD01FBA52F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954C7653-EF88-46A1-A9FF-AD75F7ABD1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B38223D0-C198-4636-8C14-13379AAC0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8E28490C-2657-4168-ADD1-6AF0D6B72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CE770C1D-21CD-4608-9F36-550F4C66B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FA4B4A80-7BC6-4321-82C4-9845EF15F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E85AE85D-72C7-4017-9715-466690E65F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53686928-E9AB-499C-96E3-120B706FA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D362DD74-0177-47F3-AA77-7D51D9ECC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B1AC8282-3B83-4E98-BD89-0637F958E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8B3D0A4C-09A0-47F5-83A6-CA4976C25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10E33A7A-8BA6-4CEE-8A7E-66B4F5735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82BCB23A-0DCF-4F23-B807-15F7D623B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D6726B51-DCD3-4C03-9EEC-5C78AC5FA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AA50FC49-6D7B-42AD-ADB2-90C0F5AAD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41573AF2-6614-4DB6-B22C-524E96B819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9E84CFC2-7F60-4714-BA54-1383A8222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F392675F-8EA3-4C28-A152-9C0A5AA1F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673A30CA-36E4-452C-A7DE-696DA10D3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3A913530-11B3-413D-BDF7-A607F1123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83E2293A-605C-46DA-8640-1B9F243614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7B980DD2-B180-41DA-AC90-31FBA299BA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17F42033-47E9-4332-AC5C-CE9F99203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4F9CA506-2517-43B7-B7E9-B06A26FED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EAD5AD9B-64CA-44D2-85F8-264C2EE49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2BC3B4BE-965A-4AD1-BD9A-6B1B53093F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A22EB9FF-1C6C-4835-8B9F-E733E2A95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B8D535B5-939D-450A-89F1-5073194839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3D4F041B-18F7-451F-AD56-624BDA55C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F88B108F-4919-45CA-9BF9-B9BCE1243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EE10C80B-33EE-4E9A-9AF3-4F71CCAE0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7A320DB7-88C4-4894-928B-98287E6C7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5183BF16-922B-4A81-9D94-307C30BF0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9C89F6FD-94E5-42D9-98A2-05D35BEB0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EF46FFF5-AC21-4DE6-A5D8-52D930659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7D38CE3D-A06D-4702-94C7-995C53039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8CA74D05-D7DB-462C-84E0-6218353BD0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F13B827C-4B67-4FC1-8C5D-585A83B46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FF11FF00-BF8D-42C5-9B59-7295EC74B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6C190FCA-4489-4E26-A9EC-756AE19538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8607E0DF-7AAA-41B3-B925-138163830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B08449-9831-40DE-B744-E80B6AD37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9206CB7D-C473-4082-AD0B-E2B2962EBB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C20DF83B-21E0-428B-ABFB-99C85B4697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E1529D79-F304-41B7-88E9-779E33B1F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2D20024A-370F-4B67-A00A-49035D32F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1FCE132-C7E1-4283-B164-7DB61A29F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A50C85FC-53EC-4911-AA20-B778E9DB9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28A83D28-438F-4661-B175-29C3813DF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C4B792F-ACDA-4737-BD01-9A2B06C81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9A64A76D-A9B1-4E96-A09D-B8528628E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FC003F4F-07E1-41FB-9669-F1D7CA56F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63060D2E-2BF1-4E9C-98FF-A7A8248A9E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89EA939-E108-4F20-BE9E-0064AF28B7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E1BB097F-B4F6-41FB-BF45-8A398452B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2D255884-7FD3-41F9-9EA9-20E08CBA4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B3788012-B1D8-432C-85A8-AED6BAA9B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5FB9E7EC-5D71-4E20-B662-EA04425A8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DD4FF52E-8986-422C-8F95-F36E9AC454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550469BA-8DCF-479F-8264-7663D4C171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C842D52A-16B8-4623-A45A-FF54D5B30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BBDDFF38-ADCD-4537-9247-E695B3C5E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D1A4F5CE-62D0-4E42-8218-C0173F580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B1433078-5A22-42B7-8978-E4728C272F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1CF81393-5A55-4564-8EF7-45F437E57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C40B9DBB-5505-4378-8675-CEB029B43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140D5FE2-E2A7-428B-816B-1093A6E68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40D38D13-2454-4BC1-89F4-10748E335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EA9C756C-907D-4A6F-A0E0-2F7B14425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B3AB41E6-FF1B-42FD-AF6C-B7265E5AC6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AF3AFE8F-74E3-41B6-B8CC-CB2ABD10B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94C60DAA-EDB0-461D-831F-6299633D5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6ADBA936-2C5E-440C-AABF-998AF6371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C84F3077-6F38-4AA5-B08C-C97AB9AF4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832D5BF5-665E-43B4-A332-8498EE9D8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9C17EB4B-DEAB-4DDE-A570-A6F1F48DC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4BC9E2DE-54A3-4C1C-91FE-A5BA34EFE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30E5068D-DDC3-4C2C-9480-899E54519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F2449F8B-742C-4308-BE5E-8B782EE178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77ADA37-6A83-419D-92C5-12056F271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CC570A4F-8626-4BD1-B210-C74ED44EA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2BD73A94-5F66-4F7B-ACCD-86B668CA8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3396A8C9-D954-4334-9039-E03852D3C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FD248B0D-4329-4B09-BD04-24751485CD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1BBA6CB9-4C5A-44A7-AA2B-5A1279453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5DC8DC76-7EA5-4206-8925-1114750D0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C8839E4B-5DB0-4A3C-B217-C622BBE67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BF617486-1400-4BF1-A09A-C56593D6F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5CB9960E-732D-4218-BF32-8944F90BB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B821C2C5-38BE-40BE-9B16-6E91B6914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CB180720-9D80-4DE8-B17C-611E1016A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1494D48E-AD4E-416C-AE52-9FC6A0199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32C4BFCD-5215-41E1-B1A2-AA99AEB03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8C7279D9-81ED-4D72-B951-FDA87D2E0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EA8544BF-2F08-4A52-93A0-6BC0324E8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EEB7659E-2435-45BB-876B-94F43C699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679B1C75-9987-4B1A-A76F-A3090EABBE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10FB49D8-9C31-4509-8CB8-EC34D3A8F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9E5F99B9-4997-4192-A93A-B601365BB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59AAA95E-7114-47D7-B8C9-5DB9AFF08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9A2C8C08-8D57-4863-A68F-D762C55E3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7790EAAD-39A3-4A93-94FE-0D48840A6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E00ED9C2-45F6-4144-AEB7-FE217F33E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6ACD7C93-129B-4C9D-898E-37FB09EFB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5C8796BE-9831-4817-8C34-96CDCCEFE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2A0B596C-016E-47A0-A218-7C1FB4E22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E4211C77-7BB1-4DFB-A849-43DECBC02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63AB64CE-5B1E-4B80-A98F-C0461DE80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4EC4C25D-C7C3-4888-AC33-209918461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AD481AB0-0DC6-4D60-AAF9-9A9FB01AF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A182416-8033-4D2C-956F-23C776E4A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4DCD79ED-D9EE-4EEA-8B8F-8869A69BE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AE6DABA5-3651-48FF-89C4-3A95F1DD5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8E5782F5-520A-4250-9A37-4B056934A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2641F7A1-126F-4DF9-95C3-1AEB789F2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1B41ACF4-07E5-4743-AF17-57187AFE5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11F7DD84-535F-49FD-A51E-794307F07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8A98A67C-7D0E-491F-BDAA-E48042E5A4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3E7CC369-1957-4445-8138-79ED3BE92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CF8D8EC3-20DA-471B-8725-CEE355B33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B9C755A4-38CB-4E63-AE2B-2E19585B9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2295BD29-250A-4B64-B663-7697E3932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334F3B34-3ADB-47D6-A82F-0D1D17019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95AE6A93-F0B6-48A8-B2AA-EF6535814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4A44896B-4338-459E-8496-47C578B0A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F49B119E-7EB6-4158-86EB-35B1BB4C4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25F11899-3821-4025-96A4-109E65B77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D03717EB-19E9-45CC-AD9E-04EC2CDF6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FBC1B4A2-087F-49B9-97C3-373F3537F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81E23D23-5684-4C6D-8560-FD8901FBC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C8329EF1-6550-45F0-A282-4B25EABAA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54A1B6EC-79ED-4073-A273-07315F22C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35B54DA7-609E-46D4-B6E1-3BC14E525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9732F328-AE81-47A0-858D-F8ACD27AF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A3AD48FB-8DF0-4EF1-8D88-6A3727894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25D955A5-74DC-4B38-9997-4C90B7597C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BE70D22C-0C3A-4762-8CAA-15CF946DB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88B74880-67AE-4E9D-8DE5-80270540C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3FC76904-69CB-42CC-BF7F-AA79816FB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7740F6AB-589F-4F3F-985B-FB340CA5C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19351274-2275-4BCE-BDF9-F5557D5BAE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317483B7-CB76-42BD-9942-777BF01C9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5B0AB839-FECB-4846-991A-7A6B3C015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7F43722D-B9BF-4DFB-9F12-46F99009A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405556B9-6D9F-44E8-93B4-58C2116AD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D2FF6394-A463-4D76-9382-9D47FF1BD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36DB5862-8F6E-4CE2-8B52-4D8BED4FA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662625C6-7CF9-410F-8E94-414815F72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3F0080A0-238A-45CB-AD89-60810FE13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D339610C-626D-4129-89FE-267DA51F3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4EC4356-4BBF-479C-9313-CC206EFCF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5BD9FE40-C15D-4591-8992-6CC375BCA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30C44227-2D2F-439F-8007-86A835E76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D0E9C5CB-9574-4058-85F2-EA67FFFCE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94B65871-2BE2-4A9D-85C0-4BBC5F4AD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52BF34A8-5EC8-40F8-8D8E-EAA9675D4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4F17D760-9027-46C3-9AEA-E4ED7C100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31D1BFE7-28D8-498E-830C-22D75B5CF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152AACFA-51B1-47EB-B409-BD9D7A4AC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E5CB8C15-B361-4BF0-BDCD-3B56875D9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F5D3CE6D-6775-4501-A418-FF6694777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7B26FFE3-09A9-4F37-AF69-7608CCE8C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E1726F06-76E5-450C-90DE-9503123FC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477CDE0-8810-4F02-8EED-DB83D47DBC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A8475606-D13A-4A10-8DA0-EF8219D3FD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BAB51630-8595-4435-A024-7CECAE520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4749870E-B729-4A67-BE43-AC7BB9415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FA08DA58-85B2-44C3-896D-7C44CBEAF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D80CDB8D-7B7C-44EA-9DE0-BBD16B257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36DB0292-2462-45D8-A6E0-2CCBD78B7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AD63C41E-E735-4C1C-9002-0598669D5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AFDA205B-EC3F-4A4C-A6A2-15EA45A89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9E7F953A-756A-4195-B5F9-8D4B74297E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F9E7B36D-B9B5-42E8-A06A-564D63648B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F1313DF5-DD3F-4CC6-B0F3-3F161A845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20C8D672-5E7D-455E-899B-C578E991C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F0867893-45D7-4E88-A0AE-CDF1DC564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AC225039-DBFA-46EC-B7A1-601D67865C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505B7-C04B-4A30-AFC0-BB860A74C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321EEF90-7D17-4D3E-BC76-EEBBE3FD59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B2FE0DE6-B671-4CE3-BA68-DDFBDBE7E2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327ACC77-A1B9-4D61-8326-5E23703991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35417CB1-93B7-4DF3-81A4-83B0477AA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5007A31A-0A3F-400B-8BAB-71A55FA82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3AAE0DC-9F38-478F-8974-D6DD5DE96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F91F93BB-AAAB-4444-84ED-4786BE338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664EECA4-DE92-4297-8166-5BEE0FF92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8F388582-7EE5-486C-903D-B6A0A0A2F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2A11A5E7-0DDA-42E8-8FCE-E6B55ECFA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4ACCB8F1-0A79-4901-BE85-F31DFFD6E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E8CE2BDC-C23C-409C-BE2B-EAE083D34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72B676B1-750A-485F-8F32-0DA6C8B54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50D2FDA3-9129-4F0A-B94E-0278FFA96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54BA8F34-A00A-47CC-8120-710542624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581DC2E2-629F-46DC-BE7F-FB2785B683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AAA8D7AA-7E16-459F-A480-5299FDED1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B4124545-43ED-42E2-A6D2-62C58F256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174BFA92-48F2-4BB3-81E6-03321C236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C8DF31F6-9206-4C95-8834-C572B2E2A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A8D72D2C-47AB-45C9-8567-F65E6959E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AD7C9E55-6C94-43AE-B98A-5D7A3DE5B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5C17D08A-B732-491F-B9F4-3362D70C8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B714B6D8-FAEF-4FBB-8827-D900CC2EC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FF1B7120-7424-419F-8D07-4640DD935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AD323EEF-D2DF-486A-917E-FAC661933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F09F9763-753D-4F16-A39D-04D0266AD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7C543DC0-938F-4B22-9375-DBB6D05F65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1392CD3F-DA08-4A97-A554-D48CDBD4B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A1483904-3B70-4863-A7C4-FC47657EE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AEF83116-9739-4010-916A-BBA612D4E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12ACE3C1-7E93-474D-903C-870C77DB4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B4869D7B-C085-40A1-A344-1344E3CD2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CC8BD2BE-E4C9-46B4-9432-DA5C3418B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1C3C11D4-28D4-4280-B515-B2D7B8A26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C38173C9-B01B-45F5-A425-40591F690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B7316D97-AEF6-4063-A069-72C1F66FB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B7A6BA7D-84A4-4332-9F76-72E8D1AD0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7A85A859-BCC5-468F-90A5-A8A6C7A1A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D56E7D4E-73E5-41C5-A4F2-184D3ECB5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56E1C127-FB98-4F98-8FA1-45EBC3897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7C7F541B-6C2C-404F-91CF-4C1A35256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86EC5ADA-3159-466E-98A1-D62D665CC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B70FABE4-CC00-41B2-A211-BA0908B17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448A09B6-F3A0-4C9F-96AF-115DA3C63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5AB1D412-4CF6-4447-BA95-3C1491331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281406A2-9FBD-424C-A974-9A5CD9981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18C66419-0D33-4AB0-96F8-95A08F328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CF4EFF4A-0466-4094-B4E6-277C94031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E4A9F9FF-2317-4B59-ACAF-9E217E0AF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61D79015-CDE7-4FB6-B602-BD7B517F51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42E8153D-D07F-4ED7-992D-ECEDF673A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EF806AF0-504C-4A7A-B84F-33C3944CA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62A8B560-5F2D-47A2-BD51-395AF26F6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C2402D3F-626E-4308-A0F3-A07E43727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04DA293E-CB2C-4667-A651-9BD4ECE37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D46A84F5-D881-4A13-8E11-FA0FBFA87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FB60647C-BDC7-4E4C-82B1-307B7A994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4C34132E-306B-4F88-A2B9-AD3B8283D9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3A9F0529-B3A1-4B54-84A8-A01248E94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CBB18277-3B99-4102-96AA-8ED88516D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AF6ACF39-AC43-4B19-A8CF-C65D43A44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9BA427B2-0D5D-48D7-921E-06B0AAA21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6ABA84BD-5486-4274-85DA-F1A10F4938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12C13776-AC5E-40A8-848A-66E5D5896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D0D6E180-746E-4C24-AC71-8E634381F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ADDB8B09-415C-4E16-A51D-0BFAC1315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DA99E807-B5CA-4D00-A2AB-338EA7A69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0118C6C2-0C01-45A7-BB11-19417744F8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6B176A04-8E74-4C81-BFFA-4F82E08B6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616BD3A5-4009-41FB-AC49-D9E5C8362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D5E37C15-9A2B-4514-B7EB-424862C1F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126B0CD4-FDB7-4B81-A2F4-B3C9F4463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AC07550C-73B1-4F26-A523-B6A93EBC7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56F16099-09C2-4780-9882-DCFF40C98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EB40DEAF-B2BD-4CFB-AFF8-EFA95FF68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A1AE1E24-9F4B-4687-8E85-EB68F766C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D14EEA3F-047B-42D2-86F7-A20B562FE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E327BD17-6CDA-498F-8D24-EC4C70127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ECA04C8A-274C-45AD-BA67-B9082C0B21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AD715BF1-7332-4023-A05A-CC92C91E7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4ABE003C-203D-47A1-8236-21B2BC8D0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3A2725D8-D4FC-4DA2-912F-6E20ADA23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D0FE8C7E-06EC-4877-B157-B92116726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85BE1F77-F071-4D48-BA02-13ACEBCEA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42DC52FF-59C3-4957-B135-46FCD3402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C735F547-031D-46D2-9F5C-2ACD70F1F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45A82E53-23D6-4A6D-AD7F-CD726F20A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E2D5D6FA-F169-4900-AA6E-7F21A1E9C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8CCDA267-D3E8-4249-B630-23ABD2CE6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E43B40E7-756A-49C2-9C3F-2D846C44E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AB77251B-E618-43B2-ADBB-E627B5E45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90C2F233-D318-4258-BF5D-71ED4CE17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19AC7A0B-BC66-477D-AB74-675D3EFF3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9973CAC1-1D02-4B1F-8EA2-C7E5604CF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4CCF2CAE-4DB8-4CE1-8F40-97123CAF7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7EA2E7C4-42A7-437F-951C-32554C9DC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921091B6-D59B-403A-8811-1068389E00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C05AFB71-EC8B-4B3E-B630-6893FB29D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1B53CD4A-ABA8-4786-B761-9A6C760DB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876A46C3-2E45-4A3A-911A-478050A98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ECF2B5B0-2F6D-48A9-9946-B02B98C4E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581AFE14-D13F-4A05-831C-79798984EA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92DE7413-A24E-43F0-AD03-095BB1D618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102DC151-5DD5-4C90-A518-5C8FE86EA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3EDBE5B7-79EB-4070-A027-EAE5D3F26E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87DAC636-5103-41CE-A688-82B5AD1A7E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51B8C386-F096-4AE5-8C72-839DEC8FCB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494FE319-04A7-4D57-91D5-6ABFC4104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34F783D8-3748-4F07-8425-409AE2C19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6C37F611-7F9B-4EAC-8020-9FD91F57C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3A8C7626-2CE9-447C-AC90-057775BAD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97401FC0-3115-4636-9748-CDD112125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2973D5D4-3D7B-4F8A-BEA2-0FEC2D96A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6ED951F3-CB7A-41A8-AC63-85B530B915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73F69CF4-37E9-4C57-AF32-EEF543B2F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EBBACEF3-3BC6-450B-9040-6B592C5B7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366631C6-A4DB-454D-A6D0-48503621E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EDE1D089-EF87-4E65-A3DD-F20B5AEBF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5A97BD2A-9DC5-4566-B2B7-5816C0FCB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04E94A0C-04EB-4016-A2A2-89E68FB8D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719EF7AE-5E16-41FC-A861-3156388FE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5B08624F-D84A-4BDC-A2CF-CF183A86F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5DD140F6-0FC3-4B85-8788-A4F5ACD471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C6F2A354-0A32-40DF-8E73-D4D4488A1E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7152FA14-6FBB-4B27-9901-90DB9895B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EE943216-A5F9-45BD-B414-8BA629D33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D7864B48-E465-4472-9B2B-D45CFD468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400EF2A0-CCD2-46F8-BCF1-C5E436585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B2E5B2EE-C7B0-43E4-B58E-4A7EC2F83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E3E8B92E-6C63-4CEA-B0A9-2E823F33CF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D21B3512-B27B-449B-B145-B5577C6B5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65B4BBA9-38D7-4B32-B2F1-111BF9A1C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184AAB96-C066-4325-ABCA-4C968B668E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A2EA633B-6703-4747-AC47-752414481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02AFD657-A785-4428-85AA-F87A9DD9B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E2C01C2F-1EE8-4C08-84B8-7B5FE1B1A2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3B25EDC0-6E74-4B35-8E36-015FA7CAB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E0263891-AF87-4013-8D7A-FD76B049F2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88F428B2-CE8D-4867-AA4E-B5B2A9E6A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ABD5ABE7-0618-44DB-8E77-FC63DDD9A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49CE639F-90EB-4932-B45B-758BE043D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5794B171-AE01-46BD-97AE-95628C45A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6AB10613-E6D2-4590-B634-405BB46DB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6959ADF9-9C6F-403E-80FA-FB08DBD28A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67ADE56F-5B76-4F01-9F4A-F20D08264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F387F1FC-728C-4A84-A830-B2EB8D5C0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E56F79D7-E22D-4E91-A975-A876C946A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18ACAF9C-4678-4229-AA4B-0450E61EB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64BE0716-0CC7-4538-9CF3-F2E6A727D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7FA26931-CA30-469E-8358-7B697B1F2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7AAC43E2-E4A9-4202-8326-DD610CA560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AD88DF0A-7599-4C32-9018-B5DF54F83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2E0BEEAA-2DB2-4252-971E-7D6CC9B39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55686CB0-C15F-42FE-9BBD-5334212E2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6EE13819-8105-493F-A998-13355314F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4D7C87BB-06CC-40A1-8C9F-8267056B8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5F10FC40-37BF-4F4E-93A4-FC727954D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46A93637-0EAB-4CAE-B625-E1A6441CB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2D31DF43-6748-4F2D-AB73-C5EF7E76E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0A6EBB4D-64C5-495A-AABD-34F8F1528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CDC300CF-A905-4FC9-98E5-6BFA0495A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E92F7116-AACF-47DA-A64E-57B8B392E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594C606D-6480-4144-BD0E-55BC6B312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5829C7F3-5AC8-4119-93B5-ECC5673CC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B8E5E173-3C22-4380-B951-CC6B120DF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3940DB35-2F7B-4EAF-9811-E76717D26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508C7301-90BB-46C7-81E6-310C6B9AC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DFEF8AEE-C979-4371-A680-6D715818D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F8DF2437-239D-491A-8869-E0D228B24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CB3F29DD-1149-4CE9-8C36-AB5374987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45EB8F4D-6ADB-4346-85C0-EBCE29E976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0C5B4B8C-3286-4C15-9478-E453EF843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F5CA4A70-4AA2-4138-8029-4D3BCDC23F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9F0A65D3-CBF8-4B8E-9488-7C51E6489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AB607757-8E9E-4520-A45B-753865C43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D33EBA8F-A122-436B-8DCF-8A591BBA7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44287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" t="s">
        <v>3</v>
      </c>
      <c r="B2" s="141" t="s">
        <v>4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5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4" t="s">
        <v>7</v>
      </c>
      <c r="B3" s="147" t="s">
        <v>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9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47" t="s">
        <v>12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13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147" t="s">
        <v>16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17</v>
      </c>
      <c r="L5" s="148"/>
      <c r="M5" s="148"/>
      <c r="N5" s="148"/>
      <c r="O5" s="149"/>
    </row>
    <row r="6" spans="1:19">
      <c r="A6" s="4" t="s">
        <v>18</v>
      </c>
      <c r="B6" s="147" t="s">
        <v>19</v>
      </c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20</v>
      </c>
      <c r="L6" s="148"/>
      <c r="M6" s="148"/>
      <c r="N6" s="148"/>
      <c r="O6" s="149"/>
    </row>
    <row r="7" spans="1:19" ht="17.25" thickBot="1">
      <c r="A7" s="4" t="s">
        <v>21</v>
      </c>
      <c r="B7" s="147" t="s">
        <v>22</v>
      </c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23</v>
      </c>
      <c r="L7" s="148"/>
      <c r="M7" s="148"/>
      <c r="N7" s="148"/>
      <c r="O7" s="149"/>
    </row>
    <row r="8" spans="1:19" ht="17.25" thickBot="1">
      <c r="A8" s="4" t="s">
        <v>24</v>
      </c>
      <c r="B8" s="147" t="s">
        <v>25</v>
      </c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 t="s">
        <v>26</v>
      </c>
      <c r="L8" s="148"/>
      <c r="M8" s="148"/>
      <c r="N8" s="148"/>
      <c r="O8" s="149"/>
      <c r="Q8" s="135" t="s">
        <v>27</v>
      </c>
      <c r="R8" s="137"/>
    </row>
    <row r="9" spans="1:19" ht="17.25" thickBot="1">
      <c r="A9" s="4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 t="s">
        <v>253</v>
      </c>
      <c r="L9" s="148"/>
      <c r="M9" s="148"/>
      <c r="N9" s="148"/>
      <c r="O9" s="149"/>
      <c r="Q9" s="2" t="s">
        <v>29</v>
      </c>
      <c r="R9" s="6">
        <v>10</v>
      </c>
    </row>
    <row r="10" spans="1:19">
      <c r="A10" s="4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/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7" t="s">
        <v>32</v>
      </c>
      <c r="B11" s="153"/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/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157" t="s">
        <v>39</v>
      </c>
      <c r="B15" s="168" t="str">
        <f>TEXT($G$1, "[$-ko-KR]yyyy-mm-dd(ddd) ") &amp; "오전 00:00"</f>
        <v>2021-04-01(목) 오전 00:00</v>
      </c>
      <c r="C15" s="169"/>
      <c r="D15" s="158" t="str">
        <f>TEXT($G$1, "[$-ko-KR]yyyy-mm-dd(ddd) ") &amp; "오후 14:00"</f>
        <v>2021-04-01(목) 오후 14:00</v>
      </c>
      <c r="E15" s="159"/>
      <c r="F15" s="160"/>
      <c r="G15" s="158" t="str">
        <f>TEXT($G$1, "[$-ko-KR]yyyy-mm-dd(ddd) ") &amp; "오후 19:00"</f>
        <v>2021-04-01(목) 오후 19:00</v>
      </c>
      <c r="H15" s="159"/>
      <c r="I15" s="160"/>
      <c r="J15" s="158" t="str">
        <f>TEXT($G$1, "[$-ko-KR]yyyy-mm-dd(ddd) ") &amp; "오후 21:00"</f>
        <v>2021-04-01(목) 오후 21:00</v>
      </c>
      <c r="K15" s="159"/>
      <c r="L15" s="160"/>
      <c r="M15" s="158" t="str">
        <f>TEXT($G$1+1, "[$-ko-KR]yyyy-mm-dd(ddd) ") &amp; "오전 00:00"</f>
        <v>2021-04-02(금) 오전 00:00</v>
      </c>
      <c r="N15" s="159"/>
      <c r="O15" s="160"/>
      <c r="Q15" s="156"/>
      <c r="R15" s="156"/>
      <c r="S15" s="156"/>
    </row>
    <row r="16" spans="1:19" ht="17.25" customHeight="1" thickBot="1">
      <c r="A16" s="15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7"/>
      <c r="B22" s="96" t="str">
        <f t="shared" si="0"/>
        <v/>
      </c>
      <c r="C22" s="97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7"/>
      <c r="B32" s="96" t="str">
        <f t="shared" si="0"/>
        <v/>
      </c>
      <c r="C32" s="97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26" t="s">
        <v>42</v>
      </c>
      <c r="B37" s="192">
        <v>300000</v>
      </c>
      <c r="C37" s="19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79" t="s">
        <v>54</v>
      </c>
      <c r="B42" s="181" t="str">
        <f>TEXT($G$1, "[$-ko-KR]yyyy-mm-dd(ddd) ") &amp; "오전 00:00"</f>
        <v>2021-04-01(목) 오전 00:00</v>
      </c>
      <c r="C42" s="182"/>
      <c r="D42" s="158" t="str">
        <f>TEXT($G$1, "[$-ko-KR]yyyy-mm-dd(ddd) ") &amp; "오후 14:00"</f>
        <v>2021-04-01(목) 오후 14:00</v>
      </c>
      <c r="E42" s="159"/>
      <c r="F42" s="160"/>
      <c r="G42" s="158" t="str">
        <f>TEXT($G$1, "[$-ko-KR]yyyy-mm-dd(ddd) ") &amp; "오후 19:00"</f>
        <v>2021-04-01(목) 오후 19:00</v>
      </c>
      <c r="H42" s="159"/>
      <c r="I42" s="160"/>
      <c r="J42" s="158" t="str">
        <f>TEXT($G$1, "[$-ko-KR]yyyy-mm-dd(ddd) ") &amp; "오후 21:00"</f>
        <v>2021-04-01(목) 오후 21:00</v>
      </c>
      <c r="K42" s="159"/>
      <c r="L42" s="160"/>
      <c r="M42" s="158" t="str">
        <f>TEXT($G$1+1, "[$-ko-KR]yyyy-mm-dd(ddd) ") &amp; "오전 00:00"</f>
        <v>2021-04-02(금) 오전 00:00</v>
      </c>
      <c r="N42" s="159"/>
      <c r="O42" s="160"/>
      <c r="Q42" s="156"/>
      <c r="R42" s="156"/>
      <c r="S42" s="156"/>
    </row>
    <row r="43" spans="1:19" ht="17.25" customHeight="1" thickBot="1">
      <c r="A43" s="180"/>
      <c r="B43" s="2" t="s">
        <v>57</v>
      </c>
      <c r="C43" s="10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7"/>
      <c r="B49" s="96"/>
      <c r="C49" s="97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7"/>
      <c r="B59" s="96"/>
      <c r="C59" s="97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26" t="s">
        <v>260</v>
      </c>
      <c r="B64" s="192">
        <f>$B$37</f>
        <v>300000</v>
      </c>
      <c r="C64" s="193"/>
      <c r="D64" s="26" t="s">
        <v>261</v>
      </c>
      <c r="E64" s="27">
        <f>IF(COUNT(E44:E63), SUM(E44:E63) / COUNT(E44:E63), 0)</f>
        <v>0</v>
      </c>
      <c r="F64" s="28">
        <f>SUM(F44:F63)</f>
        <v>0</v>
      </c>
      <c r="G64" s="26" t="s">
        <v>261</v>
      </c>
      <c r="H64" s="27">
        <f>IF(COUNT(H44:H63), SUM(H44:H63) / COUNT(H44:H63), 0)</f>
        <v>0</v>
      </c>
      <c r="I64" s="28">
        <f>SUM(I44:I63)</f>
        <v>0</v>
      </c>
      <c r="J64" s="26" t="s">
        <v>261</v>
      </c>
      <c r="K64" s="27">
        <f>IF(COUNT(K44:K63), SUM(K44:K63) / COUNT(K44:K63), 0)</f>
        <v>0</v>
      </c>
      <c r="L64" s="28">
        <f>SUM(L44:L63)</f>
        <v>0</v>
      </c>
      <c r="M64" s="26" t="s">
        <v>261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79" t="s">
        <v>54</v>
      </c>
      <c r="B69" s="181" t="str">
        <f>TEXT($G$1, "[$-ko-KR]yyyy-mm-dd(ddd) ") &amp; "오전 00:00"</f>
        <v>2021-04-01(목) 오전 00:00</v>
      </c>
      <c r="C69" s="182"/>
      <c r="D69" s="158" t="str">
        <f>TEXT($G$1, "[$-ko-KR]yyyy-mm-dd(ddd) ") &amp; "오후 14:00"</f>
        <v>2021-04-01(목) 오후 14:00</v>
      </c>
      <c r="E69" s="159"/>
      <c r="F69" s="160"/>
      <c r="G69" s="158" t="str">
        <f>TEXT($G$1, "[$-ko-KR]yyyy-mm-dd(ddd) ") &amp; "오후 19:00"</f>
        <v>2021-04-01(목) 오후 19:00</v>
      </c>
      <c r="H69" s="159"/>
      <c r="I69" s="160"/>
      <c r="J69" s="158" t="str">
        <f>TEXT($G$1, "[$-ko-KR]yyyy-mm-dd(ddd) ") &amp; "오후 21:00"</f>
        <v>2021-04-01(목) 오후 21:00</v>
      </c>
      <c r="K69" s="159"/>
      <c r="L69" s="160"/>
      <c r="M69" s="158" t="str">
        <f>TEXT($G$1+1, "[$-ko-KR]yyyy-mm-dd(ddd) ") &amp; "오전 00:00"</f>
        <v>2021-04-02(금) 오전 00:00</v>
      </c>
      <c r="N69" s="159"/>
      <c r="O69" s="160"/>
      <c r="Q69" s="156"/>
      <c r="R69" s="156"/>
      <c r="S69" s="156"/>
    </row>
    <row r="70" spans="1:19" ht="17.25" thickBot="1">
      <c r="A70" s="180"/>
      <c r="B70" s="2" t="s">
        <v>57</v>
      </c>
      <c r="C70" s="10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7"/>
      <c r="B76" s="96"/>
      <c r="C76" s="97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7"/>
      <c r="B86" s="96"/>
      <c r="C86" s="97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26" t="s">
        <v>260</v>
      </c>
      <c r="B91" s="192">
        <f>$B$37</f>
        <v>300000</v>
      </c>
      <c r="C91" s="193"/>
      <c r="D91" s="26" t="s">
        <v>261</v>
      </c>
      <c r="E91" s="27">
        <f>IF(COUNT(E71:E90), SUM(E71:E90) / COUNT(E71:E90), 0)</f>
        <v>0</v>
      </c>
      <c r="F91" s="28">
        <f>SUM(F71:F90)</f>
        <v>0</v>
      </c>
      <c r="G91" s="26" t="s">
        <v>261</v>
      </c>
      <c r="H91" s="27">
        <f>IF(COUNT(H71:H90), SUM(H71:H90) / COUNT(H71:H90), 0)</f>
        <v>0</v>
      </c>
      <c r="I91" s="28">
        <f>SUM(I71:I90)</f>
        <v>0</v>
      </c>
      <c r="J91" s="26" t="s">
        <v>261</v>
      </c>
      <c r="K91" s="27">
        <f>IF(COUNT(K71:K90), SUM(K71:K90) / COUNT(K71:K90), 0)</f>
        <v>0</v>
      </c>
      <c r="L91" s="28">
        <f>SUM(L71:L90)</f>
        <v>0</v>
      </c>
      <c r="M91" s="26" t="s">
        <v>261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79" t="s">
        <v>54</v>
      </c>
      <c r="B96" s="181" t="str">
        <f>TEXT($G$1, "[$-ko-KR]yyyy-mm-dd(ddd) ") &amp; "오전 00:00"</f>
        <v>2021-04-01(목) 오전 00:00</v>
      </c>
      <c r="C96" s="182"/>
      <c r="D96" s="158" t="str">
        <f>TEXT($G$1, "[$-ko-KR]yyyy-mm-dd(ddd) ") &amp; "오후 14:00"</f>
        <v>2021-04-01(목) 오후 14:00</v>
      </c>
      <c r="E96" s="159"/>
      <c r="F96" s="160"/>
      <c r="G96" s="158" t="str">
        <f>TEXT($G$1, "[$-ko-KR]yyyy-mm-dd(ddd) ") &amp; "오후 19:00"</f>
        <v>2021-04-01(목) 오후 19:00</v>
      </c>
      <c r="H96" s="159"/>
      <c r="I96" s="160"/>
      <c r="J96" s="158" t="str">
        <f>TEXT($G$1, "[$-ko-KR]yyyy-mm-dd(ddd) ") &amp; "오후 21:00"</f>
        <v>2021-04-01(목) 오후 21:00</v>
      </c>
      <c r="K96" s="159"/>
      <c r="L96" s="160"/>
      <c r="M96" s="158" t="str">
        <f>TEXT($G$1+1, "[$-ko-KR]yyyy-mm-dd(ddd) ") &amp; "오전 00:00"</f>
        <v>2021-04-02(금) 오전 00:00</v>
      </c>
      <c r="N96" s="159"/>
      <c r="O96" s="160"/>
      <c r="Q96" s="156"/>
      <c r="R96" s="156"/>
      <c r="S96" s="156"/>
    </row>
    <row r="97" spans="1:19" ht="17.25" thickBot="1">
      <c r="A97" s="180"/>
      <c r="B97" s="2" t="s">
        <v>57</v>
      </c>
      <c r="C97" s="10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7"/>
      <c r="B103" s="96"/>
      <c r="C103" s="97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7"/>
      <c r="B113" s="96"/>
      <c r="C113" s="97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26" t="s">
        <v>260</v>
      </c>
      <c r="B118" s="192">
        <f>$B$37</f>
        <v>300000</v>
      </c>
      <c r="C118" s="193"/>
      <c r="D118" s="26" t="s">
        <v>261</v>
      </c>
      <c r="E118" s="27">
        <f>IF(COUNT(E98:E117), SUM(E98:E117) / COUNT(E98:E117), 0)</f>
        <v>0</v>
      </c>
      <c r="F118" s="28">
        <f>SUM(F98:F117)</f>
        <v>0</v>
      </c>
      <c r="G118" s="26" t="s">
        <v>261</v>
      </c>
      <c r="H118" s="27">
        <f>IF(COUNT(H98:H117), SUM(H98:H117) / COUNT(H98:H117), 0)</f>
        <v>0</v>
      </c>
      <c r="I118" s="28">
        <f>SUM(I98:I117)</f>
        <v>0</v>
      </c>
      <c r="J118" s="26" t="s">
        <v>261</v>
      </c>
      <c r="K118" s="27">
        <f>IF(COUNT(K98:K117), SUM(K98:K117) / COUNT(K98:K117), 0)</f>
        <v>0</v>
      </c>
      <c r="L118" s="28">
        <f>SUM(L98:L117)</f>
        <v>0</v>
      </c>
      <c r="M118" s="26" t="s">
        <v>261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79" t="s">
        <v>54</v>
      </c>
      <c r="B123" s="181" t="str">
        <f>TEXT($G$1, "[$-ko-KR]yyyy-mm-dd(ddd) ") &amp; "오전 00:00"</f>
        <v>2021-04-01(목) 오전 00:00</v>
      </c>
      <c r="C123" s="182"/>
      <c r="D123" s="158" t="str">
        <f>TEXT($G$1, "[$-ko-KR]yyyy-mm-dd(ddd) ") &amp; "오후 14:00"</f>
        <v>2021-04-01(목) 오후 14:00</v>
      </c>
      <c r="E123" s="159"/>
      <c r="F123" s="160"/>
      <c r="G123" s="158" t="str">
        <f>TEXT($G$1, "[$-ko-KR]yyyy-mm-dd(ddd) ") &amp; "오후 19:00"</f>
        <v>2021-04-01(목) 오후 19:00</v>
      </c>
      <c r="H123" s="159"/>
      <c r="I123" s="160"/>
      <c r="J123" s="158" t="str">
        <f>TEXT($G$1, "[$-ko-KR]yyyy-mm-dd(ddd) ") &amp; "오후 21:00"</f>
        <v>2021-04-01(목) 오후 21:00</v>
      </c>
      <c r="K123" s="159"/>
      <c r="L123" s="160"/>
      <c r="M123" s="158" t="str">
        <f>TEXT($G$1+1, "[$-ko-KR]yyyy-mm-dd(ddd) ") &amp; "오전 00:00"</f>
        <v>2021-04-02(금) 오전 00:00</v>
      </c>
      <c r="N123" s="159"/>
      <c r="O123" s="160"/>
      <c r="Q123" s="156"/>
      <c r="R123" s="156"/>
      <c r="S123" s="156"/>
    </row>
    <row r="124" spans="1:19" ht="17.25" thickBot="1">
      <c r="A124" s="180"/>
      <c r="B124" s="2" t="s">
        <v>57</v>
      </c>
      <c r="C124" s="10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7"/>
      <c r="B130" s="96"/>
      <c r="C130" s="97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7"/>
      <c r="B140" s="96"/>
      <c r="C140" s="97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26" t="s">
        <v>260</v>
      </c>
      <c r="B145" s="192">
        <f>$B$37</f>
        <v>300000</v>
      </c>
      <c r="C145" s="193"/>
      <c r="D145" s="26" t="s">
        <v>261</v>
      </c>
      <c r="E145" s="27">
        <f>IF(COUNT(E125:E144), SUM(E125:E144) / COUNT(E125:E144), 0)</f>
        <v>0</v>
      </c>
      <c r="F145" s="28">
        <f>SUM(F125:F144)</f>
        <v>0</v>
      </c>
      <c r="G145" s="26" t="s">
        <v>261</v>
      </c>
      <c r="H145" s="27">
        <f>IF(COUNT(H125:H144), SUM(H125:H144) / COUNT(H125:H144), 0)</f>
        <v>0</v>
      </c>
      <c r="I145" s="28">
        <f>SUM(I125:I144)</f>
        <v>0</v>
      </c>
      <c r="J145" s="26" t="s">
        <v>261</v>
      </c>
      <c r="K145" s="27">
        <f>IF(COUNT(K125:K144), SUM(K125:K144) / COUNT(K125:K144), 0)</f>
        <v>0</v>
      </c>
      <c r="L145" s="28">
        <f>SUM(L125:L144)</f>
        <v>0</v>
      </c>
      <c r="M145" s="26" t="s">
        <v>261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79" t="s">
        <v>54</v>
      </c>
      <c r="B150" s="181" t="str">
        <f>TEXT($G$1, "[$-ko-KR]yyyy-mm-dd(ddd) ") &amp; "오전 00:00"</f>
        <v>2021-04-01(목) 오전 00:00</v>
      </c>
      <c r="C150" s="182"/>
      <c r="D150" s="158" t="str">
        <f>TEXT($G$1, "[$-ko-KR]yyyy-mm-dd(ddd) ") &amp; "오후 14:00"</f>
        <v>2021-04-01(목) 오후 14:00</v>
      </c>
      <c r="E150" s="159"/>
      <c r="F150" s="160"/>
      <c r="G150" s="158" t="str">
        <f>TEXT($G$1, "[$-ko-KR]yyyy-mm-dd(ddd) ") &amp; "오후 19:00"</f>
        <v>2021-04-01(목) 오후 19:00</v>
      </c>
      <c r="H150" s="159"/>
      <c r="I150" s="160"/>
      <c r="J150" s="158" t="str">
        <f>TEXT($G$1, "[$-ko-KR]yyyy-mm-dd(ddd) ") &amp; "오후 21:00"</f>
        <v>2021-04-01(목) 오후 21:00</v>
      </c>
      <c r="K150" s="159"/>
      <c r="L150" s="160"/>
      <c r="M150" s="158" t="str">
        <f>TEXT($G$1+1, "[$-ko-KR]yyyy-mm-dd(ddd) ") &amp; "오전 00:00"</f>
        <v>2021-04-02(금) 오전 00:00</v>
      </c>
      <c r="N150" s="159"/>
      <c r="O150" s="160"/>
      <c r="Q150" s="156"/>
      <c r="R150" s="156"/>
      <c r="S150" s="156"/>
    </row>
    <row r="151" spans="1:19" ht="17.25" thickBot="1">
      <c r="A151" s="180"/>
      <c r="B151" s="2" t="s">
        <v>57</v>
      </c>
      <c r="C151" s="10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7"/>
      <c r="B157" s="96"/>
      <c r="C157" s="97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7"/>
      <c r="B167" s="96"/>
      <c r="C167" s="97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26" t="s">
        <v>260</v>
      </c>
      <c r="B172" s="192">
        <f>$B$37</f>
        <v>300000</v>
      </c>
      <c r="C172" s="193"/>
      <c r="D172" s="26" t="s">
        <v>261</v>
      </c>
      <c r="E172" s="27">
        <f>IF(COUNT(E152:E171), SUM(E152:E171) / COUNT(E152:E171), 0)</f>
        <v>0</v>
      </c>
      <c r="F172" s="28">
        <f>SUM(F152:F171)</f>
        <v>0</v>
      </c>
      <c r="G172" s="26" t="s">
        <v>261</v>
      </c>
      <c r="H172" s="27">
        <f>IF(COUNT(H152:H171), SUM(H152:H171) / COUNT(H152:H171), 0)</f>
        <v>0</v>
      </c>
      <c r="I172" s="28">
        <f>SUM(I152:I171)</f>
        <v>0</v>
      </c>
      <c r="J172" s="26" t="s">
        <v>261</v>
      </c>
      <c r="K172" s="27">
        <f>IF(COUNT(K152:K171), SUM(K152:K171) / COUNT(K152:K171), 0)</f>
        <v>0</v>
      </c>
      <c r="L172" s="28">
        <f>SUM(L152:L171)</f>
        <v>0</v>
      </c>
      <c r="M172" s="26" t="s">
        <v>261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79" t="s">
        <v>54</v>
      </c>
      <c r="B177" s="181" t="str">
        <f>TEXT($G$1, "[$-ko-KR]yyyy-mm-dd(ddd) ") &amp; "오전 00:00"</f>
        <v>2021-04-01(목) 오전 00:00</v>
      </c>
      <c r="C177" s="182"/>
      <c r="D177" s="158" t="str">
        <f>TEXT($G$1, "[$-ko-KR]yyyy-mm-dd(ddd) ") &amp; "오후 14:00"</f>
        <v>2021-04-01(목) 오후 14:00</v>
      </c>
      <c r="E177" s="159"/>
      <c r="F177" s="160"/>
      <c r="G177" s="158" t="str">
        <f>TEXT($G$1, "[$-ko-KR]yyyy-mm-dd(ddd) ") &amp; "오후 19:00"</f>
        <v>2021-04-01(목) 오후 19:00</v>
      </c>
      <c r="H177" s="159"/>
      <c r="I177" s="160"/>
      <c r="J177" s="158" t="str">
        <f>TEXT($G$1, "[$-ko-KR]yyyy-mm-dd(ddd) ") &amp; "오후 21:00"</f>
        <v>2021-04-01(목) 오후 21:00</v>
      </c>
      <c r="K177" s="159"/>
      <c r="L177" s="160"/>
      <c r="M177" s="158" t="str">
        <f>TEXT($G$1+1, "[$-ko-KR]yyyy-mm-dd(ddd) ") &amp; "오전 00:00"</f>
        <v>2021-04-02(금) 오전 00:00</v>
      </c>
      <c r="N177" s="159"/>
      <c r="O177" s="160"/>
      <c r="Q177" s="156"/>
      <c r="R177" s="156"/>
      <c r="S177" s="156"/>
    </row>
    <row r="178" spans="1:19" ht="17.25" thickBot="1">
      <c r="A178" s="180"/>
      <c r="B178" s="2" t="s">
        <v>57</v>
      </c>
      <c r="C178" s="10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7"/>
      <c r="B184" s="96"/>
      <c r="C184" s="97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7"/>
      <c r="B194" s="96"/>
      <c r="C194" s="97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26" t="s">
        <v>260</v>
      </c>
      <c r="B199" s="192">
        <f>$B$37</f>
        <v>300000</v>
      </c>
      <c r="C199" s="193"/>
      <c r="D199" s="26" t="s">
        <v>261</v>
      </c>
      <c r="E199" s="27">
        <f>IF(COUNT(E179:E198), SUM(E179:E198) / COUNT(E179:E198), 0)</f>
        <v>0</v>
      </c>
      <c r="F199" s="28">
        <f>SUM(F179:F198)</f>
        <v>0</v>
      </c>
      <c r="G199" s="26" t="s">
        <v>261</v>
      </c>
      <c r="H199" s="27">
        <f>IF(COUNT(H179:H198), SUM(H179:H198) / COUNT(H179:H198), 0)</f>
        <v>0</v>
      </c>
      <c r="I199" s="28">
        <f>SUM(I179:I198)</f>
        <v>0</v>
      </c>
      <c r="J199" s="26" t="s">
        <v>261</v>
      </c>
      <c r="K199" s="27">
        <f>IF(COUNT(K179:K198), SUM(K179:K198) / COUNT(K179:K198), 0)</f>
        <v>0</v>
      </c>
      <c r="L199" s="28">
        <f>SUM(L179:L198)</f>
        <v>0</v>
      </c>
      <c r="M199" s="26" t="s">
        <v>261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2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25" priority="157">
      <formula>AND($N17 &gt; 0, ISNUMBER($N17))</formula>
    </cfRule>
    <cfRule type="expression" dxfId="5224" priority="158">
      <formula>AND($N17 = 0 * ISNUMBER($N17))</formula>
    </cfRule>
    <cfRule type="expression" dxfId="5223" priority="159">
      <formula>AND($N17 &lt; 0, ISNUMBER($N17))</formula>
    </cfRule>
  </conditionalFormatting>
  <conditionalFormatting sqref="A17:F36">
    <cfRule type="expression" dxfId="5222" priority="166">
      <formula>AND($E17 &gt; 0, ISNUMBER($E17))</formula>
    </cfRule>
    <cfRule type="expression" dxfId="5221" priority="167">
      <formula>AND($E17 = 0 * ISNUMBER($E17))</formula>
    </cfRule>
    <cfRule type="expression" dxfId="5220" priority="168">
      <formula>AND($E17 &lt; 0, ISNUMBER($E17))</formula>
    </cfRule>
  </conditionalFormatting>
  <conditionalFormatting sqref="A17:C36 G17:I36">
    <cfRule type="expression" dxfId="5219" priority="163">
      <formula>AND($H17 &gt; 0, ISNUMBER($H17))</formula>
    </cfRule>
    <cfRule type="expression" dxfId="5218" priority="164">
      <formula>AND($H17 = 0 * ISNUMBER($H17))</formula>
    </cfRule>
    <cfRule type="expression" dxfId="5217" priority="165">
      <formula>AND($H17 &lt; 0, ISNUMBER($H17))</formula>
    </cfRule>
  </conditionalFormatting>
  <conditionalFormatting sqref="A17:C36 J17:L36">
    <cfRule type="expression" dxfId="5216" priority="160">
      <formula>AND($K17 &gt; 0, ISNUMBER($K17))</formula>
    </cfRule>
    <cfRule type="expression" dxfId="5215" priority="161">
      <formula>AND($K17 = 0 * ISNUMBER($K17))</formula>
    </cfRule>
    <cfRule type="expression" dxfId="5214" priority="162">
      <formula>AND($K17 &lt; 0, ISNUMBER($K17))</formula>
    </cfRule>
  </conditionalFormatting>
  <conditionalFormatting sqref="D15:F16 E37:F37">
    <cfRule type="expression" dxfId="5213" priority="154">
      <formula>$E$37 &gt; 0</formula>
    </cfRule>
    <cfRule type="expression" dxfId="5212" priority="155">
      <formula>$E$37 = 0</formula>
    </cfRule>
    <cfRule type="expression" dxfId="5211" priority="156">
      <formula>$E$37 &lt; 0</formula>
    </cfRule>
  </conditionalFormatting>
  <conditionalFormatting sqref="G15:I16 H37:I37">
    <cfRule type="expression" dxfId="5210" priority="151">
      <formula>$H$37 &gt; 0</formula>
    </cfRule>
    <cfRule type="expression" dxfId="5209" priority="152">
      <formula>$H$37 = 0</formula>
    </cfRule>
    <cfRule type="expression" dxfId="5208" priority="153">
      <formula>$H$37 &lt; 0</formula>
    </cfRule>
  </conditionalFormatting>
  <conditionalFormatting sqref="J15:L16 K37:L37">
    <cfRule type="expression" dxfId="5207" priority="148">
      <formula>$K$37 &gt; 0</formula>
    </cfRule>
    <cfRule type="expression" dxfId="5206" priority="149">
      <formula>$K$37 = 0</formula>
    </cfRule>
    <cfRule type="expression" dxfId="5205" priority="150">
      <formula>$K$37 &lt; 0</formula>
    </cfRule>
  </conditionalFormatting>
  <conditionalFormatting sqref="M15:O16 N37:O37">
    <cfRule type="expression" dxfId="5204" priority="145">
      <formula>$N$37 &gt; 0</formula>
    </cfRule>
    <cfRule type="expression" dxfId="5203" priority="146">
      <formula>$N$37 = 0</formula>
    </cfRule>
    <cfRule type="expression" dxfId="5202" priority="147">
      <formula>$N$37 &lt; 0</formula>
    </cfRule>
  </conditionalFormatting>
  <conditionalFormatting sqref="A44:C63 M44:O63">
    <cfRule type="expression" dxfId="5201" priority="133">
      <formula>AND($N44 &gt; 0, ISNUMBER($N44))</formula>
    </cfRule>
    <cfRule type="expression" dxfId="5200" priority="134">
      <formula>AND($N44 = 0 * ISNUMBER($N44))</formula>
    </cfRule>
    <cfRule type="expression" dxfId="5199" priority="135">
      <formula>AND($N44 &lt; 0, ISNUMBER($N44))</formula>
    </cfRule>
  </conditionalFormatting>
  <conditionalFormatting sqref="A44:F63">
    <cfRule type="expression" dxfId="5198" priority="142">
      <formula>AND($E44 &gt; 0, ISNUMBER($E44))</formula>
    </cfRule>
    <cfRule type="expression" dxfId="5197" priority="143">
      <formula>AND($E44 = 0 * ISNUMBER($E44))</formula>
    </cfRule>
    <cfRule type="expression" dxfId="5196" priority="144">
      <formula>AND($E44 &lt; 0, ISNUMBER($E44))</formula>
    </cfRule>
  </conditionalFormatting>
  <conditionalFormatting sqref="A44:C63 G44:I63">
    <cfRule type="expression" dxfId="5195" priority="139">
      <formula>AND($H44 &gt; 0, ISNUMBER($H44))</formula>
    </cfRule>
    <cfRule type="expression" dxfId="5194" priority="140">
      <formula>AND($H44 = 0 * ISNUMBER($H44))</formula>
    </cfRule>
    <cfRule type="expression" dxfId="5193" priority="141">
      <formula>AND($H44 &lt; 0, ISNUMBER($H44))</formula>
    </cfRule>
  </conditionalFormatting>
  <conditionalFormatting sqref="A44:C63 J44:L63">
    <cfRule type="expression" dxfId="5192" priority="136">
      <formula>AND($K44 &gt; 0, ISNUMBER($K44))</formula>
    </cfRule>
    <cfRule type="expression" dxfId="5191" priority="137">
      <formula>AND($K44 = 0 * ISNUMBER($K44))</formula>
    </cfRule>
    <cfRule type="expression" dxfId="5190" priority="138">
      <formula>AND($K44 &lt; 0, ISNUMBER($K44))</formula>
    </cfRule>
  </conditionalFormatting>
  <conditionalFormatting sqref="D42:F43 E64:F64">
    <cfRule type="expression" dxfId="5189" priority="130">
      <formula>$E$64 &gt; 0</formula>
    </cfRule>
    <cfRule type="expression" dxfId="5188" priority="131">
      <formula>$E$64 = 0</formula>
    </cfRule>
    <cfRule type="expression" dxfId="5187" priority="132">
      <formula>$E$64 &lt; 0</formula>
    </cfRule>
  </conditionalFormatting>
  <conditionalFormatting sqref="G42:I43 H64:I64">
    <cfRule type="expression" dxfId="5186" priority="127">
      <formula>$H$64 &gt; 0</formula>
    </cfRule>
    <cfRule type="expression" dxfId="5185" priority="128">
      <formula>$H$64 = 0</formula>
    </cfRule>
    <cfRule type="expression" dxfId="5184" priority="129">
      <formula>$H$64 &lt; 0</formula>
    </cfRule>
  </conditionalFormatting>
  <conditionalFormatting sqref="J42:L43 K64:L64">
    <cfRule type="expression" dxfId="5183" priority="124">
      <formula>$K$64 &gt; 0</formula>
    </cfRule>
    <cfRule type="expression" dxfId="5182" priority="125">
      <formula>$K$64 = 0</formula>
    </cfRule>
    <cfRule type="expression" dxfId="5181" priority="126">
      <formula>$K$64 &lt; 0</formula>
    </cfRule>
  </conditionalFormatting>
  <conditionalFormatting sqref="M42:O43 N64:O64">
    <cfRule type="expression" dxfId="5180" priority="121">
      <formula>$N$64 &gt; 0</formula>
    </cfRule>
    <cfRule type="expression" dxfId="5179" priority="122">
      <formula>$N$64 = 0</formula>
    </cfRule>
    <cfRule type="expression" dxfId="5178" priority="123">
      <formula>$N$64 &lt; 0</formula>
    </cfRule>
  </conditionalFormatting>
  <conditionalFormatting sqref="A71:C90 M71:O90">
    <cfRule type="expression" dxfId="5177" priority="109">
      <formula>AND($N71 &gt; 0, ISNUMBER($N71))</formula>
    </cfRule>
    <cfRule type="expression" dxfId="5176" priority="110">
      <formula>AND($N71 = 0 * ISNUMBER($N71))</formula>
    </cfRule>
    <cfRule type="expression" dxfId="5175" priority="111">
      <formula>AND($N71 &lt; 0, ISNUMBER($N71))</formula>
    </cfRule>
  </conditionalFormatting>
  <conditionalFormatting sqref="A71:F90">
    <cfRule type="expression" dxfId="5174" priority="118">
      <formula>AND($E71 &gt; 0, ISNUMBER($E71))</formula>
    </cfRule>
    <cfRule type="expression" dxfId="5173" priority="119">
      <formula>AND($E71 = 0 * ISNUMBER($E71))</formula>
    </cfRule>
    <cfRule type="expression" dxfId="5172" priority="120">
      <formula>AND($E71 &lt; 0, ISNUMBER($E71))</formula>
    </cfRule>
  </conditionalFormatting>
  <conditionalFormatting sqref="A71:C90 G71:I90">
    <cfRule type="expression" dxfId="5171" priority="115">
      <formula>AND($H71 &gt; 0, ISNUMBER($H71))</formula>
    </cfRule>
    <cfRule type="expression" dxfId="5170" priority="116">
      <formula>AND($H71 = 0 * ISNUMBER($H71))</formula>
    </cfRule>
    <cfRule type="expression" dxfId="5169" priority="117">
      <formula>AND($H71 &lt; 0, ISNUMBER($H71))</formula>
    </cfRule>
  </conditionalFormatting>
  <conditionalFormatting sqref="A71:C90 J71:L90">
    <cfRule type="expression" dxfId="5168" priority="112">
      <formula>AND($K71 &gt; 0, ISNUMBER($K71))</formula>
    </cfRule>
    <cfRule type="expression" dxfId="5167" priority="113">
      <formula>AND($K71 = 0 * ISNUMBER($K71))</formula>
    </cfRule>
    <cfRule type="expression" dxfId="5166" priority="114">
      <formula>AND($K71 &lt; 0, ISNUMBER($K71))</formula>
    </cfRule>
  </conditionalFormatting>
  <conditionalFormatting sqref="D69:F70 E91:F91">
    <cfRule type="expression" dxfId="5165" priority="106">
      <formula>$E$91 &gt; 0</formula>
    </cfRule>
    <cfRule type="expression" dxfId="5164" priority="107">
      <formula>$E$91 = 0</formula>
    </cfRule>
    <cfRule type="expression" dxfId="5163" priority="108">
      <formula>$E$91 &lt; 0</formula>
    </cfRule>
  </conditionalFormatting>
  <conditionalFormatting sqref="G69:I70 H91:I91">
    <cfRule type="expression" dxfId="5162" priority="103">
      <formula>$H$91 &gt; 0</formula>
    </cfRule>
    <cfRule type="expression" dxfId="5161" priority="104">
      <formula>$H$91 = 0</formula>
    </cfRule>
    <cfRule type="expression" dxfId="5160" priority="105">
      <formula>$H$91 &lt; 0</formula>
    </cfRule>
  </conditionalFormatting>
  <conditionalFormatting sqref="J69:L70 K91:L91">
    <cfRule type="expression" dxfId="5159" priority="100">
      <formula>$K$91 &gt; 0</formula>
    </cfRule>
    <cfRule type="expression" dxfId="5158" priority="101">
      <formula>$K$91 = 0</formula>
    </cfRule>
    <cfRule type="expression" dxfId="5157" priority="102">
      <formula>$K$91 &lt; 0</formula>
    </cfRule>
  </conditionalFormatting>
  <conditionalFormatting sqref="M69:O70 N91:O91">
    <cfRule type="expression" dxfId="5156" priority="97">
      <formula>$N$91 &gt; 0</formula>
    </cfRule>
    <cfRule type="expression" dxfId="5155" priority="98">
      <formula>$N$91 = 0</formula>
    </cfRule>
    <cfRule type="expression" dxfId="5154" priority="99">
      <formula>$N$91 &lt; 0</formula>
    </cfRule>
  </conditionalFormatting>
  <conditionalFormatting sqref="A98:C117 M98:O117">
    <cfRule type="expression" dxfId="5153" priority="85">
      <formula>AND($N98 &gt; 0, ISNUMBER($N98))</formula>
    </cfRule>
    <cfRule type="expression" dxfId="5152" priority="86">
      <formula>AND($N98 = 0 * ISNUMBER($N98))</formula>
    </cfRule>
    <cfRule type="expression" dxfId="5151" priority="87">
      <formula>AND($N98 &lt; 0, ISNUMBER($N98))</formula>
    </cfRule>
  </conditionalFormatting>
  <conditionalFormatting sqref="A98:F117">
    <cfRule type="expression" dxfId="5150" priority="94">
      <formula>AND($E98 &gt; 0, ISNUMBER($E98))</formula>
    </cfRule>
    <cfRule type="expression" dxfId="5149" priority="95">
      <formula>AND($E98 = 0 * ISNUMBER($E98))</formula>
    </cfRule>
    <cfRule type="expression" dxfId="5148" priority="96">
      <formula>AND($E98 &lt; 0, ISNUMBER($E98))</formula>
    </cfRule>
  </conditionalFormatting>
  <conditionalFormatting sqref="A98:C117 G98:I117">
    <cfRule type="expression" dxfId="5147" priority="91">
      <formula>AND($H98 &gt; 0, ISNUMBER($H98))</formula>
    </cfRule>
    <cfRule type="expression" dxfId="5146" priority="92">
      <formula>AND($H98 = 0 * ISNUMBER($H98))</formula>
    </cfRule>
    <cfRule type="expression" dxfId="5145" priority="93">
      <formula>AND($H98 &lt; 0, ISNUMBER($H98))</formula>
    </cfRule>
  </conditionalFormatting>
  <conditionalFormatting sqref="A98:C117 J98:L117">
    <cfRule type="expression" dxfId="5144" priority="88">
      <formula>AND($K98 &gt; 0, ISNUMBER($K98))</formula>
    </cfRule>
    <cfRule type="expression" dxfId="5143" priority="89">
      <formula>AND($K98 = 0 * ISNUMBER($K98))</formula>
    </cfRule>
    <cfRule type="expression" dxfId="5142" priority="90">
      <formula>AND($K98 &lt; 0, ISNUMBER($K98))</formula>
    </cfRule>
  </conditionalFormatting>
  <conditionalFormatting sqref="D96:F97 E118:F118">
    <cfRule type="expression" dxfId="5141" priority="82">
      <formula>$E$118 &gt; 0</formula>
    </cfRule>
    <cfRule type="expression" dxfId="5140" priority="83">
      <formula>$E$118 = 0</formula>
    </cfRule>
    <cfRule type="expression" dxfId="5139" priority="84">
      <formula>$E$118 &lt; 0</formula>
    </cfRule>
  </conditionalFormatting>
  <conditionalFormatting sqref="G96:I97 H118:I118">
    <cfRule type="expression" dxfId="5138" priority="79">
      <formula>$H$118 &gt; 0</formula>
    </cfRule>
    <cfRule type="expression" dxfId="5137" priority="80">
      <formula>$H$118 = 0</formula>
    </cfRule>
    <cfRule type="expression" dxfId="5136" priority="81">
      <formula>$H$118 &lt; 0</formula>
    </cfRule>
  </conditionalFormatting>
  <conditionalFormatting sqref="J96:L97 K118:L118">
    <cfRule type="expression" dxfId="5135" priority="76">
      <formula>$K$118 &gt; 0</formula>
    </cfRule>
    <cfRule type="expression" dxfId="5134" priority="77">
      <formula>$K$118 = 0</formula>
    </cfRule>
    <cfRule type="expression" dxfId="5133" priority="78">
      <formula>$K$118 &lt; 0</formula>
    </cfRule>
  </conditionalFormatting>
  <conditionalFormatting sqref="M96:O97 N118:O118">
    <cfRule type="expression" dxfId="5132" priority="73">
      <formula>$N$118 &gt; 0</formula>
    </cfRule>
    <cfRule type="expression" dxfId="5131" priority="74">
      <formula>$N$118 = 0</formula>
    </cfRule>
    <cfRule type="expression" dxfId="5130" priority="75">
      <formula>$N$118 &lt; 0</formula>
    </cfRule>
  </conditionalFormatting>
  <conditionalFormatting sqref="A125:C144 M125:O144">
    <cfRule type="expression" dxfId="5129" priority="61">
      <formula>AND($N125 &gt; 0, ISNUMBER($N125))</formula>
    </cfRule>
    <cfRule type="expression" dxfId="5128" priority="62">
      <formula>AND($N125 = 0 * ISNUMBER($N125))</formula>
    </cfRule>
    <cfRule type="expression" dxfId="5127" priority="63">
      <formula>AND($N125 &lt; 0, ISNUMBER($N125))</formula>
    </cfRule>
  </conditionalFormatting>
  <conditionalFormatting sqref="A125:F144">
    <cfRule type="expression" dxfId="5126" priority="70">
      <formula>AND($E125 &gt; 0, ISNUMBER($E125))</formula>
    </cfRule>
    <cfRule type="expression" dxfId="5125" priority="71">
      <formula>AND($E125 = 0 * ISNUMBER($E125))</formula>
    </cfRule>
    <cfRule type="expression" dxfId="5124" priority="72">
      <formula>AND($E125 &lt; 0, ISNUMBER($E125))</formula>
    </cfRule>
  </conditionalFormatting>
  <conditionalFormatting sqref="A125:C144 G125:I144">
    <cfRule type="expression" dxfId="5123" priority="67">
      <formula>AND($H125 &gt; 0, ISNUMBER($H125))</formula>
    </cfRule>
    <cfRule type="expression" dxfId="5122" priority="68">
      <formula>AND($H125 = 0 * ISNUMBER($H125))</formula>
    </cfRule>
    <cfRule type="expression" dxfId="5121" priority="69">
      <formula>AND($H125 &lt; 0, ISNUMBER($H125))</formula>
    </cfRule>
  </conditionalFormatting>
  <conditionalFormatting sqref="A125:C144 J125:L144">
    <cfRule type="expression" dxfId="5120" priority="64">
      <formula>AND($K125 &gt; 0, ISNUMBER($K125))</formula>
    </cfRule>
    <cfRule type="expression" dxfId="5119" priority="65">
      <formula>AND($K125 = 0 * ISNUMBER($K125))</formula>
    </cfRule>
    <cfRule type="expression" dxfId="5118" priority="66">
      <formula>AND($K125 &lt; 0, ISNUMBER($K125))</formula>
    </cfRule>
  </conditionalFormatting>
  <conditionalFormatting sqref="D123:F124 E145:F145">
    <cfRule type="expression" dxfId="5117" priority="58">
      <formula>$E$145 &gt; 0</formula>
    </cfRule>
    <cfRule type="expression" dxfId="5116" priority="59">
      <formula>$E$145 = 0</formula>
    </cfRule>
    <cfRule type="expression" dxfId="5115" priority="60">
      <formula>$E$145 &lt; 0</formula>
    </cfRule>
  </conditionalFormatting>
  <conditionalFormatting sqref="G123:I124 H145:I145">
    <cfRule type="expression" dxfId="5114" priority="55">
      <formula>$H$145 &gt; 0</formula>
    </cfRule>
    <cfRule type="expression" dxfId="5113" priority="56">
      <formula>$H$145 = 0</formula>
    </cfRule>
    <cfRule type="expression" dxfId="5112" priority="57">
      <formula>$H$145 &lt; 0</formula>
    </cfRule>
  </conditionalFormatting>
  <conditionalFormatting sqref="J123:L124 K145:L145">
    <cfRule type="expression" dxfId="5111" priority="52">
      <formula>$K$145 &gt; 0</formula>
    </cfRule>
    <cfRule type="expression" dxfId="5110" priority="53">
      <formula>$K$145 = 0</formula>
    </cfRule>
    <cfRule type="expression" dxfId="5109" priority="54">
      <formula>$K$145 &lt; 0</formula>
    </cfRule>
  </conditionalFormatting>
  <conditionalFormatting sqref="M123:O124 N145:O145">
    <cfRule type="expression" dxfId="5108" priority="49">
      <formula>$N$145 &gt; 0</formula>
    </cfRule>
    <cfRule type="expression" dxfId="5107" priority="50">
      <formula>$N$145 = 0</formula>
    </cfRule>
    <cfRule type="expression" dxfId="5106" priority="51">
      <formula>$N$145 &lt; 0</formula>
    </cfRule>
  </conditionalFormatting>
  <conditionalFormatting sqref="A152:C171 M152:O171">
    <cfRule type="expression" dxfId="5105" priority="37">
      <formula>AND($N152 &gt; 0, ISNUMBER($N152))</formula>
    </cfRule>
    <cfRule type="expression" dxfId="5104" priority="38">
      <formula>AND($N152 = 0 * ISNUMBER($N152))</formula>
    </cfRule>
    <cfRule type="expression" dxfId="5103" priority="39">
      <formula>AND($N152 &lt; 0, ISNUMBER($N152))</formula>
    </cfRule>
  </conditionalFormatting>
  <conditionalFormatting sqref="A152:F171">
    <cfRule type="expression" dxfId="5102" priority="46">
      <formula>AND($E152 &gt; 0, ISNUMBER($E152))</formula>
    </cfRule>
    <cfRule type="expression" dxfId="5101" priority="47">
      <formula>AND($E152 = 0 * ISNUMBER($E152))</formula>
    </cfRule>
    <cfRule type="expression" dxfId="5100" priority="48">
      <formula>AND($E152 &lt; 0, ISNUMBER($E152))</formula>
    </cfRule>
  </conditionalFormatting>
  <conditionalFormatting sqref="A152:C171 G152:I171">
    <cfRule type="expression" dxfId="5099" priority="43">
      <formula>AND($H152 &gt; 0, ISNUMBER($H152))</formula>
    </cfRule>
    <cfRule type="expression" dxfId="5098" priority="44">
      <formula>AND($H152 = 0 * ISNUMBER($H152))</formula>
    </cfRule>
    <cfRule type="expression" dxfId="5097" priority="45">
      <formula>AND($H152 &lt; 0, ISNUMBER($H152))</formula>
    </cfRule>
  </conditionalFormatting>
  <conditionalFormatting sqref="A152:C171 J152:L171">
    <cfRule type="expression" dxfId="5096" priority="40">
      <formula>AND($K152 &gt; 0, ISNUMBER($K152))</formula>
    </cfRule>
    <cfRule type="expression" dxfId="5095" priority="41">
      <formula>AND($K152 = 0 * ISNUMBER($K152))</formula>
    </cfRule>
    <cfRule type="expression" dxfId="5094" priority="42">
      <formula>AND($K152 &lt; 0, ISNUMBER($K152))</formula>
    </cfRule>
  </conditionalFormatting>
  <conditionalFormatting sqref="D150:F151 E172:F172">
    <cfRule type="expression" dxfId="5093" priority="34">
      <formula>$E$172 &gt; 0</formula>
    </cfRule>
    <cfRule type="expression" dxfId="5092" priority="35">
      <formula>$E$172 = 0</formula>
    </cfRule>
    <cfRule type="expression" dxfId="5091" priority="36">
      <formula>$E$172 &lt; 0</formula>
    </cfRule>
  </conditionalFormatting>
  <conditionalFormatting sqref="G150:I151 H172:I172">
    <cfRule type="expression" dxfId="5090" priority="31">
      <formula>$H$172 &gt; 0</formula>
    </cfRule>
    <cfRule type="expression" dxfId="5089" priority="32">
      <formula>$H$172 = 0</formula>
    </cfRule>
    <cfRule type="expression" dxfId="5088" priority="33">
      <formula>$H$172 &lt; 0</formula>
    </cfRule>
  </conditionalFormatting>
  <conditionalFormatting sqref="J150:L151 K172:L172">
    <cfRule type="expression" dxfId="5087" priority="28">
      <formula>$K$172 &gt; 0</formula>
    </cfRule>
    <cfRule type="expression" dxfId="5086" priority="29">
      <formula>$K$172 = 0</formula>
    </cfRule>
    <cfRule type="expression" dxfId="5085" priority="30">
      <formula>$K$172 &lt; 0</formula>
    </cfRule>
  </conditionalFormatting>
  <conditionalFormatting sqref="M150:O151 N172:O172">
    <cfRule type="expression" dxfId="5084" priority="25">
      <formula>$N$172 &gt; 0</formula>
    </cfRule>
    <cfRule type="expression" dxfId="5083" priority="26">
      <formula>$N$172 = 0</formula>
    </cfRule>
    <cfRule type="expression" dxfId="5082" priority="27">
      <formula>$N$172 &lt; 0</formula>
    </cfRule>
  </conditionalFormatting>
  <conditionalFormatting sqref="A179:C198 M179:O198">
    <cfRule type="expression" dxfId="5081" priority="13">
      <formula>AND($N179 &gt; 0, ISNUMBER($N179))</formula>
    </cfRule>
    <cfRule type="expression" dxfId="5080" priority="14">
      <formula>AND($N179 = 0 * ISNUMBER($N179))</formula>
    </cfRule>
    <cfRule type="expression" dxfId="5079" priority="15">
      <formula>AND($N179 &lt; 0, ISNUMBER($N179))</formula>
    </cfRule>
  </conditionalFormatting>
  <conditionalFormatting sqref="A179:F198">
    <cfRule type="expression" dxfId="5078" priority="22">
      <formula>AND($E179 &gt; 0, ISNUMBER($E179))</formula>
    </cfRule>
    <cfRule type="expression" dxfId="5077" priority="23">
      <formula>AND($E179 = 0 * ISNUMBER($E179))</formula>
    </cfRule>
    <cfRule type="expression" dxfId="5076" priority="24">
      <formula>AND($E179 &lt; 0, ISNUMBER($E179))</formula>
    </cfRule>
  </conditionalFormatting>
  <conditionalFormatting sqref="A179:C198 G179:I198">
    <cfRule type="expression" dxfId="5075" priority="19">
      <formula>AND($H179 &gt; 0, ISNUMBER($H179))</formula>
    </cfRule>
    <cfRule type="expression" dxfId="5074" priority="20">
      <formula>AND($H179 = 0 * ISNUMBER($H179))</formula>
    </cfRule>
    <cfRule type="expression" dxfId="5073" priority="21">
      <formula>AND($H179 &lt; 0, ISNUMBER($H179))</formula>
    </cfRule>
  </conditionalFormatting>
  <conditionalFormatting sqref="A179:C198 J179:L198">
    <cfRule type="expression" dxfId="5072" priority="16">
      <formula>AND($K179 &gt; 0, ISNUMBER($K179))</formula>
    </cfRule>
    <cfRule type="expression" dxfId="5071" priority="17">
      <formula>AND($K179 = 0 * ISNUMBER($K179))</formula>
    </cfRule>
    <cfRule type="expression" dxfId="5070" priority="18">
      <formula>AND($K179 &lt; 0, ISNUMBER($K179))</formula>
    </cfRule>
  </conditionalFormatting>
  <conditionalFormatting sqref="D177:F178 E199:F199">
    <cfRule type="expression" dxfId="5069" priority="10">
      <formula>$E$199 &gt; 0</formula>
    </cfRule>
    <cfRule type="expression" dxfId="5068" priority="11">
      <formula>$E$199 = 0</formula>
    </cfRule>
    <cfRule type="expression" dxfId="5067" priority="12">
      <formula>$E$199 &lt; 0</formula>
    </cfRule>
  </conditionalFormatting>
  <conditionalFormatting sqref="G177:I178 H199:I199">
    <cfRule type="expression" dxfId="5066" priority="7">
      <formula>$H$199 &gt; 0</formula>
    </cfRule>
    <cfRule type="expression" dxfId="5065" priority="8">
      <formula>$H$199 = 0</formula>
    </cfRule>
    <cfRule type="expression" dxfId="5064" priority="9">
      <formula>$H$199 &lt; 0</formula>
    </cfRule>
  </conditionalFormatting>
  <conditionalFormatting sqref="J177:L178 K199:L199">
    <cfRule type="expression" dxfId="5063" priority="4">
      <formula>$K$199 &gt; 0</formula>
    </cfRule>
    <cfRule type="expression" dxfId="5062" priority="5">
      <formula>$K$199 = 0</formula>
    </cfRule>
    <cfRule type="expression" dxfId="5061" priority="6">
      <formula>$K$199 &lt; 0</formula>
    </cfRule>
  </conditionalFormatting>
  <conditionalFormatting sqref="M177:O178 N199:O199">
    <cfRule type="expression" dxfId="5060" priority="1">
      <formula>$N$199 &gt; 0</formula>
    </cfRule>
    <cfRule type="expression" dxfId="5059" priority="2">
      <formula>$N$199 = 0</formula>
    </cfRule>
    <cfRule type="expression" dxfId="50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44896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2022-12-01(목) 오전 00:00</v>
      </c>
      <c r="C15" s="202"/>
      <c r="D15" s="158" t="str">
        <f>TEXT($G$1, "[$-ko-KR]yyyy-mm-dd(ddd) ") &amp; "오후 14:00"</f>
        <v>2022-12-01(목) 오후 14:00</v>
      </c>
      <c r="E15" s="159"/>
      <c r="F15" s="160"/>
      <c r="G15" s="158" t="str">
        <f>TEXT($G$1, "[$-ko-KR]yyyy-mm-dd(ddd) ") &amp; "오후 19:00"</f>
        <v>2022-12-01(목) 오후 19:00</v>
      </c>
      <c r="H15" s="159"/>
      <c r="I15" s="160"/>
      <c r="J15" s="158" t="str">
        <f>TEXT($G$1, "[$-ko-KR]yyyy-mm-dd(ddd) ") &amp; "오후 21:00"</f>
        <v>2022-12-01(목) 오후 21:00</v>
      </c>
      <c r="K15" s="159"/>
      <c r="L15" s="160"/>
      <c r="M15" s="158" t="str">
        <f>TEXT($G$1+1, "[$-ko-KR]yyyy-mm-dd(ddd) ") &amp; "오전 00:00"</f>
        <v>2022-12-02(금)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2022-12-01(목) 오전 00:00</v>
      </c>
      <c r="C42" s="199"/>
      <c r="D42" s="158" t="str">
        <f>TEXT($G$1, "[$-ko-KR]yyyy-mm-dd(ddd) ") &amp; "오후 14:00"</f>
        <v>2022-12-01(목) 오후 14:00</v>
      </c>
      <c r="E42" s="159"/>
      <c r="F42" s="160"/>
      <c r="G42" s="158" t="str">
        <f>TEXT($G$1, "[$-ko-KR]yyyy-mm-dd(ddd) ") &amp; "오후 19:00"</f>
        <v>2022-12-01(목) 오후 19:00</v>
      </c>
      <c r="H42" s="159"/>
      <c r="I42" s="160"/>
      <c r="J42" s="158" t="str">
        <f>TEXT($G$1, "[$-ko-KR]yyyy-mm-dd(ddd) ") &amp; "오후 21:00"</f>
        <v>2022-12-01(목) 오후 21:00</v>
      </c>
      <c r="K42" s="159"/>
      <c r="L42" s="160"/>
      <c r="M42" s="158" t="str">
        <f>TEXT($G$1+1, "[$-ko-KR]yyyy-mm-dd(ddd) ") &amp; "오전 00:00"</f>
        <v>2022-12-02(금)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/>
      <c r="B44" s="108"/>
      <c r="C44" s="69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/>
      <c r="B45" s="110"/>
      <c r="C45" s="70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/>
      <c r="B46" s="110"/>
      <c r="C46" s="70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09"/>
      <c r="B47" s="110"/>
      <c r="C47" s="70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11"/>
      <c r="B48" s="112"/>
      <c r="C48" s="7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09"/>
      <c r="B49" s="113"/>
      <c r="C49" s="73"/>
      <c r="D49" s="96"/>
      <c r="E49" s="97" t="str">
        <f>IF(ISNUMBER(D49), (D49 - $B49) / $B49, "")</f>
        <v/>
      </c>
      <c r="F49" s="98" t="str">
        <f>IF(ISNUMBER(D49), $B64 * E49, "")</f>
        <v/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09"/>
      <c r="B50" s="110"/>
      <c r="C50" s="70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09"/>
      <c r="B51" s="110"/>
      <c r="C51" s="70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09"/>
      <c r="B52" s="110"/>
      <c r="C52" s="70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/>
      <c r="B53" s="115"/>
      <c r="C53" s="72"/>
      <c r="D53" s="24"/>
      <c r="E53" s="25" t="str">
        <f t="shared" si="18"/>
        <v/>
      </c>
      <c r="F53" s="94" t="str">
        <f>IF(ISNUMBER(D53), $B64 * E53, "")</f>
        <v/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07"/>
      <c r="B54" s="108"/>
      <c r="C54" s="69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09"/>
      <c r="B55" s="110"/>
      <c r="C55" s="70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09"/>
      <c r="B56" s="110"/>
      <c r="C56" s="70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09"/>
      <c r="B57" s="110"/>
      <c r="C57" s="70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/>
      <c r="B58" s="112"/>
      <c r="C58" s="7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/>
      <c r="B59" s="113"/>
      <c r="C59" s="73"/>
      <c r="D59" s="96"/>
      <c r="E59" s="97" t="str">
        <f>IF(ISNUMBER(D59), (D59 - $B59) / $B59, "")</f>
        <v/>
      </c>
      <c r="F59" s="98" t="str">
        <f>IF(ISNUMBER(D59), $B64 * E59, "")</f>
        <v/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09"/>
      <c r="B60" s="110"/>
      <c r="C60" s="70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09"/>
      <c r="B61" s="110"/>
      <c r="C61" s="70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09"/>
      <c r="B62" s="110"/>
      <c r="C62" s="70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14"/>
      <c r="B63" s="115"/>
      <c r="C63" s="72"/>
      <c r="D63" s="24"/>
      <c r="E63" s="25" t="str">
        <f t="shared" si="26"/>
        <v/>
      </c>
      <c r="F63" s="94" t="str">
        <f>IF(ISNUMBER(D63), $B64 * E63, "")</f>
        <v/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0</v>
      </c>
      <c r="F64" s="28">
        <f>SUM(F44:F63)</f>
        <v>0</v>
      </c>
      <c r="G64" s="26" t="s">
        <v>261</v>
      </c>
      <c r="H64" s="27">
        <f>IF(COUNT(H44:H63), SUM(H44:H63) / COUNT(H44:H63), 0)</f>
        <v>0</v>
      </c>
      <c r="I64" s="28">
        <f>SUM(I44:I63)</f>
        <v>0</v>
      </c>
      <c r="J64" s="26" t="s">
        <v>261</v>
      </c>
      <c r="K64" s="27">
        <f>IF(COUNT(K44:K63), SUM(K44:K63) / COUNT(K44:K63), 0)</f>
        <v>0</v>
      </c>
      <c r="L64" s="28">
        <f>SUM(L44:L63)</f>
        <v>0</v>
      </c>
      <c r="M64" s="26" t="s">
        <v>261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2022-12-01(목) 오전 00:00</v>
      </c>
      <c r="C69" s="199"/>
      <c r="D69" s="158" t="str">
        <f>TEXT($G$1, "[$-ko-KR]yyyy-mm-dd(ddd) ") &amp; "오후 14:00"</f>
        <v>2022-12-01(목) 오후 14:00</v>
      </c>
      <c r="E69" s="159"/>
      <c r="F69" s="160"/>
      <c r="G69" s="158" t="str">
        <f>TEXT($G$1, "[$-ko-KR]yyyy-mm-dd(ddd) ") &amp; "오후 19:00"</f>
        <v>2022-12-01(목) 오후 19:00</v>
      </c>
      <c r="H69" s="159"/>
      <c r="I69" s="160"/>
      <c r="J69" s="158" t="str">
        <f>TEXT($G$1, "[$-ko-KR]yyyy-mm-dd(ddd) ") &amp; "오후 21:00"</f>
        <v>2022-12-01(목) 오후 21:00</v>
      </c>
      <c r="K69" s="159"/>
      <c r="L69" s="160"/>
      <c r="M69" s="158" t="str">
        <f>TEXT($G$1+1, "[$-ko-KR]yyyy-mm-dd(ddd) ") &amp; "오전 00:00"</f>
        <v>2022-12-02(금)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/>
      <c r="B71" s="108"/>
      <c r="C71" s="69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/>
      <c r="B72" s="110"/>
      <c r="C72" s="70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/>
      <c r="B73" s="110"/>
      <c r="C73" s="70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09"/>
      <c r="B74" s="110"/>
      <c r="C74" s="70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11"/>
      <c r="B75" s="112"/>
      <c r="C75" s="7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09"/>
      <c r="B76" s="113"/>
      <c r="C76" s="73"/>
      <c r="D76" s="96"/>
      <c r="E76" s="97" t="str">
        <f>IF(ISNUMBER(D76), (D76 - $B76) / $B76, "")</f>
        <v/>
      </c>
      <c r="F76" s="98" t="str">
        <f>IF(ISNUMBER(D76), $B91 * E76, "")</f>
        <v/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09"/>
      <c r="B77" s="110"/>
      <c r="C77" s="70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09"/>
      <c r="B78" s="110"/>
      <c r="C78" s="70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09"/>
      <c r="B79" s="110"/>
      <c r="C79" s="70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/>
      <c r="B80" s="115"/>
      <c r="C80" s="72"/>
      <c r="D80" s="24"/>
      <c r="E80" s="25" t="str">
        <f t="shared" si="34"/>
        <v/>
      </c>
      <c r="F80" s="94" t="str">
        <f>IF(ISNUMBER(D80), $B91 * E80, "")</f>
        <v/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07"/>
      <c r="B81" s="108"/>
      <c r="C81" s="69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09"/>
      <c r="B82" s="110"/>
      <c r="C82" s="70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09"/>
      <c r="B83" s="110"/>
      <c r="C83" s="70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09"/>
      <c r="B84" s="110"/>
      <c r="C84" s="70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/>
      <c r="B85" s="112"/>
      <c r="C85" s="7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/>
      <c r="B86" s="113"/>
      <c r="C86" s="73"/>
      <c r="D86" s="96"/>
      <c r="E86" s="97" t="str">
        <f>IF(ISNUMBER(D86), (D86 - $B86) / $B86, "")</f>
        <v/>
      </c>
      <c r="F86" s="98" t="str">
        <f>IF(ISNUMBER(D86), $B91 * E86, "")</f>
        <v/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09"/>
      <c r="B87" s="110"/>
      <c r="C87" s="70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09"/>
      <c r="B88" s="110"/>
      <c r="C88" s="70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09"/>
      <c r="B89" s="110"/>
      <c r="C89" s="70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14"/>
      <c r="B90" s="115"/>
      <c r="C90" s="72"/>
      <c r="D90" s="24"/>
      <c r="E90" s="25" t="str">
        <f t="shared" si="42"/>
        <v/>
      </c>
      <c r="F90" s="94" t="str">
        <f>IF(ISNUMBER(D90), $B91 * E90, "")</f>
        <v/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0</v>
      </c>
      <c r="F91" s="28">
        <f>SUM(F71:F90)</f>
        <v>0</v>
      </c>
      <c r="G91" s="26" t="s">
        <v>261</v>
      </c>
      <c r="H91" s="27">
        <f>IF(COUNT(H71:H90), SUM(H71:H90) / COUNT(H71:H90), 0)</f>
        <v>0</v>
      </c>
      <c r="I91" s="28">
        <f>SUM(I71:I90)</f>
        <v>0</v>
      </c>
      <c r="J91" s="26" t="s">
        <v>261</v>
      </c>
      <c r="K91" s="27">
        <f>IF(COUNT(K71:K90), SUM(K71:K90) / COUNT(K71:K90), 0)</f>
        <v>0</v>
      </c>
      <c r="L91" s="28">
        <f>SUM(L71:L90)</f>
        <v>0</v>
      </c>
      <c r="M91" s="26" t="s">
        <v>261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2022-12-01(목) 오전 00:00</v>
      </c>
      <c r="C96" s="199"/>
      <c r="D96" s="158" t="str">
        <f>TEXT($G$1, "[$-ko-KR]yyyy-mm-dd(ddd) ") &amp; "오후 14:00"</f>
        <v>2022-12-01(목) 오후 14:00</v>
      </c>
      <c r="E96" s="159"/>
      <c r="F96" s="160"/>
      <c r="G96" s="158" t="str">
        <f>TEXT($G$1, "[$-ko-KR]yyyy-mm-dd(ddd) ") &amp; "오후 19:00"</f>
        <v>2022-12-01(목) 오후 19:00</v>
      </c>
      <c r="H96" s="159"/>
      <c r="I96" s="160"/>
      <c r="J96" s="158" t="str">
        <f>TEXT($G$1, "[$-ko-KR]yyyy-mm-dd(ddd) ") &amp; "오후 21:00"</f>
        <v>2022-12-01(목) 오후 21:00</v>
      </c>
      <c r="K96" s="159"/>
      <c r="L96" s="160"/>
      <c r="M96" s="158" t="str">
        <f>TEXT($G$1+1, "[$-ko-KR]yyyy-mm-dd(ddd) ") &amp; "오전 00:00"</f>
        <v>2022-12-02(금)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/>
      <c r="B98" s="108"/>
      <c r="C98" s="69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/>
      <c r="B99" s="110"/>
      <c r="C99" s="70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/>
      <c r="B100" s="110"/>
      <c r="C100" s="70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09"/>
      <c r="B101" s="110"/>
      <c r="C101" s="70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11"/>
      <c r="B102" s="112"/>
      <c r="C102" s="7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09"/>
      <c r="B103" s="113"/>
      <c r="C103" s="73"/>
      <c r="D103" s="96"/>
      <c r="E103" s="97" t="str">
        <f>IF(ISNUMBER(D103), (D103 - $B103) / $B103, "")</f>
        <v/>
      </c>
      <c r="F103" s="98" t="str">
        <f>IF(ISNUMBER(D103), $B118 * E103, "")</f>
        <v/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09"/>
      <c r="B104" s="110"/>
      <c r="C104" s="70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09"/>
      <c r="B105" s="110"/>
      <c r="C105" s="70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09"/>
      <c r="B106" s="110"/>
      <c r="C106" s="70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/>
      <c r="B107" s="115"/>
      <c r="C107" s="72"/>
      <c r="D107" s="24"/>
      <c r="E107" s="25" t="str">
        <f t="shared" si="50"/>
        <v/>
      </c>
      <c r="F107" s="94" t="str">
        <f>IF(ISNUMBER(D107), $B118 * E107, "")</f>
        <v/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07"/>
      <c r="B108" s="108"/>
      <c r="C108" s="69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09"/>
      <c r="B109" s="110"/>
      <c r="C109" s="70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09"/>
      <c r="B110" s="110"/>
      <c r="C110" s="70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09"/>
      <c r="B111" s="110"/>
      <c r="C111" s="70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/>
      <c r="B112" s="112"/>
      <c r="C112" s="7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/>
      <c r="B113" s="113"/>
      <c r="C113" s="73"/>
      <c r="D113" s="96"/>
      <c r="E113" s="97" t="str">
        <f>IF(ISNUMBER(D113), (D113 - $B113) / $B113, "")</f>
        <v/>
      </c>
      <c r="F113" s="98" t="str">
        <f>IF(ISNUMBER(D113), $B118 * E113, "")</f>
        <v/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09"/>
      <c r="B114" s="110"/>
      <c r="C114" s="70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09"/>
      <c r="B115" s="110"/>
      <c r="C115" s="70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09"/>
      <c r="B116" s="110"/>
      <c r="C116" s="70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14"/>
      <c r="B117" s="115"/>
      <c r="C117" s="72"/>
      <c r="D117" s="24"/>
      <c r="E117" s="25" t="str">
        <f t="shared" si="58"/>
        <v/>
      </c>
      <c r="F117" s="94" t="str">
        <f>IF(ISNUMBER(D117), $B118 * E117, "")</f>
        <v/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0</v>
      </c>
      <c r="F118" s="28">
        <f>SUM(F98:F117)</f>
        <v>0</v>
      </c>
      <c r="G118" s="26" t="s">
        <v>261</v>
      </c>
      <c r="H118" s="27">
        <f>IF(COUNT(H98:H117), SUM(H98:H117) / COUNT(H98:H117), 0)</f>
        <v>0</v>
      </c>
      <c r="I118" s="28">
        <f>SUM(I98:I117)</f>
        <v>0</v>
      </c>
      <c r="J118" s="26" t="s">
        <v>261</v>
      </c>
      <c r="K118" s="27">
        <f>IF(COUNT(K98:K117), SUM(K98:K117) / COUNT(K98:K117), 0)</f>
        <v>0</v>
      </c>
      <c r="L118" s="28">
        <f>SUM(L98:L117)</f>
        <v>0</v>
      </c>
      <c r="M118" s="26" t="s">
        <v>261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2022-12-01(목) 오전 00:00</v>
      </c>
      <c r="C123" s="199"/>
      <c r="D123" s="158" t="str">
        <f>TEXT($G$1, "[$-ko-KR]yyyy-mm-dd(ddd) ") &amp; "오후 14:00"</f>
        <v>2022-12-01(목) 오후 14:00</v>
      </c>
      <c r="E123" s="159"/>
      <c r="F123" s="160"/>
      <c r="G123" s="158" t="str">
        <f>TEXT($G$1, "[$-ko-KR]yyyy-mm-dd(ddd) ") &amp; "오후 19:00"</f>
        <v>2022-12-01(목) 오후 19:00</v>
      </c>
      <c r="H123" s="159"/>
      <c r="I123" s="160"/>
      <c r="J123" s="158" t="str">
        <f>TEXT($G$1, "[$-ko-KR]yyyy-mm-dd(ddd) ") &amp; "오후 21:00"</f>
        <v>2022-12-01(목) 오후 21:00</v>
      </c>
      <c r="K123" s="159"/>
      <c r="L123" s="160"/>
      <c r="M123" s="158" t="str">
        <f>TEXT($G$1+1, "[$-ko-KR]yyyy-mm-dd(ddd) ") &amp; "오전 00:00"</f>
        <v>2022-12-02(금)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/>
      <c r="B125" s="108"/>
      <c r="C125" s="69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/>
      <c r="B126" s="110"/>
      <c r="C126" s="70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/>
      <c r="B127" s="110"/>
      <c r="C127" s="70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09"/>
      <c r="B128" s="110"/>
      <c r="C128" s="70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11"/>
      <c r="B129" s="112"/>
      <c r="C129" s="7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09"/>
      <c r="B130" s="113"/>
      <c r="C130" s="73"/>
      <c r="D130" s="96"/>
      <c r="E130" s="97" t="str">
        <f>IF(ISNUMBER(D130), (D130 - $B130) / $B130, "")</f>
        <v/>
      </c>
      <c r="F130" s="98" t="str">
        <f>IF(ISNUMBER(D130), $B145 * E130, "")</f>
        <v/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09"/>
      <c r="B131" s="110"/>
      <c r="C131" s="70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09"/>
      <c r="B132" s="110"/>
      <c r="C132" s="70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09"/>
      <c r="B133" s="110"/>
      <c r="C133" s="70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/>
      <c r="B134" s="115"/>
      <c r="C134" s="72"/>
      <c r="D134" s="24"/>
      <c r="E134" s="25" t="str">
        <f t="shared" si="66"/>
        <v/>
      </c>
      <c r="F134" s="94" t="str">
        <f>IF(ISNUMBER(D134), $B145 * E134, "")</f>
        <v/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07"/>
      <c r="B135" s="108"/>
      <c r="C135" s="69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09"/>
      <c r="B136" s="110"/>
      <c r="C136" s="70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09"/>
      <c r="B137" s="110"/>
      <c r="C137" s="70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09"/>
      <c r="B138" s="110"/>
      <c r="C138" s="70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/>
      <c r="B139" s="112"/>
      <c r="C139" s="7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/>
      <c r="B140" s="113"/>
      <c r="C140" s="73"/>
      <c r="D140" s="96"/>
      <c r="E140" s="97" t="str">
        <f>IF(ISNUMBER(D140), (D140 - $B140) / $B140, "")</f>
        <v/>
      </c>
      <c r="F140" s="98" t="str">
        <f>IF(ISNUMBER(D140), $B145 * E140, "")</f>
        <v/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09"/>
      <c r="B141" s="110"/>
      <c r="C141" s="70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09"/>
      <c r="B142" s="110"/>
      <c r="C142" s="70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09"/>
      <c r="B143" s="110"/>
      <c r="C143" s="70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14"/>
      <c r="B144" s="115"/>
      <c r="C144" s="72"/>
      <c r="D144" s="24"/>
      <c r="E144" s="25" t="str">
        <f t="shared" si="74"/>
        <v/>
      </c>
      <c r="F144" s="94" t="str">
        <f>IF(ISNUMBER(D144), $B145 * E144, "")</f>
        <v/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0</v>
      </c>
      <c r="F145" s="28">
        <f>SUM(F125:F144)</f>
        <v>0</v>
      </c>
      <c r="G145" s="26" t="s">
        <v>261</v>
      </c>
      <c r="H145" s="27">
        <f>IF(COUNT(H125:H144), SUM(H125:H144) / COUNT(H125:H144), 0)</f>
        <v>0</v>
      </c>
      <c r="I145" s="28">
        <f>SUM(I125:I144)</f>
        <v>0</v>
      </c>
      <c r="J145" s="26" t="s">
        <v>261</v>
      </c>
      <c r="K145" s="27">
        <f>IF(COUNT(K125:K144), SUM(K125:K144) / COUNT(K125:K144), 0)</f>
        <v>0</v>
      </c>
      <c r="L145" s="28">
        <f>SUM(L125:L144)</f>
        <v>0</v>
      </c>
      <c r="M145" s="26" t="s">
        <v>261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2022-12-01(목) 오전 00:00</v>
      </c>
      <c r="C150" s="199"/>
      <c r="D150" s="158" t="str">
        <f>TEXT($G$1, "[$-ko-KR]yyyy-mm-dd(ddd) ") &amp; "오후 14:00"</f>
        <v>2022-12-01(목) 오후 14:00</v>
      </c>
      <c r="E150" s="159"/>
      <c r="F150" s="160"/>
      <c r="G150" s="158" t="str">
        <f>TEXT($G$1, "[$-ko-KR]yyyy-mm-dd(ddd) ") &amp; "오후 19:00"</f>
        <v>2022-12-01(목) 오후 19:00</v>
      </c>
      <c r="H150" s="159"/>
      <c r="I150" s="160"/>
      <c r="J150" s="158" t="str">
        <f>TEXT($G$1, "[$-ko-KR]yyyy-mm-dd(ddd) ") &amp; "오후 21:00"</f>
        <v>2022-12-01(목) 오후 21:00</v>
      </c>
      <c r="K150" s="159"/>
      <c r="L150" s="160"/>
      <c r="M150" s="158" t="str">
        <f>TEXT($G$1+1, "[$-ko-KR]yyyy-mm-dd(ddd) ") &amp; "오전 00:00"</f>
        <v>2022-12-02(금)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/>
      <c r="B152" s="108"/>
      <c r="C152" s="69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/>
      <c r="B153" s="110"/>
      <c r="C153" s="70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/>
      <c r="B154" s="110"/>
      <c r="C154" s="70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09"/>
      <c r="B155" s="110"/>
      <c r="C155" s="70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11"/>
      <c r="B156" s="112"/>
      <c r="C156" s="7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09"/>
      <c r="B157" s="113"/>
      <c r="C157" s="73"/>
      <c r="D157" s="96"/>
      <c r="E157" s="97" t="str">
        <f>IF(ISNUMBER(D157), (D157 - $B157) / $B157, "")</f>
        <v/>
      </c>
      <c r="F157" s="98" t="str">
        <f>IF(ISNUMBER(D157), $B172 * E157, "")</f>
        <v/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09"/>
      <c r="B158" s="110"/>
      <c r="C158" s="70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09"/>
      <c r="B159" s="110"/>
      <c r="C159" s="70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09"/>
      <c r="B160" s="110"/>
      <c r="C160" s="70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/>
      <c r="B161" s="115"/>
      <c r="C161" s="72"/>
      <c r="D161" s="24"/>
      <c r="E161" s="25" t="str">
        <f t="shared" si="82"/>
        <v/>
      </c>
      <c r="F161" s="94" t="str">
        <f>IF(ISNUMBER(D161), $B172 * E161, "")</f>
        <v/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07"/>
      <c r="B162" s="108"/>
      <c r="C162" s="69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09"/>
      <c r="B163" s="110"/>
      <c r="C163" s="70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09"/>
      <c r="B164" s="110"/>
      <c r="C164" s="70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09"/>
      <c r="B165" s="110"/>
      <c r="C165" s="70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/>
      <c r="B166" s="112"/>
      <c r="C166" s="7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/>
      <c r="B167" s="113"/>
      <c r="C167" s="73"/>
      <c r="D167" s="96"/>
      <c r="E167" s="97" t="str">
        <f>IF(ISNUMBER(D167), (D167 - $B167) / $B167, "")</f>
        <v/>
      </c>
      <c r="F167" s="98" t="str">
        <f>IF(ISNUMBER(D167), $B172 * E167, "")</f>
        <v/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09"/>
      <c r="B168" s="110"/>
      <c r="C168" s="70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09"/>
      <c r="B169" s="110"/>
      <c r="C169" s="70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09"/>
      <c r="B170" s="110"/>
      <c r="C170" s="70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14"/>
      <c r="B171" s="115"/>
      <c r="C171" s="72"/>
      <c r="D171" s="24"/>
      <c r="E171" s="25" t="str">
        <f t="shared" si="90"/>
        <v/>
      </c>
      <c r="F171" s="94" t="str">
        <f>IF(ISNUMBER(D171), $B172 * E171, "")</f>
        <v/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0</v>
      </c>
      <c r="F172" s="28">
        <f>SUM(F152:F171)</f>
        <v>0</v>
      </c>
      <c r="G172" s="26" t="s">
        <v>261</v>
      </c>
      <c r="H172" s="27">
        <f>IF(COUNT(H152:H171), SUM(H152:H171) / COUNT(H152:H171), 0)</f>
        <v>0</v>
      </c>
      <c r="I172" s="28">
        <f>SUM(I152:I171)</f>
        <v>0</v>
      </c>
      <c r="J172" s="26" t="s">
        <v>261</v>
      </c>
      <c r="K172" s="27">
        <f>IF(COUNT(K152:K171), SUM(K152:K171) / COUNT(K152:K171), 0)</f>
        <v>0</v>
      </c>
      <c r="L172" s="28">
        <f>SUM(L152:L171)</f>
        <v>0</v>
      </c>
      <c r="M172" s="26" t="s">
        <v>261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2022-12-01(목) 오전 00:00</v>
      </c>
      <c r="C177" s="199"/>
      <c r="D177" s="158" t="str">
        <f>TEXT($G$1, "[$-ko-KR]yyyy-mm-dd(ddd) ") &amp; "오후 14:00"</f>
        <v>2022-12-01(목) 오후 14:00</v>
      </c>
      <c r="E177" s="159"/>
      <c r="F177" s="160"/>
      <c r="G177" s="158" t="str">
        <f>TEXT($G$1, "[$-ko-KR]yyyy-mm-dd(ddd) ") &amp; "오후 19:00"</f>
        <v>2022-12-01(목) 오후 19:00</v>
      </c>
      <c r="H177" s="159"/>
      <c r="I177" s="160"/>
      <c r="J177" s="158" t="str">
        <f>TEXT($G$1, "[$-ko-KR]yyyy-mm-dd(ddd) ") &amp; "오후 21:00"</f>
        <v>2022-12-01(목) 오후 21:00</v>
      </c>
      <c r="K177" s="159"/>
      <c r="L177" s="160"/>
      <c r="M177" s="158" t="str">
        <f>TEXT($G$1+1, "[$-ko-KR]yyyy-mm-dd(ddd) ") &amp; "오전 00:00"</f>
        <v>2022-12-02(금)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/>
      <c r="B179" s="108"/>
      <c r="C179" s="69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/>
      <c r="B180" s="110"/>
      <c r="C180" s="70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/>
      <c r="B181" s="110"/>
      <c r="C181" s="70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09"/>
      <c r="B182" s="110"/>
      <c r="C182" s="70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11"/>
      <c r="B183" s="112"/>
      <c r="C183" s="7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09"/>
      <c r="B184" s="113"/>
      <c r="C184" s="73"/>
      <c r="D184" s="96"/>
      <c r="E184" s="97" t="str">
        <f>IF(ISNUMBER(D184), (D184 - $B184) / $B184, "")</f>
        <v/>
      </c>
      <c r="F184" s="98" t="str">
        <f>IF(ISNUMBER(D184), $B199 * E184, "")</f>
        <v/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09"/>
      <c r="B185" s="110"/>
      <c r="C185" s="70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09"/>
      <c r="B186" s="110"/>
      <c r="C186" s="70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09"/>
      <c r="B187" s="110"/>
      <c r="C187" s="70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/>
      <c r="B188" s="115"/>
      <c r="C188" s="72"/>
      <c r="D188" s="24"/>
      <c r="E188" s="25" t="str">
        <f t="shared" si="98"/>
        <v/>
      </c>
      <c r="F188" s="94" t="str">
        <f>IF(ISNUMBER(D188), $B199 * E188, "")</f>
        <v/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07"/>
      <c r="B189" s="108"/>
      <c r="C189" s="69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09"/>
      <c r="B190" s="110"/>
      <c r="C190" s="70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09"/>
      <c r="B191" s="110"/>
      <c r="C191" s="70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09"/>
      <c r="B192" s="110"/>
      <c r="C192" s="70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/>
      <c r="B193" s="112"/>
      <c r="C193" s="7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/>
      <c r="B194" s="113"/>
      <c r="C194" s="73"/>
      <c r="D194" s="96"/>
      <c r="E194" s="97" t="str">
        <f>IF(ISNUMBER(D194), (D194 - $B194) / $B194, "")</f>
        <v/>
      </c>
      <c r="F194" s="98" t="str">
        <f>IF(ISNUMBER(D194), $B199 * E194, "")</f>
        <v/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09"/>
      <c r="B195" s="110"/>
      <c r="C195" s="70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09"/>
      <c r="B196" s="110"/>
      <c r="C196" s="70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09"/>
      <c r="B197" s="110"/>
      <c r="C197" s="70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14"/>
      <c r="B198" s="115"/>
      <c r="C198" s="72"/>
      <c r="D198" s="24"/>
      <c r="E198" s="25" t="str">
        <f t="shared" si="106"/>
        <v/>
      </c>
      <c r="F198" s="94" t="str">
        <f>IF(ISNUMBER(D198), $B199 * E198, "")</f>
        <v/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0</v>
      </c>
      <c r="F199" s="28">
        <f>SUM(F179:F198)</f>
        <v>0</v>
      </c>
      <c r="G199" s="26" t="s">
        <v>261</v>
      </c>
      <c r="H199" s="27">
        <f>IF(COUNT(H179:H198), SUM(H179:H198) / COUNT(H179:H198), 0)</f>
        <v>0</v>
      </c>
      <c r="I199" s="28">
        <f>SUM(I179:I198)</f>
        <v>0</v>
      </c>
      <c r="J199" s="26" t="s">
        <v>261</v>
      </c>
      <c r="K199" s="27">
        <f>IF(COUNT(K179:K198), SUM(K179:K198) / COUNT(K179:K198), 0)</f>
        <v>0</v>
      </c>
      <c r="L199" s="28">
        <f>SUM(L179:L198)</f>
        <v>0</v>
      </c>
      <c r="M199" s="26" t="s">
        <v>261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50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47" priority="289">
      <formula>AND($N17 &gt; 0, ISNUMBER($N17))</formula>
    </cfRule>
    <cfRule type="expression" dxfId="5046" priority="290">
      <formula>AND($N17 = 0 * ISNUMBER($N17))</formula>
    </cfRule>
    <cfRule type="expression" dxfId="5045" priority="291">
      <formula>AND($N17 &lt; 0, ISNUMBER($N17))</formula>
    </cfRule>
  </conditionalFormatting>
  <conditionalFormatting sqref="A17:C36 D17:F36">
    <cfRule type="expression" dxfId="5044" priority="298">
      <formula>AND($E17 &gt; 0, ISNUMBER($E17))</formula>
    </cfRule>
    <cfRule type="expression" dxfId="5043" priority="299">
      <formula>AND($E17 = 0 * ISNUMBER($E17))</formula>
    </cfRule>
    <cfRule type="expression" dxfId="5042" priority="300">
      <formula>AND($E17 &lt; 0, ISNUMBER($E17))</formula>
    </cfRule>
  </conditionalFormatting>
  <conditionalFormatting sqref="A17:C36 G17:I36">
    <cfRule type="expression" dxfId="5041" priority="295">
      <formula>AND($H17 &gt; 0, ISNUMBER($H17))</formula>
    </cfRule>
    <cfRule type="expression" dxfId="5040" priority="296">
      <formula>AND($H17 = 0 * ISNUMBER($H17))</formula>
    </cfRule>
    <cfRule type="expression" dxfId="5039" priority="297">
      <formula>AND($H17 &lt; 0, ISNUMBER($H17))</formula>
    </cfRule>
  </conditionalFormatting>
  <conditionalFormatting sqref="A17:C36 J17:L36">
    <cfRule type="expression" dxfId="5038" priority="292">
      <formula>AND($K17 &gt; 0, ISNUMBER($K17))</formula>
    </cfRule>
    <cfRule type="expression" dxfId="5037" priority="293">
      <formula>AND($K17 = 0 * ISNUMBER($K17))</formula>
    </cfRule>
    <cfRule type="expression" dxfId="5036" priority="294">
      <formula>AND($K17 &lt; 0, ISNUMBER($K17))</formula>
    </cfRule>
  </conditionalFormatting>
  <conditionalFormatting sqref="D15:F16 E37:F37">
    <cfRule type="expression" dxfId="5035" priority="286">
      <formula>$E$37 &gt; 0</formula>
    </cfRule>
    <cfRule type="expression" dxfId="5034" priority="287">
      <formula>$E$37 = 0</formula>
    </cfRule>
    <cfRule type="expression" dxfId="5033" priority="288">
      <formula>$E$37 &lt; 0</formula>
    </cfRule>
  </conditionalFormatting>
  <conditionalFormatting sqref="G15:I16 H37:I37">
    <cfRule type="expression" dxfId="5032" priority="283">
      <formula>$H$37 &gt; 0</formula>
    </cfRule>
    <cfRule type="expression" dxfId="5031" priority="284">
      <formula>$H$37 = 0</formula>
    </cfRule>
    <cfRule type="expression" dxfId="5030" priority="285">
      <formula>$H$37 &lt; 0</formula>
    </cfRule>
  </conditionalFormatting>
  <conditionalFormatting sqref="J15:L16 K37:L37">
    <cfRule type="expression" dxfId="5029" priority="280">
      <formula>$K$37 &gt; 0</formula>
    </cfRule>
    <cfRule type="expression" dxfId="5028" priority="281">
      <formula>$K$37 = 0</formula>
    </cfRule>
    <cfRule type="expression" dxfId="5027" priority="282">
      <formula>$K$37 &lt; 0</formula>
    </cfRule>
  </conditionalFormatting>
  <conditionalFormatting sqref="M15:O16 N37:O37">
    <cfRule type="expression" dxfId="5026" priority="277">
      <formula>$N$37 &gt; 0</formula>
    </cfRule>
    <cfRule type="expression" dxfId="5025" priority="278">
      <formula>$N$37 = 0</formula>
    </cfRule>
    <cfRule type="expression" dxfId="5024" priority="279">
      <formula>$N$37 &lt; 0</formula>
    </cfRule>
  </conditionalFormatting>
  <conditionalFormatting sqref="A44:C63 M44:O63">
    <cfRule type="expression" dxfId="5023" priority="265">
      <formula>AND($N44 &gt; 0, ISNUMBER($N44))</formula>
    </cfRule>
    <cfRule type="expression" dxfId="5022" priority="266">
      <formula>AND($N44 = 0 * ISNUMBER($N44))</formula>
    </cfRule>
    <cfRule type="expression" dxfId="5021" priority="267">
      <formula>AND($N44 &lt; 0, ISNUMBER($N44))</formula>
    </cfRule>
  </conditionalFormatting>
  <conditionalFormatting sqref="A44:F63">
    <cfRule type="expression" dxfId="5020" priority="274">
      <formula>AND($E44 &gt; 0, ISNUMBER($E44))</formula>
    </cfRule>
    <cfRule type="expression" dxfId="5019" priority="275">
      <formula>AND($E44 = 0 * ISNUMBER($E44))</formula>
    </cfRule>
    <cfRule type="expression" dxfId="5018" priority="276">
      <formula>AND($E44 &lt; 0, ISNUMBER($E44))</formula>
    </cfRule>
  </conditionalFormatting>
  <conditionalFormatting sqref="A44:C63 G44:I63">
    <cfRule type="expression" dxfId="5017" priority="271">
      <formula>AND($H44 &gt; 0, ISNUMBER($H44))</formula>
    </cfRule>
    <cfRule type="expression" dxfId="5016" priority="272">
      <formula>AND($H44 = 0 * ISNUMBER($H44))</formula>
    </cfRule>
    <cfRule type="expression" dxfId="5015" priority="273">
      <formula>AND($H44 &lt; 0, ISNUMBER($H44))</formula>
    </cfRule>
  </conditionalFormatting>
  <conditionalFormatting sqref="A44:C63 J44:L63">
    <cfRule type="expression" dxfId="5014" priority="268">
      <formula>AND($K44 &gt; 0, ISNUMBER($K44))</formula>
    </cfRule>
    <cfRule type="expression" dxfId="5013" priority="269">
      <formula>AND($K44 = 0 * ISNUMBER($K44))</formula>
    </cfRule>
    <cfRule type="expression" dxfId="5012" priority="270">
      <formula>AND($K44 &lt; 0, ISNUMBER($K44))</formula>
    </cfRule>
  </conditionalFormatting>
  <conditionalFormatting sqref="D42:F43 E64:F64">
    <cfRule type="expression" dxfId="5011" priority="262">
      <formula>$E$64 &gt; 0</formula>
    </cfRule>
    <cfRule type="expression" dxfId="5010" priority="263">
      <formula>$E$64 = 0</formula>
    </cfRule>
    <cfRule type="expression" dxfId="5009" priority="264">
      <formula>$E$64 &lt; 0</formula>
    </cfRule>
  </conditionalFormatting>
  <conditionalFormatting sqref="G42:I43 H64:I64">
    <cfRule type="expression" dxfId="5008" priority="259">
      <formula>$H$64 &gt; 0</formula>
    </cfRule>
    <cfRule type="expression" dxfId="5007" priority="260">
      <formula>$H$64 = 0</formula>
    </cfRule>
    <cfRule type="expression" dxfId="5006" priority="261">
      <formula>$H$64 &lt; 0</formula>
    </cfRule>
  </conditionalFormatting>
  <conditionalFormatting sqref="J42:L43 K64:L64">
    <cfRule type="expression" dxfId="5005" priority="256">
      <formula>$K$64 &gt; 0</formula>
    </cfRule>
    <cfRule type="expression" dxfId="5004" priority="257">
      <formula>$K$64 = 0</formula>
    </cfRule>
    <cfRule type="expression" dxfId="5003" priority="258">
      <formula>$K$64 &lt; 0</formula>
    </cfRule>
  </conditionalFormatting>
  <conditionalFormatting sqref="M42:O43 N64:O64">
    <cfRule type="expression" dxfId="5002" priority="253">
      <formula>$N$64 &gt; 0</formula>
    </cfRule>
    <cfRule type="expression" dxfId="5001" priority="254">
      <formula>$N$64 = 0</formula>
    </cfRule>
    <cfRule type="expression" dxfId="5000" priority="255">
      <formula>$N$64 &lt; 0</formula>
    </cfRule>
  </conditionalFormatting>
  <conditionalFormatting sqref="A71:C90 M71:O90">
    <cfRule type="expression" dxfId="4999" priority="109">
      <formula>AND($N71 &gt; 0, ISNUMBER($N71))</formula>
    </cfRule>
    <cfRule type="expression" dxfId="4998" priority="110">
      <formula>AND($N71 = 0 * ISNUMBER($N71))</formula>
    </cfRule>
    <cfRule type="expression" dxfId="4997" priority="111">
      <formula>AND($N71 &lt; 0, ISNUMBER($N71))</formula>
    </cfRule>
  </conditionalFormatting>
  <conditionalFormatting sqref="A71:F90">
    <cfRule type="expression" dxfId="4996" priority="118">
      <formula>AND($E71 &gt; 0, ISNUMBER($E71))</formula>
    </cfRule>
    <cfRule type="expression" dxfId="4995" priority="119">
      <formula>AND($E71 = 0 * ISNUMBER($E71))</formula>
    </cfRule>
    <cfRule type="expression" dxfId="4994" priority="120">
      <formula>AND($E71 &lt; 0, ISNUMBER($E71))</formula>
    </cfRule>
  </conditionalFormatting>
  <conditionalFormatting sqref="A71:C90 G71:I90">
    <cfRule type="expression" dxfId="4993" priority="115">
      <formula>AND($H71 &gt; 0, ISNUMBER($H71))</formula>
    </cfRule>
    <cfRule type="expression" dxfId="4992" priority="116">
      <formula>AND($H71 = 0 * ISNUMBER($H71))</formula>
    </cfRule>
    <cfRule type="expression" dxfId="4991" priority="117">
      <formula>AND($H71 &lt; 0, ISNUMBER($H71))</formula>
    </cfRule>
  </conditionalFormatting>
  <conditionalFormatting sqref="A71:C90 J71:L90">
    <cfRule type="expression" dxfId="4990" priority="112">
      <formula>AND($K71 &gt; 0, ISNUMBER($K71))</formula>
    </cfRule>
    <cfRule type="expression" dxfId="4989" priority="113">
      <formula>AND($K71 = 0 * ISNUMBER($K71))</formula>
    </cfRule>
    <cfRule type="expression" dxfId="4988" priority="114">
      <formula>AND($K71 &lt; 0, ISNUMBER($K71))</formula>
    </cfRule>
  </conditionalFormatting>
  <conditionalFormatting sqref="D69:F70 E91:F91">
    <cfRule type="expression" dxfId="4987" priority="106">
      <formula>$E$91 &gt; 0</formula>
    </cfRule>
    <cfRule type="expression" dxfId="4986" priority="107">
      <formula>$E$91 = 0</formula>
    </cfRule>
    <cfRule type="expression" dxfId="4985" priority="108">
      <formula>$E$91 &lt; 0</formula>
    </cfRule>
  </conditionalFormatting>
  <conditionalFormatting sqref="G69:I70 H91:I91">
    <cfRule type="expression" dxfId="4984" priority="103">
      <formula>$H$91 &gt; 0</formula>
    </cfRule>
    <cfRule type="expression" dxfId="4983" priority="104">
      <formula>$H$91 = 0</formula>
    </cfRule>
    <cfRule type="expression" dxfId="4982" priority="105">
      <formula>$H$91 &lt; 0</formula>
    </cfRule>
  </conditionalFormatting>
  <conditionalFormatting sqref="J69:L70 K91:L91">
    <cfRule type="expression" dxfId="4981" priority="100">
      <formula>$K$91 &gt; 0</formula>
    </cfRule>
    <cfRule type="expression" dxfId="4980" priority="101">
      <formula>$K$91 = 0</formula>
    </cfRule>
    <cfRule type="expression" dxfId="4979" priority="102">
      <formula>$K$91 &lt; 0</formula>
    </cfRule>
  </conditionalFormatting>
  <conditionalFormatting sqref="M69:O70 N91:O91">
    <cfRule type="expression" dxfId="4978" priority="97">
      <formula>$N$91 &gt; 0</formula>
    </cfRule>
    <cfRule type="expression" dxfId="4977" priority="98">
      <formula>$N$91 = 0</formula>
    </cfRule>
    <cfRule type="expression" dxfId="4976" priority="99">
      <formula>$N$91 &lt; 0</formula>
    </cfRule>
  </conditionalFormatting>
  <conditionalFormatting sqref="A98:C117 M98:O117">
    <cfRule type="expression" dxfId="4975" priority="85">
      <formula>AND($N98 &gt; 0, ISNUMBER($N98))</formula>
    </cfRule>
    <cfRule type="expression" dxfId="4974" priority="86">
      <formula>AND($N98 = 0 * ISNUMBER($N98))</formula>
    </cfRule>
    <cfRule type="expression" dxfId="4973" priority="87">
      <formula>AND($N98 &lt; 0, ISNUMBER($N98))</formula>
    </cfRule>
  </conditionalFormatting>
  <conditionalFormatting sqref="A98:F117">
    <cfRule type="expression" dxfId="4972" priority="94">
      <formula>AND($E98 &gt; 0, ISNUMBER($E98))</formula>
    </cfRule>
    <cfRule type="expression" dxfId="4971" priority="95">
      <formula>AND($E98 = 0 * ISNUMBER($E98))</formula>
    </cfRule>
    <cfRule type="expression" dxfId="4970" priority="96">
      <formula>AND($E98 &lt; 0, ISNUMBER($E98))</formula>
    </cfRule>
  </conditionalFormatting>
  <conditionalFormatting sqref="A98:C117 G98:I117">
    <cfRule type="expression" dxfId="4969" priority="91">
      <formula>AND($H98 &gt; 0, ISNUMBER($H98))</formula>
    </cfRule>
    <cfRule type="expression" dxfId="4968" priority="92">
      <formula>AND($H98 = 0 * ISNUMBER($H98))</formula>
    </cfRule>
    <cfRule type="expression" dxfId="4967" priority="93">
      <formula>AND($H98 &lt; 0, ISNUMBER($H98))</formula>
    </cfRule>
  </conditionalFormatting>
  <conditionalFormatting sqref="A98:C117 J98:L117">
    <cfRule type="expression" dxfId="4966" priority="88">
      <formula>AND($K98 &gt; 0, ISNUMBER($K98))</formula>
    </cfRule>
    <cfRule type="expression" dxfId="4965" priority="89">
      <formula>AND($K98 = 0 * ISNUMBER($K98))</formula>
    </cfRule>
    <cfRule type="expression" dxfId="4964" priority="90">
      <formula>AND($K98 &lt; 0, ISNUMBER($K98))</formula>
    </cfRule>
  </conditionalFormatting>
  <conditionalFormatting sqref="D96:F97 E118:F118">
    <cfRule type="expression" dxfId="4963" priority="82">
      <formula>$E$118 &gt; 0</formula>
    </cfRule>
    <cfRule type="expression" dxfId="4962" priority="83">
      <formula>$E$118 = 0</formula>
    </cfRule>
    <cfRule type="expression" dxfId="4961" priority="84">
      <formula>$E$118 &lt; 0</formula>
    </cfRule>
  </conditionalFormatting>
  <conditionalFormatting sqref="G96:I97 H118:I118">
    <cfRule type="expression" dxfId="4960" priority="79">
      <formula>$H$118 &gt; 0</formula>
    </cfRule>
    <cfRule type="expression" dxfId="4959" priority="80">
      <formula>$H$118 = 0</formula>
    </cfRule>
    <cfRule type="expression" dxfId="4958" priority="81">
      <formula>$H$118 &lt; 0</formula>
    </cfRule>
  </conditionalFormatting>
  <conditionalFormatting sqref="J96:L97 K118:L118">
    <cfRule type="expression" dxfId="4957" priority="76">
      <formula>$K$118 &gt; 0</formula>
    </cfRule>
    <cfRule type="expression" dxfId="4956" priority="77">
      <formula>$K$118 = 0</formula>
    </cfRule>
    <cfRule type="expression" dxfId="4955" priority="78">
      <formula>$K$118 &lt; 0</formula>
    </cfRule>
  </conditionalFormatting>
  <conditionalFormatting sqref="M96:O97 N118:O118">
    <cfRule type="expression" dxfId="4954" priority="73">
      <formula>$N$118 &gt; 0</formula>
    </cfRule>
    <cfRule type="expression" dxfId="4953" priority="74">
      <formula>$N$118 = 0</formula>
    </cfRule>
    <cfRule type="expression" dxfId="4952" priority="75">
      <formula>$N$118 &lt; 0</formula>
    </cfRule>
  </conditionalFormatting>
  <conditionalFormatting sqref="A125:C144 M125:O144">
    <cfRule type="expression" dxfId="4951" priority="61">
      <formula>AND($N125 &gt; 0, ISNUMBER($N125))</formula>
    </cfRule>
    <cfRule type="expression" dxfId="4950" priority="62">
      <formula>AND($N125 = 0 * ISNUMBER($N125))</formula>
    </cfRule>
    <cfRule type="expression" dxfId="4949" priority="63">
      <formula>AND($N125 &lt; 0, ISNUMBER($N125))</formula>
    </cfRule>
  </conditionalFormatting>
  <conditionalFormatting sqref="A125:F144">
    <cfRule type="expression" dxfId="4948" priority="70">
      <formula>AND($E125 &gt; 0, ISNUMBER($E125))</formula>
    </cfRule>
    <cfRule type="expression" dxfId="4947" priority="71">
      <formula>AND($E125 = 0 * ISNUMBER($E125))</formula>
    </cfRule>
    <cfRule type="expression" dxfId="4946" priority="72">
      <formula>AND($E125 &lt; 0, ISNUMBER($E125))</formula>
    </cfRule>
  </conditionalFormatting>
  <conditionalFormatting sqref="A125:C144 G125:I144">
    <cfRule type="expression" dxfId="4945" priority="67">
      <formula>AND($H125 &gt; 0, ISNUMBER($H125))</formula>
    </cfRule>
    <cfRule type="expression" dxfId="4944" priority="68">
      <formula>AND($H125 = 0 * ISNUMBER($H125))</formula>
    </cfRule>
    <cfRule type="expression" dxfId="4943" priority="69">
      <formula>AND($H125 &lt; 0, ISNUMBER($H125))</formula>
    </cfRule>
  </conditionalFormatting>
  <conditionalFormatting sqref="A125:C144 J125:L144">
    <cfRule type="expression" dxfId="4942" priority="64">
      <formula>AND($K125 &gt; 0, ISNUMBER($K125))</formula>
    </cfRule>
    <cfRule type="expression" dxfId="4941" priority="65">
      <formula>AND($K125 = 0 * ISNUMBER($K125))</formula>
    </cfRule>
    <cfRule type="expression" dxfId="4940" priority="66">
      <formula>AND($K125 &lt; 0, ISNUMBER($K125))</formula>
    </cfRule>
  </conditionalFormatting>
  <conditionalFormatting sqref="D123:F124 E145:F145">
    <cfRule type="expression" dxfId="4939" priority="58">
      <formula>$E$145 &gt; 0</formula>
    </cfRule>
    <cfRule type="expression" dxfId="4938" priority="59">
      <formula>$E$145 = 0</formula>
    </cfRule>
    <cfRule type="expression" dxfId="4937" priority="60">
      <formula>$E$145 &lt; 0</formula>
    </cfRule>
  </conditionalFormatting>
  <conditionalFormatting sqref="G123:I124 H145:I145">
    <cfRule type="expression" dxfId="4936" priority="55">
      <formula>$H$145 &gt; 0</formula>
    </cfRule>
    <cfRule type="expression" dxfId="4935" priority="56">
      <formula>$H$145 = 0</formula>
    </cfRule>
    <cfRule type="expression" dxfId="4934" priority="57">
      <formula>$H$145 &lt; 0</formula>
    </cfRule>
  </conditionalFormatting>
  <conditionalFormatting sqref="J123:L124 K145:L145">
    <cfRule type="expression" dxfId="4933" priority="52">
      <formula>$K$145 &gt; 0</formula>
    </cfRule>
    <cfRule type="expression" dxfId="4932" priority="53">
      <formula>$K$145 = 0</formula>
    </cfRule>
    <cfRule type="expression" dxfId="4931" priority="54">
      <formula>$K$145 &lt; 0</formula>
    </cfRule>
  </conditionalFormatting>
  <conditionalFormatting sqref="M123:O124 N145:O145">
    <cfRule type="expression" dxfId="4930" priority="49">
      <formula>$N$145 &gt; 0</formula>
    </cfRule>
    <cfRule type="expression" dxfId="4929" priority="50">
      <formula>$N$145 = 0</formula>
    </cfRule>
    <cfRule type="expression" dxfId="4928" priority="51">
      <formula>$N$145 &lt; 0</formula>
    </cfRule>
  </conditionalFormatting>
  <conditionalFormatting sqref="A152:C171 M152:O171">
    <cfRule type="expression" dxfId="4927" priority="37">
      <formula>AND($N152 &gt; 0, ISNUMBER($N152))</formula>
    </cfRule>
    <cfRule type="expression" dxfId="4926" priority="38">
      <formula>AND($N152 = 0 * ISNUMBER($N152))</formula>
    </cfRule>
    <cfRule type="expression" dxfId="4925" priority="39">
      <formula>AND($N152 &lt; 0, ISNUMBER($N152))</formula>
    </cfRule>
  </conditionalFormatting>
  <conditionalFormatting sqref="A152:F171">
    <cfRule type="expression" dxfId="4924" priority="46">
      <formula>AND($E152 &gt; 0, ISNUMBER($E152))</formula>
    </cfRule>
    <cfRule type="expression" dxfId="4923" priority="47">
      <formula>AND($E152 = 0 * ISNUMBER($E152))</formula>
    </cfRule>
    <cfRule type="expression" dxfId="4922" priority="48">
      <formula>AND($E152 &lt; 0, ISNUMBER($E152))</formula>
    </cfRule>
  </conditionalFormatting>
  <conditionalFormatting sqref="A152:C171 G152:I171">
    <cfRule type="expression" dxfId="4921" priority="43">
      <formula>AND($H152 &gt; 0, ISNUMBER($H152))</formula>
    </cfRule>
    <cfRule type="expression" dxfId="4920" priority="44">
      <formula>AND($H152 = 0 * ISNUMBER($H152))</formula>
    </cfRule>
    <cfRule type="expression" dxfId="4919" priority="45">
      <formula>AND($H152 &lt; 0, ISNUMBER($H152))</formula>
    </cfRule>
  </conditionalFormatting>
  <conditionalFormatting sqref="A152:C171 J152:L171">
    <cfRule type="expression" dxfId="4918" priority="40">
      <formula>AND($K152 &gt; 0, ISNUMBER($K152))</formula>
    </cfRule>
    <cfRule type="expression" dxfId="4917" priority="41">
      <formula>AND($K152 = 0 * ISNUMBER($K152))</formula>
    </cfRule>
    <cfRule type="expression" dxfId="4916" priority="42">
      <formula>AND($K152 &lt; 0, ISNUMBER($K152))</formula>
    </cfRule>
  </conditionalFormatting>
  <conditionalFormatting sqref="D150:F151 E172:F172">
    <cfRule type="expression" dxfId="4915" priority="34">
      <formula>$E$172 &gt; 0</formula>
    </cfRule>
    <cfRule type="expression" dxfId="4914" priority="35">
      <formula>$E$172 = 0</formula>
    </cfRule>
    <cfRule type="expression" dxfId="4913" priority="36">
      <formula>$E$172 &lt; 0</formula>
    </cfRule>
  </conditionalFormatting>
  <conditionalFormatting sqref="G150:I151 H172:I172">
    <cfRule type="expression" dxfId="4912" priority="31">
      <formula>$H$172 &gt; 0</formula>
    </cfRule>
    <cfRule type="expression" dxfId="4911" priority="32">
      <formula>$H$172 = 0</formula>
    </cfRule>
    <cfRule type="expression" dxfId="4910" priority="33">
      <formula>$H$172 &lt; 0</formula>
    </cfRule>
  </conditionalFormatting>
  <conditionalFormatting sqref="J150:L151 K172:L172">
    <cfRule type="expression" dxfId="4909" priority="28">
      <formula>$K$172 &gt; 0</formula>
    </cfRule>
    <cfRule type="expression" dxfId="4908" priority="29">
      <formula>$K$172 = 0</formula>
    </cfRule>
    <cfRule type="expression" dxfId="4907" priority="30">
      <formula>$K$172 &lt; 0</formula>
    </cfRule>
  </conditionalFormatting>
  <conditionalFormatting sqref="M150:O151 N172:O172">
    <cfRule type="expression" dxfId="4906" priority="25">
      <formula>$N$172 &gt; 0</formula>
    </cfRule>
    <cfRule type="expression" dxfId="4905" priority="26">
      <formula>$N$172 = 0</formula>
    </cfRule>
    <cfRule type="expression" dxfId="4904" priority="27">
      <formula>$N$172 &lt; 0</formula>
    </cfRule>
  </conditionalFormatting>
  <conditionalFormatting sqref="A179:C198 M179:O198">
    <cfRule type="expression" dxfId="4903" priority="13">
      <formula>AND($N179 &gt; 0, ISNUMBER($N179))</formula>
    </cfRule>
    <cfRule type="expression" dxfId="4902" priority="14">
      <formula>AND($N179 = 0 * ISNUMBER($N179))</formula>
    </cfRule>
    <cfRule type="expression" dxfId="4901" priority="15">
      <formula>AND($N179 &lt; 0, ISNUMBER($N179))</formula>
    </cfRule>
  </conditionalFormatting>
  <conditionalFormatting sqref="A179:F198">
    <cfRule type="expression" dxfId="4900" priority="22">
      <formula>AND($E179 &gt; 0, ISNUMBER($E179))</formula>
    </cfRule>
    <cfRule type="expression" dxfId="4899" priority="23">
      <formula>AND($E179 = 0 * ISNUMBER($E179))</formula>
    </cfRule>
    <cfRule type="expression" dxfId="4898" priority="24">
      <formula>AND($E179 &lt; 0, ISNUMBER($E179))</formula>
    </cfRule>
  </conditionalFormatting>
  <conditionalFormatting sqref="A179:C198 G179:I198">
    <cfRule type="expression" dxfId="4897" priority="19">
      <formula>AND($H179 &gt; 0, ISNUMBER($H179))</formula>
    </cfRule>
    <cfRule type="expression" dxfId="4896" priority="20">
      <formula>AND($H179 = 0 * ISNUMBER($H179))</formula>
    </cfRule>
    <cfRule type="expression" dxfId="4895" priority="21">
      <formula>AND($H179 &lt; 0, ISNUMBER($H179))</formula>
    </cfRule>
  </conditionalFormatting>
  <conditionalFormatting sqref="A179:C198 J179:L198">
    <cfRule type="expression" dxfId="4894" priority="16">
      <formula>AND($K179 &gt; 0, ISNUMBER($K179))</formula>
    </cfRule>
    <cfRule type="expression" dxfId="4893" priority="17">
      <formula>AND($K179 = 0 * ISNUMBER($K179))</formula>
    </cfRule>
    <cfRule type="expression" dxfId="4892" priority="18">
      <formula>AND($K179 &lt; 0, ISNUMBER($K179))</formula>
    </cfRule>
  </conditionalFormatting>
  <conditionalFormatting sqref="D177:F178 E199:F199">
    <cfRule type="expression" dxfId="4891" priority="10">
      <formula>$E$199 &gt; 0</formula>
    </cfRule>
    <cfRule type="expression" dxfId="4890" priority="11">
      <formula>$E$199 = 0</formula>
    </cfRule>
    <cfRule type="expression" dxfId="4889" priority="12">
      <formula>$E$199 &lt; 0</formula>
    </cfRule>
  </conditionalFormatting>
  <conditionalFormatting sqref="G177:I178 H199:I199">
    <cfRule type="expression" dxfId="4888" priority="7">
      <formula>$H$199 &gt; 0</formula>
    </cfRule>
    <cfRule type="expression" dxfId="4887" priority="8">
      <formula>$H$199 = 0</formula>
    </cfRule>
    <cfRule type="expression" dxfId="4886" priority="9">
      <formula>$H$199 &lt; 0</formula>
    </cfRule>
  </conditionalFormatting>
  <conditionalFormatting sqref="J177:L178 K199:L199">
    <cfRule type="expression" dxfId="4885" priority="4">
      <formula>$K$199 &gt; 0</formula>
    </cfRule>
    <cfRule type="expression" dxfId="4884" priority="5">
      <formula>$K$199 = 0</formula>
    </cfRule>
    <cfRule type="expression" dxfId="4883" priority="6">
      <formula>$K$199 &lt; 0</formula>
    </cfRule>
  </conditionalFormatting>
  <conditionalFormatting sqref="M177:O178 N199:O199">
    <cfRule type="expression" dxfId="4882" priority="1">
      <formula>$N$199 &gt; 0</formula>
    </cfRule>
    <cfRule type="expression" dxfId="4881" priority="2">
      <formula>$N$199 = 0</formula>
    </cfRule>
    <cfRule type="expression" dxfId="48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9" t="s">
        <v>247</v>
      </c>
      <c r="B1" s="64" t="s">
        <v>39</v>
      </c>
      <c r="C1" s="63" t="s">
        <v>37</v>
      </c>
      <c r="D1" s="65" t="s">
        <v>38</v>
      </c>
      <c r="E1" s="64" t="s">
        <v>254</v>
      </c>
    </row>
    <row r="2" spans="1:18" ht="17.25" thickBot="1">
      <c r="A2" s="40" t="s">
        <v>243</v>
      </c>
      <c r="B2" s="11" t="s">
        <v>244</v>
      </c>
      <c r="C2" s="86">
        <v>98.3</v>
      </c>
      <c r="D2" s="34">
        <v>4.4633368800000003E-2</v>
      </c>
      <c r="E2" s="84">
        <v>134595496.38277009</v>
      </c>
      <c r="F2" s="35"/>
      <c r="G2" s="50"/>
      <c r="H2" s="35"/>
      <c r="I2" s="35"/>
    </row>
    <row r="3" spans="1:18" ht="17.25" thickBot="1">
      <c r="A3" s="40" t="s">
        <v>188</v>
      </c>
      <c r="B3" s="11" t="s">
        <v>189</v>
      </c>
      <c r="C3" s="86">
        <v>991</v>
      </c>
      <c r="D3" s="34">
        <v>2.5879917200000001E-2</v>
      </c>
      <c r="E3" s="84">
        <v>14876565.788882511</v>
      </c>
      <c r="F3" s="35"/>
      <c r="G3" s="196" t="s">
        <v>250</v>
      </c>
      <c r="H3" s="208" t="s">
        <v>354</v>
      </c>
      <c r="I3" s="208"/>
      <c r="K3" s="135" t="s">
        <v>34</v>
      </c>
      <c r="L3" s="136"/>
      <c r="M3" s="136"/>
      <c r="N3" s="137"/>
      <c r="O3" s="135" t="s">
        <v>252</v>
      </c>
      <c r="P3" s="136"/>
      <c r="Q3" s="136"/>
      <c r="R3" s="137"/>
    </row>
    <row r="4" spans="1:18" ht="17.25" thickBot="1">
      <c r="A4" s="40" t="s">
        <v>345</v>
      </c>
      <c r="B4" s="11" t="s">
        <v>346</v>
      </c>
      <c r="C4" s="86">
        <v>389</v>
      </c>
      <c r="D4" s="34">
        <v>1.56657963E-2</v>
      </c>
      <c r="E4" s="84">
        <v>27436707.982599501</v>
      </c>
      <c r="F4" s="35"/>
      <c r="G4" s="197"/>
      <c r="H4" s="209"/>
      <c r="I4" s="209"/>
      <c r="K4" s="200" t="s">
        <v>54</v>
      </c>
      <c r="L4" s="212">
        <f ca="1">NOW()</f>
        <v>44921.6035962963</v>
      </c>
      <c r="M4" s="213"/>
      <c r="N4" s="214"/>
      <c r="O4" s="203" t="s">
        <v>54</v>
      </c>
      <c r="P4" s="212">
        <f ca="1">NOW()</f>
        <v>44921.6035962963</v>
      </c>
      <c r="Q4" s="213"/>
      <c r="R4" s="214"/>
    </row>
    <row r="5" spans="1:18" ht="17.25" thickBot="1">
      <c r="A5" s="40" t="s">
        <v>207</v>
      </c>
      <c r="B5" s="11" t="s">
        <v>208</v>
      </c>
      <c r="C5" s="86">
        <v>99.7</v>
      </c>
      <c r="D5" s="34">
        <v>1.5274949100000001E-2</v>
      </c>
      <c r="E5" s="84">
        <v>56035701.376791768</v>
      </c>
      <c r="F5" s="35"/>
      <c r="K5" s="197"/>
      <c r="L5" s="36" t="s">
        <v>57</v>
      </c>
      <c r="M5" s="36" t="s">
        <v>58</v>
      </c>
      <c r="N5" s="64" t="s">
        <v>254</v>
      </c>
      <c r="O5" s="197"/>
      <c r="P5" s="36" t="s">
        <v>57</v>
      </c>
      <c r="Q5" s="36" t="s">
        <v>58</v>
      </c>
      <c r="R5" s="64" t="s">
        <v>254</v>
      </c>
    </row>
    <row r="6" spans="1:18" ht="17.25" thickBot="1">
      <c r="A6" s="40" t="s">
        <v>115</v>
      </c>
      <c r="B6" s="11" t="s">
        <v>116</v>
      </c>
      <c r="C6" s="86">
        <v>967</v>
      </c>
      <c r="D6" s="34">
        <v>1.3626834399999999E-2</v>
      </c>
      <c r="E6" s="84">
        <v>8498172.6538582798</v>
      </c>
      <c r="F6" s="35"/>
      <c r="G6" s="135" t="s">
        <v>52</v>
      </c>
      <c r="H6" s="136"/>
      <c r="I6" s="137"/>
      <c r="K6" s="51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69" t="str">
        <f t="shared" ref="M6:M25" ca="1" si="1">_xlfn.IFNA(VLOOKUP(K6, $B$2:$E$200, 3, FALSE), "")</f>
        <v/>
      </c>
      <c r="N6" s="78" t="str">
        <f ca="1">_xlfn.IFNA(VLOOKUP(K6, $B$2:$E$200, 4, FALSE), "")</f>
        <v/>
      </c>
      <c r="O6" s="46" t="str">
        <f>INDEX($A$2:$D$200, MATCH(LARGE($D$2:$D$200, 1), $D$2:$D$200, 0), 2)</f>
        <v>아더</v>
      </c>
      <c r="P6" s="38">
        <f t="shared" ref="P6:P25" si="2">_xlfn.IFNA(VLOOKUP(O6, $B$2:$D$200, 2, FALSE), "")</f>
        <v>98.3</v>
      </c>
      <c r="Q6" s="69">
        <f t="shared" ref="Q6:Q25" si="3">_xlfn.IFNA(VLOOKUP(O6, $B$2:$D$200, 3, FALSE), "")</f>
        <v>4.4633368800000003E-2</v>
      </c>
      <c r="R6" s="78">
        <f>_xlfn.IFNA(VLOOKUP(O6, $B$2:$E$200, 4, FALSE), "")</f>
        <v>134595496.38277009</v>
      </c>
    </row>
    <row r="7" spans="1:18">
      <c r="A7" s="40" t="s">
        <v>321</v>
      </c>
      <c r="B7" s="11" t="s">
        <v>322</v>
      </c>
      <c r="C7" s="86">
        <v>71480</v>
      </c>
      <c r="D7" s="34">
        <v>1.3469445599999999E-2</v>
      </c>
      <c r="E7" s="84">
        <v>7299.7465196499998</v>
      </c>
      <c r="F7" s="35"/>
      <c r="G7" s="144" t="s">
        <v>36</v>
      </c>
      <c r="H7" s="145"/>
      <c r="I7" s="146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47" t="str">
        <f>INDEX($A$2:$D$200, MATCH(LARGE($D$2:$D$200, 2), $D$2:$D$200, 0), 2)</f>
        <v>플로우</v>
      </c>
      <c r="P7" s="39">
        <f t="shared" si="2"/>
        <v>991</v>
      </c>
      <c r="Q7" s="70">
        <f t="shared" si="3"/>
        <v>2.5879917200000001E-2</v>
      </c>
      <c r="R7" s="79">
        <f t="shared" ref="R7:R25" si="5">_xlfn.IFNA(VLOOKUP(O7, $B$2:$E$200, 4, FALSE), "")</f>
        <v>14876565.788882511</v>
      </c>
    </row>
    <row r="8" spans="1:18" ht="17.25" thickBot="1">
      <c r="A8" s="40" t="s">
        <v>319</v>
      </c>
      <c r="B8" s="11" t="s">
        <v>320</v>
      </c>
      <c r="C8" s="86">
        <v>1735</v>
      </c>
      <c r="D8" s="34">
        <v>5.7971014E-3</v>
      </c>
      <c r="E8" s="84">
        <v>309339.56093997997</v>
      </c>
      <c r="F8" s="35"/>
      <c r="G8" s="150"/>
      <c r="H8" s="151"/>
      <c r="I8" s="152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47" t="str">
        <f>INDEX($A$2:$D$200, MATCH(LARGE($D$2:$D$200, 3), $D$2:$D$200, 0), 2)</f>
        <v>스테픈</v>
      </c>
      <c r="P8" s="39">
        <f t="shared" si="2"/>
        <v>389</v>
      </c>
      <c r="Q8" s="70">
        <f t="shared" si="3"/>
        <v>1.56657963E-2</v>
      </c>
      <c r="R8" s="79">
        <f t="shared" si="5"/>
        <v>27436707.982599501</v>
      </c>
    </row>
    <row r="9" spans="1:18" ht="17.25" thickBot="1">
      <c r="A9" s="40" t="s">
        <v>323</v>
      </c>
      <c r="B9" s="11" t="s">
        <v>324</v>
      </c>
      <c r="C9" s="86">
        <v>1035</v>
      </c>
      <c r="D9" s="34">
        <v>4.8543689000000003E-3</v>
      </c>
      <c r="E9" s="84">
        <v>779508.32008176995</v>
      </c>
      <c r="F9" s="35"/>
      <c r="G9" s="9" t="s">
        <v>38</v>
      </c>
      <c r="H9" s="136" t="s">
        <v>37</v>
      </c>
      <c r="I9" s="137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47" t="str">
        <f>INDEX($A$2:$D$200, MATCH(LARGE($D$2:$D$200, 4), $D$2:$D$200, 0), 2)</f>
        <v>휴먼스케이프</v>
      </c>
      <c r="P9" s="39">
        <f t="shared" si="2"/>
        <v>99.7</v>
      </c>
      <c r="Q9" s="70">
        <f t="shared" si="3"/>
        <v>1.5274949100000001E-2</v>
      </c>
      <c r="R9" s="79">
        <f t="shared" si="5"/>
        <v>56035701.376791768</v>
      </c>
    </row>
    <row r="10" spans="1:18">
      <c r="A10" s="40" t="s">
        <v>59</v>
      </c>
      <c r="B10" s="11" t="s">
        <v>60</v>
      </c>
      <c r="C10" s="86">
        <v>426</v>
      </c>
      <c r="D10" s="34">
        <v>4.7169810999999999E-3</v>
      </c>
      <c r="E10" s="84">
        <v>4488717.7891908102</v>
      </c>
      <c r="F10" s="35"/>
      <c r="G10" s="210">
        <f>_xlfn.IFNA(VLOOKUP(G7, $B$2:$D$200, 3, FALSE), "-")</f>
        <v>-4.3024533E-3</v>
      </c>
      <c r="H10" s="204">
        <f>_xlfn.IFNA(VLOOKUP(G7, $B$2:$D$200, 2, FALSE), "-")</f>
        <v>21754000</v>
      </c>
      <c r="I10" s="205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47" t="str">
        <f>INDEX($A$2:$D$200, MATCH(LARGE($D$2:$D$200, 5), $D$2:$D$200, 0), 2)</f>
        <v>알파쿼크</v>
      </c>
      <c r="P10" s="39">
        <f t="shared" si="2"/>
        <v>967</v>
      </c>
      <c r="Q10" s="70">
        <f t="shared" si="3"/>
        <v>1.3626834399999999E-2</v>
      </c>
      <c r="R10" s="83">
        <f t="shared" si="5"/>
        <v>8498172.6538582798</v>
      </c>
    </row>
    <row r="11" spans="1:18" ht="17.25" thickBot="1">
      <c r="A11" s="40" t="s">
        <v>331</v>
      </c>
      <c r="B11" s="11" t="s">
        <v>332</v>
      </c>
      <c r="C11" s="86">
        <v>216</v>
      </c>
      <c r="D11" s="34">
        <v>4.6511627999999998E-3</v>
      </c>
      <c r="E11" s="84">
        <v>3643817.1534174802</v>
      </c>
      <c r="F11" s="35"/>
      <c r="G11" s="211"/>
      <c r="H11" s="206"/>
      <c r="I11" s="207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49" t="str">
        <f>INDEX($A$2:$D$200, MATCH(LARGE($D$2:$D$200, 6), $D$2:$D$200, 0), 2)</f>
        <v>에이브</v>
      </c>
      <c r="P11" s="45">
        <f t="shared" si="2"/>
        <v>71480</v>
      </c>
      <c r="Q11" s="73">
        <f t="shared" si="3"/>
        <v>1.3469445599999999E-2</v>
      </c>
      <c r="R11" s="89">
        <f t="shared" si="5"/>
        <v>7299.7465196499998</v>
      </c>
    </row>
    <row r="12" spans="1:18" ht="17.25" thickBot="1">
      <c r="A12" s="40" t="s">
        <v>108</v>
      </c>
      <c r="B12" s="11" t="s">
        <v>109</v>
      </c>
      <c r="C12" s="86">
        <v>988</v>
      </c>
      <c r="D12" s="34">
        <v>4.0650406999999996E-3</v>
      </c>
      <c r="E12" s="84">
        <v>1004379.07224957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47" t="str">
        <f>INDEX($A$2:$D$200, MATCH(LARGE($D$2:$D$200, 7), $D$2:$D$200, 0), 2)</f>
        <v>니어프로토콜</v>
      </c>
      <c r="P12" s="39">
        <f t="shared" si="2"/>
        <v>1735</v>
      </c>
      <c r="Q12" s="70">
        <f t="shared" si="3"/>
        <v>5.7971014E-3</v>
      </c>
      <c r="R12" s="79">
        <f t="shared" si="5"/>
        <v>309339.56093997997</v>
      </c>
    </row>
    <row r="13" spans="1:18" ht="17.25" thickBot="1">
      <c r="A13" s="40" t="s">
        <v>334</v>
      </c>
      <c r="B13" s="11" t="s">
        <v>335</v>
      </c>
      <c r="C13" s="86">
        <v>3.1E-2</v>
      </c>
      <c r="D13" s="34">
        <v>3.2362459999999999E-3</v>
      </c>
      <c r="E13" s="84">
        <v>18347136788.529423</v>
      </c>
      <c r="F13" s="35"/>
      <c r="G13" s="135" t="s">
        <v>69</v>
      </c>
      <c r="H13" s="136"/>
      <c r="I13" s="137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47" t="str">
        <f>INDEX($A$2:$D$200, MATCH(LARGE($D$2:$D$200, 8), $D$2:$D$200, 0), 2)</f>
        <v>폴리곤</v>
      </c>
      <c r="P13" s="39">
        <f t="shared" si="2"/>
        <v>1035</v>
      </c>
      <c r="Q13" s="70">
        <f t="shared" si="3"/>
        <v>4.8543689000000003E-3</v>
      </c>
      <c r="R13" s="79">
        <f t="shared" si="5"/>
        <v>779508.32008176995</v>
      </c>
    </row>
    <row r="14" spans="1:18">
      <c r="A14" s="40" t="s">
        <v>88</v>
      </c>
      <c r="B14" s="11" t="s">
        <v>89</v>
      </c>
      <c r="C14" s="86">
        <v>450</v>
      </c>
      <c r="D14" s="34">
        <v>2.2271715000000002E-3</v>
      </c>
      <c r="E14" s="84">
        <v>24235125.323773611</v>
      </c>
      <c r="F14" s="35"/>
      <c r="G14" s="144" t="s">
        <v>36</v>
      </c>
      <c r="H14" s="145"/>
      <c r="I14" s="146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47" t="str">
        <f>INDEX($A$2:$D$200, MATCH(LARGE($D$2:$D$200, 9), $D$2:$D$200, 0), 2)</f>
        <v>디센트럴랜드</v>
      </c>
      <c r="P14" s="39">
        <f t="shared" si="2"/>
        <v>426</v>
      </c>
      <c r="Q14" s="70">
        <f t="shared" si="3"/>
        <v>4.7169810999999999E-3</v>
      </c>
      <c r="R14" s="79">
        <f t="shared" si="5"/>
        <v>4488717.7891908102</v>
      </c>
    </row>
    <row r="15" spans="1:18" ht="17.25" thickBot="1">
      <c r="A15" s="40" t="s">
        <v>343</v>
      </c>
      <c r="B15" s="11" t="s">
        <v>344</v>
      </c>
      <c r="C15" s="86">
        <v>4655</v>
      </c>
      <c r="D15" s="34">
        <v>1.0752687999999999E-3</v>
      </c>
      <c r="E15" s="84">
        <v>248678.07168073999</v>
      </c>
      <c r="F15" s="35"/>
      <c r="G15" s="150"/>
      <c r="H15" s="151"/>
      <c r="I15" s="152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48" t="str">
        <f>INDEX($A$2:$D$200, MATCH(LARGE($D$2:$D$200, 10), $D$2:$D$200, 0), 2)</f>
        <v>알고랜드</v>
      </c>
      <c r="P15" s="37">
        <f t="shared" si="2"/>
        <v>216</v>
      </c>
      <c r="Q15" s="72">
        <f t="shared" si="3"/>
        <v>4.6511627999999998E-3</v>
      </c>
      <c r="R15" s="80">
        <f t="shared" si="5"/>
        <v>3643817.1534174802</v>
      </c>
    </row>
    <row r="16" spans="1:18" ht="17.25" thickBot="1">
      <c r="A16" s="40" t="s">
        <v>72</v>
      </c>
      <c r="B16" s="11" t="s">
        <v>73</v>
      </c>
      <c r="C16" s="86">
        <v>11720</v>
      </c>
      <c r="D16" s="34">
        <v>8.5397100000000003E-4</v>
      </c>
      <c r="E16" s="84">
        <v>43987.922923630002</v>
      </c>
      <c r="F16" s="35"/>
      <c r="G16" s="9" t="s">
        <v>38</v>
      </c>
      <c r="H16" s="136" t="s">
        <v>37</v>
      </c>
      <c r="I16" s="137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46" t="str">
        <f>INDEX($A$2:$D$200, MATCH(LARGE($D$2:$D$200, 11), $D$2:$D$200, 0), 2)</f>
        <v>쎄타토큰</v>
      </c>
      <c r="P16" s="38">
        <f t="shared" si="2"/>
        <v>988</v>
      </c>
      <c r="Q16" s="69">
        <f t="shared" si="3"/>
        <v>4.0650406999999996E-3</v>
      </c>
      <c r="R16" s="78">
        <f t="shared" si="5"/>
        <v>1004379.07224957</v>
      </c>
    </row>
    <row r="17" spans="1:18">
      <c r="A17" s="40" t="s">
        <v>146</v>
      </c>
      <c r="B17" s="11" t="s">
        <v>147</v>
      </c>
      <c r="C17" s="86">
        <v>8940</v>
      </c>
      <c r="D17" s="34">
        <v>5.5959710000000004E-4</v>
      </c>
      <c r="E17" s="84">
        <v>338443.98222374998</v>
      </c>
      <c r="F17" s="35"/>
      <c r="G17" s="210">
        <f>_xlfn.IFNA(VLOOKUP(G14, $B$2:$D$200, 3, FALSE), "-")</f>
        <v>-4.3024533E-3</v>
      </c>
      <c r="H17" s="204">
        <f>_xlfn.IFNA(VLOOKUP(G14, $B$2:$D$200, 2, FALSE), "-")</f>
        <v>21754000</v>
      </c>
      <c r="I17" s="205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47" t="str">
        <f>INDEX($A$2:$D$200, MATCH(LARGE($D$2:$D$200, 12), $D$2:$D$200, 0), 2)</f>
        <v>이캐시</v>
      </c>
      <c r="P17" s="39">
        <f t="shared" si="2"/>
        <v>3.1E-2</v>
      </c>
      <c r="Q17" s="70">
        <f t="shared" si="3"/>
        <v>3.2362459999999999E-3</v>
      </c>
      <c r="R17" s="79">
        <f t="shared" si="5"/>
        <v>18347136788.529423</v>
      </c>
    </row>
    <row r="18" spans="1:18" ht="17.25" thickBot="1">
      <c r="A18" s="40" t="s">
        <v>80</v>
      </c>
      <c r="B18" s="11" t="s">
        <v>81</v>
      </c>
      <c r="C18" s="86">
        <v>336</v>
      </c>
      <c r="D18" s="34">
        <v>0</v>
      </c>
      <c r="E18" s="84">
        <v>3891983.3132037502</v>
      </c>
      <c r="F18" s="35"/>
      <c r="G18" s="211"/>
      <c r="H18" s="206"/>
      <c r="I18" s="207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47" t="str">
        <f>INDEX($A$2:$D$200, MATCH(LARGE($D$2:$D$200, 13), $D$2:$D$200, 0), 2)</f>
        <v>리플</v>
      </c>
      <c r="P18" s="39">
        <f t="shared" si="2"/>
        <v>450</v>
      </c>
      <c r="Q18" s="70">
        <f t="shared" si="3"/>
        <v>2.2271715000000002E-3</v>
      </c>
      <c r="R18" s="79">
        <f t="shared" si="5"/>
        <v>24235125.323773611</v>
      </c>
    </row>
    <row r="19" spans="1:18" ht="17.25" thickBot="1">
      <c r="A19" s="40" t="s">
        <v>102</v>
      </c>
      <c r="B19" s="11" t="s">
        <v>103</v>
      </c>
      <c r="C19" s="86">
        <v>213</v>
      </c>
      <c r="D19" s="34">
        <v>0</v>
      </c>
      <c r="E19" s="84">
        <v>891378.59432773001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47" t="str">
        <f>INDEX($A$2:$D$200, MATCH(LARGE($D$2:$D$200, 14), $D$2:$D$200, 0), 2)</f>
        <v>앱토스</v>
      </c>
      <c r="P19" s="39">
        <f t="shared" si="2"/>
        <v>4655</v>
      </c>
      <c r="Q19" s="70">
        <f t="shared" si="3"/>
        <v>1.0752687999999999E-3</v>
      </c>
      <c r="R19" s="79">
        <f t="shared" si="5"/>
        <v>248678.07168073999</v>
      </c>
    </row>
    <row r="20" spans="1:18" ht="17.25" thickBot="1">
      <c r="A20" s="40" t="s">
        <v>96</v>
      </c>
      <c r="B20" s="11" t="s">
        <v>97</v>
      </c>
      <c r="C20" s="86">
        <v>8.0000000000000004E-4</v>
      </c>
      <c r="D20" s="34">
        <v>0</v>
      </c>
      <c r="E20" s="84">
        <v>106403438838.9689</v>
      </c>
      <c r="F20" s="35"/>
      <c r="G20" s="135" t="s">
        <v>246</v>
      </c>
      <c r="H20" s="136"/>
      <c r="I20" s="137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47" t="str">
        <f>INDEX($A$2:$D$200, MATCH(LARGE($D$2:$D$200, 15), $D$2:$D$200, 0), 2)</f>
        <v>코스모스</v>
      </c>
      <c r="P20" s="39">
        <f t="shared" si="2"/>
        <v>11720</v>
      </c>
      <c r="Q20" s="70">
        <f t="shared" si="3"/>
        <v>8.5397100000000003E-4</v>
      </c>
      <c r="R20" s="83">
        <f t="shared" si="5"/>
        <v>43987.922923630002</v>
      </c>
    </row>
    <row r="21" spans="1:18">
      <c r="A21" s="40" t="s">
        <v>148</v>
      </c>
      <c r="B21" s="11" t="s">
        <v>149</v>
      </c>
      <c r="C21" s="86">
        <v>338</v>
      </c>
      <c r="D21" s="34">
        <v>0</v>
      </c>
      <c r="E21" s="84">
        <v>340783.62337627</v>
      </c>
      <c r="F21" s="35"/>
      <c r="G21" s="144" t="s">
        <v>36</v>
      </c>
      <c r="H21" s="145"/>
      <c r="I21" s="146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49" t="str">
        <f>INDEX($A$2:$D$200, MATCH(LARGE($D$2:$D$200, 16), $D$2:$D$200, 0), 2)</f>
        <v>엑시인피니티</v>
      </c>
      <c r="P21" s="45">
        <f t="shared" si="2"/>
        <v>8940</v>
      </c>
      <c r="Q21" s="73">
        <f t="shared" si="3"/>
        <v>5.5959710000000004E-4</v>
      </c>
      <c r="R21" s="89">
        <f t="shared" si="5"/>
        <v>338443.98222374998</v>
      </c>
    </row>
    <row r="22" spans="1:18" ht="17.25" thickBot="1">
      <c r="A22" s="40" t="s">
        <v>182</v>
      </c>
      <c r="B22" s="11" t="s">
        <v>183</v>
      </c>
      <c r="C22" s="86">
        <v>126</v>
      </c>
      <c r="D22" s="34">
        <v>0</v>
      </c>
      <c r="E22" s="84">
        <v>5249743.2174456902</v>
      </c>
      <c r="F22" s="35"/>
      <c r="G22" s="150"/>
      <c r="H22" s="151"/>
      <c r="I22" s="152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47" t="str">
        <f>INDEX($A$2:$D$200, MATCH(LARGE($D$2:$D$200, 17), $D$2:$D$200, 0), 2)</f>
        <v>에이다</v>
      </c>
      <c r="P22" s="39">
        <f t="shared" si="2"/>
        <v>336</v>
      </c>
      <c r="Q22" s="70">
        <f t="shared" si="3"/>
        <v>0</v>
      </c>
      <c r="R22" s="79">
        <f t="shared" si="5"/>
        <v>3891983.3132037502</v>
      </c>
    </row>
    <row r="23" spans="1:18" ht="17.25" thickBot="1">
      <c r="A23" s="40" t="s">
        <v>84</v>
      </c>
      <c r="B23" s="11" t="s">
        <v>85</v>
      </c>
      <c r="C23" s="86">
        <v>143</v>
      </c>
      <c r="D23" s="34">
        <v>0</v>
      </c>
      <c r="E23" s="84">
        <v>8019595.9069624804</v>
      </c>
      <c r="F23" s="35"/>
      <c r="G23" s="9" t="s">
        <v>38</v>
      </c>
      <c r="H23" s="136" t="s">
        <v>37</v>
      </c>
      <c r="I23" s="137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47" t="str">
        <f>INDEX($A$2:$D$200, MATCH(LARGE($D$2:$D$200, 18), $D$2:$D$200, 0), 2)</f>
        <v>에이다</v>
      </c>
      <c r="P23" s="39">
        <f t="shared" si="2"/>
        <v>336</v>
      </c>
      <c r="Q23" s="70">
        <f t="shared" si="3"/>
        <v>0</v>
      </c>
      <c r="R23" s="79">
        <f t="shared" si="5"/>
        <v>3891983.3132037502</v>
      </c>
    </row>
    <row r="24" spans="1:18">
      <c r="A24" s="40" t="s">
        <v>94</v>
      </c>
      <c r="B24" s="11" t="s">
        <v>95</v>
      </c>
      <c r="C24" s="86">
        <v>1015</v>
      </c>
      <c r="D24" s="34">
        <v>0</v>
      </c>
      <c r="E24" s="84">
        <v>148879.00804898</v>
      </c>
      <c r="F24" s="35"/>
      <c r="G24" s="210">
        <f>_xlfn.IFNA(VLOOKUP(G21, $B$2:$D$200, 3, FALSE), "-")</f>
        <v>-4.3024533E-3</v>
      </c>
      <c r="H24" s="204">
        <f>_xlfn.IFNA(VLOOKUP(G21, $B$2:$D$200, 2, FALSE), "-")</f>
        <v>21754000</v>
      </c>
      <c r="I24" s="205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47" t="str">
        <f>INDEX($A$2:$D$200, MATCH(LARGE($D$2:$D$200, 19), $D$2:$D$200, 0), 2)</f>
        <v>에이다</v>
      </c>
      <c r="P24" s="39">
        <f t="shared" si="2"/>
        <v>336</v>
      </c>
      <c r="Q24" s="70">
        <f t="shared" si="3"/>
        <v>0</v>
      </c>
      <c r="R24" s="79">
        <f t="shared" si="5"/>
        <v>3891983.3132037502</v>
      </c>
    </row>
    <row r="25" spans="1:18" ht="17.25" thickBot="1">
      <c r="A25" s="40" t="s">
        <v>139</v>
      </c>
      <c r="B25" s="11" t="s">
        <v>337</v>
      </c>
      <c r="C25" s="86">
        <v>273</v>
      </c>
      <c r="D25" s="34">
        <v>0</v>
      </c>
      <c r="E25" s="84">
        <v>923312.93830448005</v>
      </c>
      <c r="F25" s="35"/>
      <c r="G25" s="211"/>
      <c r="H25" s="206"/>
      <c r="I25" s="207"/>
      <c r="K25" s="53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2" t="str">
        <f t="shared" ca="1" si="1"/>
        <v/>
      </c>
      <c r="N25" s="80" t="str">
        <f t="shared" ca="1" si="4"/>
        <v/>
      </c>
      <c r="O25" s="48" t="str">
        <f>INDEX($A$2:$D$200, MATCH(LARGE($D$2:$D$200, 20), $D$2:$D$200, 0), 2)</f>
        <v>에이다</v>
      </c>
      <c r="P25" s="37">
        <f t="shared" si="2"/>
        <v>336</v>
      </c>
      <c r="Q25" s="72">
        <f t="shared" si="3"/>
        <v>0</v>
      </c>
      <c r="R25" s="80">
        <f t="shared" si="5"/>
        <v>3891983.3132037502</v>
      </c>
    </row>
    <row r="26" spans="1:18">
      <c r="A26" s="40" t="s">
        <v>53</v>
      </c>
      <c r="B26" s="11" t="s">
        <v>333</v>
      </c>
      <c r="C26" s="86">
        <v>56.4</v>
      </c>
      <c r="D26" s="34">
        <v>-1.7699115000000001E-3</v>
      </c>
      <c r="E26" s="84">
        <v>7370073.2503654901</v>
      </c>
      <c r="F26" s="35"/>
    </row>
    <row r="27" spans="1:18" ht="17.25" thickBot="1">
      <c r="A27" s="40" t="s">
        <v>140</v>
      </c>
      <c r="B27" s="11" t="s">
        <v>141</v>
      </c>
      <c r="C27" s="86">
        <v>3.06</v>
      </c>
      <c r="D27" s="34">
        <v>-3.2573290000000002E-3</v>
      </c>
      <c r="E27" s="84">
        <v>80971815.945856959</v>
      </c>
      <c r="F27" s="35"/>
    </row>
    <row r="28" spans="1:18" ht="17.25" thickBot="1">
      <c r="A28" s="40" t="s">
        <v>63</v>
      </c>
      <c r="B28" s="11" t="s">
        <v>64</v>
      </c>
      <c r="C28" s="86">
        <v>9.18</v>
      </c>
      <c r="D28" s="34">
        <v>-3.2573290000000002E-3</v>
      </c>
      <c r="E28" s="84">
        <v>12458762.088529021</v>
      </c>
      <c r="F28" s="35"/>
      <c r="G28" s="135" t="s">
        <v>46</v>
      </c>
      <c r="H28" s="136"/>
      <c r="I28" s="136"/>
      <c r="J28" s="137"/>
      <c r="K28" s="135" t="s">
        <v>44</v>
      </c>
      <c r="L28" s="136"/>
      <c r="M28" s="136"/>
      <c r="N28" s="137"/>
      <c r="O28" s="135" t="s">
        <v>45</v>
      </c>
      <c r="P28" s="136"/>
      <c r="Q28" s="136"/>
      <c r="R28" s="137"/>
    </row>
    <row r="29" spans="1:18" ht="17.25" thickBot="1">
      <c r="A29" s="40" t="s">
        <v>110</v>
      </c>
      <c r="B29" s="11" t="s">
        <v>111</v>
      </c>
      <c r="C29" s="86">
        <v>572</v>
      </c>
      <c r="D29" s="34">
        <v>-3.4843206000000002E-3</v>
      </c>
      <c r="E29" s="84">
        <v>2634254.5607311199</v>
      </c>
      <c r="F29" s="35"/>
      <c r="G29" s="200" t="s">
        <v>54</v>
      </c>
      <c r="H29" s="212">
        <f ca="1">NOW()</f>
        <v>44921.6035962963</v>
      </c>
      <c r="I29" s="213"/>
      <c r="J29" s="214"/>
      <c r="K29" s="203" t="s">
        <v>54</v>
      </c>
      <c r="L29" s="212">
        <f ca="1">NOW()</f>
        <v>44921.6035962963</v>
      </c>
      <c r="M29" s="213"/>
      <c r="N29" s="214"/>
      <c r="O29" s="203" t="s">
        <v>54</v>
      </c>
      <c r="P29" s="212">
        <f ca="1">NOW()</f>
        <v>44921.6035962963</v>
      </c>
      <c r="Q29" s="213"/>
      <c r="R29" s="214"/>
    </row>
    <row r="30" spans="1:18" ht="17.25" thickBot="1">
      <c r="A30" s="40" t="s">
        <v>61</v>
      </c>
      <c r="B30" s="11" t="s">
        <v>62</v>
      </c>
      <c r="C30" s="86">
        <v>8100</v>
      </c>
      <c r="D30" s="34">
        <v>-3.6900369000000001E-3</v>
      </c>
      <c r="E30" s="84">
        <v>51798.638876969999</v>
      </c>
      <c r="F30" s="35"/>
      <c r="G30" s="197"/>
      <c r="H30" s="36" t="s">
        <v>57</v>
      </c>
      <c r="I30" s="36" t="s">
        <v>58</v>
      </c>
      <c r="J30" s="64" t="s">
        <v>254</v>
      </c>
      <c r="K30" s="197"/>
      <c r="L30" s="36" t="s">
        <v>57</v>
      </c>
      <c r="M30" s="36" t="s">
        <v>58</v>
      </c>
      <c r="N30" s="64" t="s">
        <v>254</v>
      </c>
      <c r="O30" s="197"/>
      <c r="P30" s="36" t="s">
        <v>57</v>
      </c>
      <c r="Q30" s="36" t="s">
        <v>58</v>
      </c>
      <c r="R30" s="64" t="s">
        <v>254</v>
      </c>
    </row>
    <row r="31" spans="1:18">
      <c r="A31" s="40" t="s">
        <v>339</v>
      </c>
      <c r="B31" s="11" t="s">
        <v>340</v>
      </c>
      <c r="C31" s="86">
        <v>514</v>
      </c>
      <c r="D31" s="34">
        <v>-3.8759689999999999E-3</v>
      </c>
      <c r="E31" s="84">
        <v>212265.91099005999</v>
      </c>
      <c r="F31" s="35"/>
      <c r="G31" s="51" t="str">
        <f ca="1">IFERROR(OFFSET(INDIRECT($H$3 &amp; "!A98"), 0, 0), "")</f>
        <v>쿼크체인</v>
      </c>
      <c r="H31" s="38">
        <f t="shared" ref="H31:H50" ca="1" si="7">_xlfn.IFNA(VLOOKUP(G31, $B$2:$D$200, 2, FALSE), "")</f>
        <v>10.3</v>
      </c>
      <c r="I31" s="69">
        <f t="shared" ref="I31:I50" ca="1" si="8">_xlfn.IFNA(VLOOKUP(G31, $B$2:$D$200, 3, FALSE), "")</f>
        <v>-2.8301886799999999E-2</v>
      </c>
      <c r="J31" s="78">
        <f ca="1">_xlfn.IFNA(VLOOKUP(G31, $B$2:$E$200, 4, FALSE), "")</f>
        <v>67073681.59347108</v>
      </c>
      <c r="K31" s="51" t="str">
        <f ca="1">IFERROR(OFFSET(INDIRECT($H$3 &amp; "!A44"), 0, 0), "")</f>
        <v>쿼크체인</v>
      </c>
      <c r="L31" s="38">
        <f t="shared" ref="L31:L50" ca="1" si="9">_xlfn.IFNA(VLOOKUP(K31, $B$2:$D$200, 2, FALSE), "")</f>
        <v>10.3</v>
      </c>
      <c r="M31" s="69">
        <f t="shared" ref="M31:M50" ca="1" si="10">_xlfn.IFNA(VLOOKUP(K31, $B$2:$D$200, 3, FALSE), "")</f>
        <v>-2.8301886799999999E-2</v>
      </c>
      <c r="N31" s="78">
        <f ca="1">_xlfn.IFNA(VLOOKUP(K31, $B$2:$E$200, 4, FALSE), "")</f>
        <v>67073681.59347108</v>
      </c>
      <c r="O31" s="51" t="str">
        <f ca="1">IFERROR(OFFSET(INDIRECT($H$3 &amp; "!A71"), 0, 0), "")</f>
        <v>메탈</v>
      </c>
      <c r="P31" s="38">
        <f t="shared" ref="P31:P50" ca="1" si="11">_xlfn.IFNA(VLOOKUP(O31, $B$2:$D$200, 2, FALSE), "")</f>
        <v>936</v>
      </c>
      <c r="Q31" s="69">
        <f t="shared" ref="Q31:Q50" ca="1" si="12">_xlfn.IFNA(VLOOKUP(O31, $B$2:$D$200, 3, FALSE), "")</f>
        <v>-1.6806722699999999E-2</v>
      </c>
      <c r="R31" s="78">
        <f ca="1">_xlfn.IFNA(VLOOKUP(O31, $B$2:$E$200, 4, FALSE), "")</f>
        <v>6971777.5574340001</v>
      </c>
    </row>
    <row r="32" spans="1:18">
      <c r="A32" s="40" t="s">
        <v>171</v>
      </c>
      <c r="B32" s="11" t="s">
        <v>172</v>
      </c>
      <c r="C32" s="86">
        <v>2540</v>
      </c>
      <c r="D32" s="34">
        <v>-3.9215685999999996E-3</v>
      </c>
      <c r="E32" s="84">
        <v>63741.512902930001</v>
      </c>
      <c r="F32" s="35"/>
      <c r="G32" s="52" t="str">
        <f ca="1">IFERROR(OFFSET(INDIRECT($H$3 &amp; "!A98"), 1, 0), "")</f>
        <v>메탈</v>
      </c>
      <c r="H32" s="39">
        <f t="shared" ca="1" si="7"/>
        <v>936</v>
      </c>
      <c r="I32" s="70">
        <f t="shared" ca="1" si="8"/>
        <v>-1.6806722699999999E-2</v>
      </c>
      <c r="J32" s="79">
        <f t="shared" ref="J32:J50" ca="1" si="13">_xlfn.IFNA(VLOOKUP(G32, $B$2:$E$200, 4, FALSE), "")</f>
        <v>6971777.5574340001</v>
      </c>
      <c r="K32" s="52" t="str">
        <f ca="1">IFERROR(OFFSET(INDIRECT($H$3 &amp; "!A44"), 1, 0), "")</f>
        <v>아더</v>
      </c>
      <c r="L32" s="39">
        <f t="shared" ca="1" si="9"/>
        <v>98.3</v>
      </c>
      <c r="M32" s="70">
        <f t="shared" ca="1" si="10"/>
        <v>4.4633368800000003E-2</v>
      </c>
      <c r="N32" s="79">
        <f t="shared" ref="N32:N50" ca="1" si="14">_xlfn.IFNA(VLOOKUP(K32, $B$2:$E$200, 4, FALSE), "")</f>
        <v>134595496.38277009</v>
      </c>
      <c r="O32" s="52" t="str">
        <f ca="1">IFERROR(OFFSET(INDIRECT($H$3 &amp; "!A71"), 1, 0), "")</f>
        <v>셀로</v>
      </c>
      <c r="P32" s="39">
        <f t="shared" ca="1" si="11"/>
        <v>635</v>
      </c>
      <c r="Q32" s="70">
        <f t="shared" ca="1" si="12"/>
        <v>-2.4577572999999998E-2</v>
      </c>
      <c r="R32" s="79">
        <f t="shared" ref="R32:R50" ca="1" si="15">_xlfn.IFNA(VLOOKUP(O32, $B$2:$E$200, 4, FALSE), "")</f>
        <v>3759616.5562051702</v>
      </c>
    </row>
    <row r="33" spans="1:18">
      <c r="A33" s="40" t="s">
        <v>327</v>
      </c>
      <c r="B33" s="11" t="s">
        <v>328</v>
      </c>
      <c r="C33" s="86">
        <v>15090</v>
      </c>
      <c r="D33" s="34">
        <v>-3.9603959999999997E-3</v>
      </c>
      <c r="E33" s="84">
        <v>18799.19609546</v>
      </c>
      <c r="F33" s="35"/>
      <c r="G33" s="52" t="str">
        <f ca="1">IFERROR(OFFSET(INDIRECT($H$3 &amp; "!A98"), 2, 0), "")</f>
        <v>셀로</v>
      </c>
      <c r="H33" s="39">
        <f t="shared" ca="1" si="7"/>
        <v>635</v>
      </c>
      <c r="I33" s="70">
        <f t="shared" ca="1" si="8"/>
        <v>-2.4577572999999998E-2</v>
      </c>
      <c r="J33" s="79">
        <f t="shared" ca="1" si="13"/>
        <v>3759616.5562051702</v>
      </c>
      <c r="K33" s="52" t="str">
        <f ca="1">IFERROR(OFFSET(INDIRECT($H$3 &amp; "!A44"), 2, 0), "")</f>
        <v>비트토렌트</v>
      </c>
      <c r="L33" s="39">
        <f t="shared" ca="1" si="9"/>
        <v>8.0000000000000004E-4</v>
      </c>
      <c r="M33" s="70">
        <f t="shared" ca="1" si="10"/>
        <v>0</v>
      </c>
      <c r="N33" s="79">
        <f t="shared" ca="1" si="14"/>
        <v>106403438838.9689</v>
      </c>
      <c r="O33" s="52" t="str">
        <f ca="1">IFERROR(OFFSET(INDIRECT($H$3 &amp; "!A71"), 2, 0), "")</f>
        <v>엘프</v>
      </c>
      <c r="P33" s="39">
        <f t="shared" ca="1" si="11"/>
        <v>176</v>
      </c>
      <c r="Q33" s="70">
        <f t="shared" ca="1" si="12"/>
        <v>-3.8251366100000003E-2</v>
      </c>
      <c r="R33" s="79">
        <f t="shared" ca="1" si="15"/>
        <v>10781448.88421982</v>
      </c>
    </row>
    <row r="34" spans="1:18">
      <c r="A34" s="40" t="s">
        <v>78</v>
      </c>
      <c r="B34" s="11" t="s">
        <v>79</v>
      </c>
      <c r="C34" s="86">
        <v>240</v>
      </c>
      <c r="D34" s="34">
        <v>-4.1493776000000003E-3</v>
      </c>
      <c r="E34" s="84">
        <v>668310.00900685997</v>
      </c>
      <c r="F34" s="35"/>
      <c r="G34" s="52" t="str">
        <f ca="1">IFERROR(OFFSET(INDIRECT($H$3 &amp; "!A98"), 3, 0), "")</f>
        <v>엘프</v>
      </c>
      <c r="H34" s="39">
        <f t="shared" ca="1" si="7"/>
        <v>176</v>
      </c>
      <c r="I34" s="70">
        <f t="shared" ca="1" si="8"/>
        <v>-3.8251366100000003E-2</v>
      </c>
      <c r="J34" s="79">
        <f t="shared" ca="1" si="13"/>
        <v>10781448.88421982</v>
      </c>
      <c r="K34" s="52" t="str">
        <f ca="1">IFERROR(OFFSET(INDIRECT($H$3 &amp; "!A44"), 3, 0), "")</f>
        <v>저스트</v>
      </c>
      <c r="L34" s="39">
        <f t="shared" ca="1" si="9"/>
        <v>27</v>
      </c>
      <c r="M34" s="70">
        <f t="shared" ca="1" si="10"/>
        <v>-1.0989011E-2</v>
      </c>
      <c r="N34" s="79">
        <f t="shared" ca="1" si="14"/>
        <v>9450374.9082068298</v>
      </c>
      <c r="O34" s="52" t="str">
        <f ca="1">IFERROR(OFFSET(INDIRECT($H$3 &amp; "!A71"), 3, 0), "")</f>
        <v>스테픈</v>
      </c>
      <c r="P34" s="39">
        <f t="shared" ca="1" si="11"/>
        <v>389</v>
      </c>
      <c r="Q34" s="70">
        <f t="shared" ca="1" si="12"/>
        <v>1.56657963E-2</v>
      </c>
      <c r="R34" s="79">
        <f t="shared" ca="1" si="15"/>
        <v>27436707.982599501</v>
      </c>
    </row>
    <row r="35" spans="1:18">
      <c r="A35" s="40" t="s">
        <v>48</v>
      </c>
      <c r="B35" s="11" t="s">
        <v>49</v>
      </c>
      <c r="C35" s="86">
        <v>21754000</v>
      </c>
      <c r="D35" s="34">
        <v>-4.3024533E-3</v>
      </c>
      <c r="E35" s="84">
        <v>813.90447863999998</v>
      </c>
      <c r="F35" s="35"/>
      <c r="G35" s="54" t="str">
        <f ca="1">IFERROR(OFFSET(INDIRECT($H$3 &amp; "!A98"), 4, 0), "")</f>
        <v>스테픈</v>
      </c>
      <c r="H35" s="44">
        <f t="shared" ca="1" si="7"/>
        <v>389</v>
      </c>
      <c r="I35" s="71">
        <f t="shared" ca="1" si="8"/>
        <v>1.56657963E-2</v>
      </c>
      <c r="J35" s="83">
        <f t="shared" ca="1" si="13"/>
        <v>27436707.982599501</v>
      </c>
      <c r="K35" s="54" t="str">
        <f ca="1">IFERROR(OFFSET(INDIRECT($H$3 &amp; "!A44"), 4, 0), "")</f>
        <v>비체인</v>
      </c>
      <c r="L35" s="44">
        <f t="shared" ca="1" si="9"/>
        <v>20.8</v>
      </c>
      <c r="M35" s="71">
        <f t="shared" ca="1" si="10"/>
        <v>-9.5238094999999991E-3</v>
      </c>
      <c r="N35" s="83">
        <f t="shared" ca="1" si="14"/>
        <v>22804843.965550002</v>
      </c>
      <c r="O35" s="54" t="str">
        <f ca="1">IFERROR(OFFSET(INDIRECT($H$3 &amp; "!A71"), 4, 0), "")</f>
        <v>아이오타</v>
      </c>
      <c r="P35" s="44">
        <f t="shared" ca="1" si="11"/>
        <v>220</v>
      </c>
      <c r="Q35" s="71">
        <f t="shared" ca="1" si="12"/>
        <v>-2.2222222199999999E-2</v>
      </c>
      <c r="R35" s="83">
        <f t="shared" ca="1" si="15"/>
        <v>2855205.6691833399</v>
      </c>
    </row>
    <row r="36" spans="1:18">
      <c r="A36" s="40" t="s">
        <v>125</v>
      </c>
      <c r="B36" s="11" t="s">
        <v>126</v>
      </c>
      <c r="C36" s="86">
        <v>22.7</v>
      </c>
      <c r="D36" s="34">
        <v>-4.3859648999999999E-3</v>
      </c>
      <c r="E36" s="84">
        <v>13764704.834657529</v>
      </c>
      <c r="F36" s="35"/>
      <c r="G36" s="52" t="str">
        <f ca="1">IFERROR(OFFSET(INDIRECT($H$3 &amp; "!A98"), 5, 0), "")</f>
        <v>아이오타</v>
      </c>
      <c r="H36" s="39">
        <f t="shared" ca="1" si="7"/>
        <v>220</v>
      </c>
      <c r="I36" s="70">
        <f t="shared" ca="1" si="8"/>
        <v>-2.2222222199999999E-2</v>
      </c>
      <c r="J36" s="89">
        <f t="shared" ca="1" si="13"/>
        <v>2855205.6691833399</v>
      </c>
      <c r="K36" s="52" t="str">
        <f ca="1">IFERROR(OFFSET(INDIRECT($H$3 &amp; "!A44"), 5, 0), "")</f>
        <v>트론</v>
      </c>
      <c r="L36" s="39">
        <f t="shared" ca="1" si="9"/>
        <v>70.7</v>
      </c>
      <c r="M36" s="70">
        <f t="shared" ca="1" si="10"/>
        <v>-7.0224718999999996E-3</v>
      </c>
      <c r="N36" s="89">
        <f t="shared" ca="1" si="14"/>
        <v>18161314.332139049</v>
      </c>
      <c r="O36" s="52" t="str">
        <f ca="1">IFERROR(OFFSET(INDIRECT($H$3 &amp; "!A71"), 5, 0), "")</f>
        <v>디센트럴랜드</v>
      </c>
      <c r="P36" s="39">
        <f t="shared" ca="1" si="11"/>
        <v>426</v>
      </c>
      <c r="Q36" s="70">
        <f t="shared" ca="1" si="12"/>
        <v>4.7169810999999999E-3</v>
      </c>
      <c r="R36" s="89">
        <f t="shared" ca="1" si="15"/>
        <v>4488717.7891908102</v>
      </c>
    </row>
    <row r="37" spans="1:18">
      <c r="A37" s="40" t="s">
        <v>82</v>
      </c>
      <c r="B37" s="11" t="s">
        <v>83</v>
      </c>
      <c r="C37" s="86">
        <v>1130</v>
      </c>
      <c r="D37" s="34">
        <v>-4.4052863000000001E-3</v>
      </c>
      <c r="E37" s="84">
        <v>715784.59903497004</v>
      </c>
      <c r="F37" s="35"/>
      <c r="G37" s="52" t="str">
        <f ca="1">IFERROR(OFFSET(INDIRECT($H$3 &amp; "!A98"), 6, 0), "")</f>
        <v>에이브</v>
      </c>
      <c r="H37" s="39">
        <f t="shared" ca="1" si="7"/>
        <v>71480</v>
      </c>
      <c r="I37" s="70">
        <f t="shared" ca="1" si="8"/>
        <v>1.3469445599999999E-2</v>
      </c>
      <c r="J37" s="79">
        <f t="shared" ca="1" si="13"/>
        <v>7299.7465196499998</v>
      </c>
      <c r="K37" s="52" t="str">
        <f ca="1">IFERROR(OFFSET(INDIRECT($H$3 &amp; "!A44"), 6, 0), "")</f>
        <v>스텔라루멘</v>
      </c>
      <c r="L37" s="39">
        <f t="shared" ca="1" si="9"/>
        <v>95.5</v>
      </c>
      <c r="M37" s="70">
        <f t="shared" ca="1" si="10"/>
        <v>-5.2083333000000004E-3</v>
      </c>
      <c r="N37" s="79">
        <f t="shared" ca="1" si="14"/>
        <v>2517288.1948954002</v>
      </c>
      <c r="O37" s="52" t="str">
        <f ca="1">IFERROR(OFFSET(INDIRECT($H$3 &amp; "!A71"), 6, 0), "")</f>
        <v>에이다</v>
      </c>
      <c r="P37" s="39">
        <f t="shared" ca="1" si="11"/>
        <v>336</v>
      </c>
      <c r="Q37" s="70">
        <f t="shared" ca="1" si="12"/>
        <v>0</v>
      </c>
      <c r="R37" s="79">
        <f t="shared" ca="1" si="15"/>
        <v>3891983.3132037502</v>
      </c>
    </row>
    <row r="38" spans="1:18">
      <c r="A38" s="40" t="s">
        <v>137</v>
      </c>
      <c r="B38" s="11" t="s">
        <v>138</v>
      </c>
      <c r="C38" s="86">
        <v>22.3</v>
      </c>
      <c r="D38" s="34">
        <v>-4.4642856999999999E-3</v>
      </c>
      <c r="E38" s="84">
        <v>10052082.04234487</v>
      </c>
      <c r="F38" s="35"/>
      <c r="G38" s="52" t="str">
        <f ca="1">IFERROR(OFFSET(INDIRECT($H$3 &amp; "!A98"), 7, 0), "")</f>
        <v>체인링크</v>
      </c>
      <c r="H38" s="39">
        <f t="shared" ca="1" si="7"/>
        <v>7690</v>
      </c>
      <c r="I38" s="70">
        <f t="shared" ca="1" si="8"/>
        <v>-1.09324759E-2</v>
      </c>
      <c r="J38" s="79">
        <f t="shared" ca="1" si="13"/>
        <v>83301.96415349</v>
      </c>
      <c r="K38" s="52" t="str">
        <f ca="1">IFERROR(OFFSET(INDIRECT($H$3 &amp; "!A44"), 7, 0), "")</f>
        <v>이캐시</v>
      </c>
      <c r="L38" s="39">
        <f t="shared" ca="1" si="9"/>
        <v>3.1E-2</v>
      </c>
      <c r="M38" s="70">
        <f t="shared" ca="1" si="10"/>
        <v>3.2362459999999999E-3</v>
      </c>
      <c r="N38" s="79">
        <f t="shared" ca="1" si="14"/>
        <v>18347136788.529423</v>
      </c>
      <c r="O38" s="52" t="str">
        <f ca="1">IFERROR(OFFSET(INDIRECT($H$3 &amp; "!A71"), 7, 0), "")</f>
        <v>카이버네트워크</v>
      </c>
      <c r="P38" s="39">
        <f t="shared" ca="1" si="11"/>
        <v>682</v>
      </c>
      <c r="Q38" s="70">
        <f t="shared" ca="1" si="12"/>
        <v>-5.8309038000000004E-3</v>
      </c>
      <c r="R38" s="79">
        <f t="shared" ca="1" si="15"/>
        <v>332349.95315929002</v>
      </c>
    </row>
    <row r="39" spans="1:18">
      <c r="A39" s="40" t="s">
        <v>92</v>
      </c>
      <c r="B39" s="11" t="s">
        <v>93</v>
      </c>
      <c r="C39" s="86">
        <v>1573000</v>
      </c>
      <c r="D39" s="34">
        <v>-4.7453338000000003E-3</v>
      </c>
      <c r="E39" s="84">
        <v>3608.0725100999998</v>
      </c>
      <c r="F39" s="35"/>
      <c r="G39" s="52" t="str">
        <f ca="1">IFERROR(OFFSET(INDIRECT($H$3 &amp; "!A98"), 8, 0), "")</f>
        <v>아더</v>
      </c>
      <c r="H39" s="39">
        <f t="shared" ca="1" si="7"/>
        <v>98.3</v>
      </c>
      <c r="I39" s="70">
        <f t="shared" ca="1" si="8"/>
        <v>4.4633368800000003E-2</v>
      </c>
      <c r="J39" s="79">
        <f t="shared" ca="1" si="13"/>
        <v>134595496.38277009</v>
      </c>
      <c r="K39" s="52" t="str">
        <f ca="1">IFERROR(OFFSET(INDIRECT($H$3 &amp; "!A44"), 8, 0), "")</f>
        <v>스톰엑스</v>
      </c>
      <c r="L39" s="39">
        <f t="shared" ca="1" si="9"/>
        <v>5.31</v>
      </c>
      <c r="M39" s="70">
        <f t="shared" ca="1" si="10"/>
        <v>-7.4766355000000003E-3</v>
      </c>
      <c r="N39" s="79">
        <f t="shared" ca="1" si="14"/>
        <v>32299048.52489027</v>
      </c>
      <c r="O39" s="52" t="str">
        <f ca="1">IFERROR(OFFSET(INDIRECT($H$3 &amp; "!A71"), 8, 0), "")</f>
        <v>아이콘</v>
      </c>
      <c r="P39" s="39">
        <f t="shared" ca="1" si="11"/>
        <v>193</v>
      </c>
      <c r="Q39" s="70">
        <f t="shared" ca="1" si="12"/>
        <v>-1.0256410299999999E-2</v>
      </c>
      <c r="R39" s="79">
        <f t="shared" ca="1" si="15"/>
        <v>917341.94781679998</v>
      </c>
    </row>
    <row r="40" spans="1:18" ht="17.25" thickBot="1">
      <c r="A40" s="40" t="s">
        <v>50</v>
      </c>
      <c r="B40" s="11" t="s">
        <v>51</v>
      </c>
      <c r="C40" s="86">
        <v>95.5</v>
      </c>
      <c r="D40" s="34">
        <v>-5.2083333000000004E-3</v>
      </c>
      <c r="E40" s="84">
        <v>2517288.1948954002</v>
      </c>
      <c r="F40" s="35"/>
      <c r="G40" s="53" t="str">
        <f ca="1">IFERROR(OFFSET(INDIRECT($H$3 &amp; "!A98"), 9, 0), "")</f>
        <v>비트토렌트</v>
      </c>
      <c r="H40" s="37">
        <f t="shared" ca="1" si="7"/>
        <v>8.0000000000000004E-4</v>
      </c>
      <c r="I40" s="72">
        <f t="shared" ca="1" si="8"/>
        <v>0</v>
      </c>
      <c r="J40" s="80">
        <f t="shared" ca="1" si="13"/>
        <v>106403438838.9689</v>
      </c>
      <c r="K40" s="53" t="str">
        <f ca="1">IFERROR(OFFSET(INDIRECT($H$3 &amp; "!A44"), 9, 0), "")</f>
        <v>아하토큰</v>
      </c>
      <c r="L40" s="37">
        <f t="shared" ca="1" si="9"/>
        <v>6</v>
      </c>
      <c r="M40" s="72">
        <f t="shared" ca="1" si="10"/>
        <v>-2.2801302900000001E-2</v>
      </c>
      <c r="N40" s="80">
        <f t="shared" ca="1" si="14"/>
        <v>39428458.255845793</v>
      </c>
      <c r="O40" s="53" t="str">
        <f ca="1">IFERROR(OFFSET(INDIRECT($H$3 &amp; "!A71"), 9, 0), "")</f>
        <v>누사이퍼</v>
      </c>
      <c r="P40" s="37">
        <f t="shared" ca="1" si="11"/>
        <v>115</v>
      </c>
      <c r="Q40" s="72">
        <f t="shared" ca="1" si="12"/>
        <v>-2.54237288E-2</v>
      </c>
      <c r="R40" s="80">
        <f t="shared" ca="1" si="15"/>
        <v>1954530.0614074999</v>
      </c>
    </row>
    <row r="41" spans="1:18">
      <c r="A41" s="40" t="s">
        <v>129</v>
      </c>
      <c r="B41" s="11" t="s">
        <v>130</v>
      </c>
      <c r="C41" s="86">
        <v>682</v>
      </c>
      <c r="D41" s="34">
        <v>-5.8309038000000004E-3</v>
      </c>
      <c r="E41" s="84">
        <v>332349.95315929002</v>
      </c>
      <c r="F41" s="35"/>
      <c r="G41" s="55" t="str">
        <f ca="1">IFERROR(OFFSET(INDIRECT($H$3 &amp; "!A98"), 10, 0), "")</f>
        <v>저스트</v>
      </c>
      <c r="H41" s="38">
        <f t="shared" ca="1" si="7"/>
        <v>27</v>
      </c>
      <c r="I41" s="69">
        <f t="shared" ca="1" si="8"/>
        <v>-1.0989011E-2</v>
      </c>
      <c r="J41" s="78">
        <f t="shared" ca="1" si="13"/>
        <v>9450374.9082068298</v>
      </c>
      <c r="K41" s="51" t="str">
        <f ca="1">IFERROR(OFFSET(INDIRECT($H$3 &amp; "!A44"), 10, 0), "")</f>
        <v>넴</v>
      </c>
      <c r="L41" s="38">
        <f t="shared" ca="1" si="9"/>
        <v>38</v>
      </c>
      <c r="M41" s="69">
        <f t="shared" ca="1" si="10"/>
        <v>-1.04166667E-2</v>
      </c>
      <c r="N41" s="78">
        <f t="shared" ca="1" si="14"/>
        <v>7808554.5393947205</v>
      </c>
      <c r="O41" s="51" t="str">
        <f ca="1">IFERROR(OFFSET(INDIRECT($H$3 &amp; "!A71"), 10, 0), "")</f>
        <v>엔진코인</v>
      </c>
      <c r="P41" s="38">
        <f t="shared" ca="1" si="11"/>
        <v>338</v>
      </c>
      <c r="Q41" s="69">
        <f t="shared" ca="1" si="12"/>
        <v>0</v>
      </c>
      <c r="R41" s="78">
        <f t="shared" ca="1" si="15"/>
        <v>340783.62337627</v>
      </c>
    </row>
    <row r="42" spans="1:18">
      <c r="A42" s="40" t="s">
        <v>192</v>
      </c>
      <c r="B42" s="11" t="s">
        <v>193</v>
      </c>
      <c r="C42" s="86">
        <v>16.899999999999999</v>
      </c>
      <c r="D42" s="34">
        <v>-5.8823529000000003E-3</v>
      </c>
      <c r="E42" s="84">
        <v>8810135.0042921305</v>
      </c>
      <c r="F42" s="35"/>
      <c r="G42" s="52" t="str">
        <f ca="1">IFERROR(OFFSET(INDIRECT($H$3 &amp; "!A98"), 11, 0), "")</f>
        <v>비트코인</v>
      </c>
      <c r="H42" s="39">
        <f t="shared" ca="1" si="7"/>
        <v>21754000</v>
      </c>
      <c r="I42" s="70">
        <f t="shared" ca="1" si="8"/>
        <v>-4.3024533E-3</v>
      </c>
      <c r="J42" s="79">
        <f t="shared" ca="1" si="13"/>
        <v>813.90447863999998</v>
      </c>
      <c r="K42" s="52" t="str">
        <f ca="1">IFERROR(OFFSET(INDIRECT($H$3 &amp; "!A44"), 11, 0), "")</f>
        <v>썬더코어</v>
      </c>
      <c r="L42" s="39">
        <f t="shared" ca="1" si="9"/>
        <v>4.3600000000000003</v>
      </c>
      <c r="M42" s="70">
        <f t="shared" ca="1" si="10"/>
        <v>-2.4608501099999999E-2</v>
      </c>
      <c r="N42" s="79">
        <f t="shared" ca="1" si="14"/>
        <v>62259128.400258958</v>
      </c>
      <c r="O42" s="52" t="str">
        <f ca="1">IFERROR(OFFSET(INDIRECT($H$3 &amp; "!A71"), 11, 0), "")</f>
        <v>리플</v>
      </c>
      <c r="P42" s="39">
        <f t="shared" ca="1" si="11"/>
        <v>450</v>
      </c>
      <c r="Q42" s="70">
        <f t="shared" ca="1" si="12"/>
        <v>2.2271715000000002E-3</v>
      </c>
      <c r="R42" s="79">
        <f t="shared" ca="1" si="15"/>
        <v>24235125.323773611</v>
      </c>
    </row>
    <row r="43" spans="1:18">
      <c r="A43" s="40" t="s">
        <v>255</v>
      </c>
      <c r="B43" s="11" t="s">
        <v>256</v>
      </c>
      <c r="C43" s="86">
        <v>98</v>
      </c>
      <c r="D43" s="34">
        <v>-6.0851927000000004E-3</v>
      </c>
      <c r="E43" s="84">
        <v>118951048.359542</v>
      </c>
      <c r="F43" s="35"/>
      <c r="G43" s="52" t="str">
        <f ca="1">IFERROR(OFFSET(INDIRECT($H$3 &amp; "!A98"), 12, 0), "")</f>
        <v>디센트럴랜드</v>
      </c>
      <c r="H43" s="39">
        <f t="shared" ca="1" si="7"/>
        <v>426</v>
      </c>
      <c r="I43" s="70">
        <f t="shared" ca="1" si="8"/>
        <v>4.7169810999999999E-3</v>
      </c>
      <c r="J43" s="79">
        <f t="shared" ca="1" si="13"/>
        <v>4488717.7891908102</v>
      </c>
      <c r="K43" s="52" t="str">
        <f ca="1">IFERROR(OFFSET(INDIRECT($H$3 &amp; "!A44"), 12, 0), "")</f>
        <v>아이오에스티</v>
      </c>
      <c r="L43" s="39">
        <f t="shared" ca="1" si="9"/>
        <v>9.18</v>
      </c>
      <c r="M43" s="70">
        <f t="shared" ca="1" si="10"/>
        <v>-3.2573290000000002E-3</v>
      </c>
      <c r="N43" s="79">
        <f t="shared" ca="1" si="14"/>
        <v>12458762.088529021</v>
      </c>
      <c r="O43" s="52" t="str">
        <f ca="1">IFERROR(OFFSET(INDIRECT($H$3 &amp; "!A71"), 12, 0), "")</f>
        <v>솔라</v>
      </c>
      <c r="P43" s="39">
        <f t="shared" ca="1" si="11"/>
        <v>273</v>
      </c>
      <c r="Q43" s="70">
        <f t="shared" ca="1" si="12"/>
        <v>0</v>
      </c>
      <c r="R43" s="79">
        <f t="shared" ca="1" si="15"/>
        <v>923312.93830448005</v>
      </c>
    </row>
    <row r="44" spans="1:18">
      <c r="A44" s="40" t="s">
        <v>205</v>
      </c>
      <c r="B44" s="11" t="s">
        <v>206</v>
      </c>
      <c r="C44" s="86">
        <v>3.14</v>
      </c>
      <c r="D44" s="34">
        <v>-6.3291138999999998E-3</v>
      </c>
      <c r="E44" s="84">
        <v>97781609.123705477</v>
      </c>
      <c r="F44" s="35"/>
      <c r="G44" s="52" t="str">
        <f ca="1">IFERROR(OFFSET(INDIRECT($H$3 &amp; "!A98"), 13, 0), "")</f>
        <v>폴카닷</v>
      </c>
      <c r="H44" s="39">
        <f t="shared" ca="1" si="7"/>
        <v>5785</v>
      </c>
      <c r="I44" s="70">
        <f t="shared" ca="1" si="8"/>
        <v>-8.5689802999999991E-3</v>
      </c>
      <c r="J44" s="79">
        <f t="shared" ca="1" si="13"/>
        <v>82683.940002439995</v>
      </c>
      <c r="K44" s="52" t="str">
        <f ca="1">IFERROR(OFFSET(INDIRECT($H$3 &amp; "!A44"), 13, 0), "")</f>
        <v>앵커</v>
      </c>
      <c r="L44" s="39">
        <f t="shared" ca="1" si="9"/>
        <v>22.3</v>
      </c>
      <c r="M44" s="70">
        <f t="shared" ca="1" si="10"/>
        <v>-4.4642856999999999E-3</v>
      </c>
      <c r="N44" s="79">
        <f t="shared" ca="1" si="14"/>
        <v>10052082.04234487</v>
      </c>
      <c r="O44" s="52" t="str">
        <f ca="1">IFERROR(OFFSET(INDIRECT($H$3 &amp; "!A71"), 13, 0), "")</f>
        <v>세럼</v>
      </c>
      <c r="P44" s="39">
        <f t="shared" ca="1" si="11"/>
        <v>257</v>
      </c>
      <c r="Q44" s="70">
        <f t="shared" ca="1" si="12"/>
        <v>-3.7453183500000001E-2</v>
      </c>
      <c r="R44" s="79">
        <f t="shared" ca="1" si="15"/>
        <v>3807770.4547614199</v>
      </c>
    </row>
    <row r="45" spans="1:18">
      <c r="A45" s="40" t="s">
        <v>98</v>
      </c>
      <c r="B45" s="11" t="s">
        <v>99</v>
      </c>
      <c r="C45" s="86">
        <v>20850</v>
      </c>
      <c r="D45" s="34">
        <v>-6.6698427999999999E-3</v>
      </c>
      <c r="E45" s="84">
        <v>97797.729304659995</v>
      </c>
      <c r="F45" s="35"/>
      <c r="G45" s="54" t="str">
        <f ca="1">IFERROR(OFFSET(INDIRECT($H$3 &amp; "!A98"), 14, 0), "")</f>
        <v>에이다</v>
      </c>
      <c r="H45" s="44">
        <f t="shared" ca="1" si="7"/>
        <v>336</v>
      </c>
      <c r="I45" s="71">
        <f t="shared" ca="1" si="8"/>
        <v>0</v>
      </c>
      <c r="J45" s="83">
        <f t="shared" ca="1" si="13"/>
        <v>3891983.3132037502</v>
      </c>
      <c r="K45" s="54" t="str">
        <f ca="1">IFERROR(OFFSET(INDIRECT($H$3 &amp; "!A44"), 14, 0), "")</f>
        <v>엠블</v>
      </c>
      <c r="L45" s="44">
        <f t="shared" ca="1" si="9"/>
        <v>4.08</v>
      </c>
      <c r="M45" s="71">
        <f t="shared" ca="1" si="10"/>
        <v>-1.21065375E-2</v>
      </c>
      <c r="N45" s="83">
        <f t="shared" ca="1" si="14"/>
        <v>91136049.159050614</v>
      </c>
      <c r="O45" s="54" t="str">
        <f ca="1">IFERROR(OFFSET(INDIRECT($H$3 &amp; "!A71"), 14, 0), "")</f>
        <v>1인치네트워크</v>
      </c>
      <c r="P45" s="44">
        <f t="shared" ca="1" si="11"/>
        <v>514</v>
      </c>
      <c r="Q45" s="71">
        <f t="shared" ca="1" si="12"/>
        <v>-3.8759689999999999E-3</v>
      </c>
      <c r="R45" s="83">
        <f t="shared" ca="1" si="15"/>
        <v>212265.91099005999</v>
      </c>
    </row>
    <row r="46" spans="1:18">
      <c r="A46" s="40" t="s">
        <v>177</v>
      </c>
      <c r="B46" s="11" t="s">
        <v>178</v>
      </c>
      <c r="C46" s="86">
        <v>1430</v>
      </c>
      <c r="D46" s="34">
        <v>-6.9444444000000003E-3</v>
      </c>
      <c r="E46" s="84">
        <v>181036.48475569999</v>
      </c>
      <c r="F46" s="35"/>
      <c r="G46" s="52" t="str">
        <f ca="1">IFERROR(OFFSET(INDIRECT($H$3 &amp; "!A98"), 15, 0), "")</f>
        <v>코스모스</v>
      </c>
      <c r="H46" s="39">
        <f t="shared" ca="1" si="7"/>
        <v>11720</v>
      </c>
      <c r="I46" s="70">
        <f t="shared" ca="1" si="8"/>
        <v>8.5397100000000003E-4</v>
      </c>
      <c r="J46" s="89">
        <f t="shared" ca="1" si="13"/>
        <v>43987.922923630002</v>
      </c>
      <c r="K46" s="52" t="str">
        <f ca="1">IFERROR(OFFSET(INDIRECT($H$3 &amp; "!A44"), 15, 0), "")</f>
        <v>헤데라</v>
      </c>
      <c r="L46" s="39">
        <f t="shared" ca="1" si="9"/>
        <v>56.4</v>
      </c>
      <c r="M46" s="70">
        <f t="shared" ca="1" si="10"/>
        <v>-1.7699115000000001E-3</v>
      </c>
      <c r="N46" s="89">
        <f t="shared" ca="1" si="14"/>
        <v>7370073.2503654901</v>
      </c>
      <c r="O46" s="52" t="str">
        <f ca="1">IFERROR(OFFSET(INDIRECT($H$3 &amp; "!A71"), 15, 0), "")</f>
        <v>베이직어텐션토큰</v>
      </c>
      <c r="P46" s="39">
        <f t="shared" ca="1" si="11"/>
        <v>240</v>
      </c>
      <c r="Q46" s="70">
        <f t="shared" ca="1" si="12"/>
        <v>-4.1493776000000003E-3</v>
      </c>
      <c r="R46" s="89">
        <f t="shared" ca="1" si="15"/>
        <v>668310.00900685997</v>
      </c>
    </row>
    <row r="47" spans="1:18">
      <c r="A47" s="40" t="s">
        <v>144</v>
      </c>
      <c r="B47" s="11" t="s">
        <v>145</v>
      </c>
      <c r="C47" s="86">
        <v>70.7</v>
      </c>
      <c r="D47" s="34">
        <v>-7.0224718999999996E-3</v>
      </c>
      <c r="E47" s="84">
        <v>18161314.332139049</v>
      </c>
      <c r="F47" s="35"/>
      <c r="G47" s="52" t="str">
        <f ca="1">IFERROR(OFFSET(INDIRECT($H$3 &amp; "!A98"), 16, 0), "")</f>
        <v>이더리움</v>
      </c>
      <c r="H47" s="39">
        <f t="shared" ca="1" si="7"/>
        <v>1573000</v>
      </c>
      <c r="I47" s="70">
        <f t="shared" ca="1" si="8"/>
        <v>-4.7453338000000003E-3</v>
      </c>
      <c r="J47" s="79">
        <f t="shared" ca="1" si="13"/>
        <v>3608.0725100999998</v>
      </c>
      <c r="K47" s="52" t="str">
        <f ca="1">IFERROR(OFFSET(INDIRECT($H$3 &amp; "!A44"), 16, 0), "")</f>
        <v>리퍼리움</v>
      </c>
      <c r="L47" s="39">
        <f t="shared" ca="1" si="9"/>
        <v>5.87</v>
      </c>
      <c r="M47" s="70">
        <f t="shared" ca="1" si="10"/>
        <v>-1.01180438E-2</v>
      </c>
      <c r="N47" s="79">
        <f t="shared" ca="1" si="14"/>
        <v>41742518.152795427</v>
      </c>
      <c r="O47" s="52" t="str">
        <f ca="1">IFERROR(OFFSET(INDIRECT($H$3 &amp; "!A71"), 16, 0), "")</f>
        <v>칠리즈</v>
      </c>
      <c r="P47" s="39">
        <f t="shared" ca="1" si="11"/>
        <v>143</v>
      </c>
      <c r="Q47" s="70">
        <f t="shared" ca="1" si="12"/>
        <v>0</v>
      </c>
      <c r="R47" s="79">
        <f t="shared" ca="1" si="15"/>
        <v>8019595.9069624804</v>
      </c>
    </row>
    <row r="48" spans="1:18">
      <c r="A48" s="40" t="s">
        <v>117</v>
      </c>
      <c r="B48" s="11" t="s">
        <v>118</v>
      </c>
      <c r="C48" s="86">
        <v>5.31</v>
      </c>
      <c r="D48" s="34">
        <v>-7.4766355000000003E-3</v>
      </c>
      <c r="E48" s="84">
        <v>32299048.52489027</v>
      </c>
      <c r="F48" s="35"/>
      <c r="G48" s="52" t="str">
        <f ca="1">IFERROR(OFFSET(INDIRECT($H$3 &amp; "!A98"), 17, 0), "")</f>
        <v>비체인</v>
      </c>
      <c r="H48" s="39">
        <f t="shared" ca="1" si="7"/>
        <v>20.8</v>
      </c>
      <c r="I48" s="70">
        <f t="shared" ca="1" si="8"/>
        <v>-9.5238094999999991E-3</v>
      </c>
      <c r="J48" s="79">
        <f t="shared" ca="1" si="13"/>
        <v>22804843.965550002</v>
      </c>
      <c r="K48" s="52" t="str">
        <f ca="1">IFERROR(OFFSET(INDIRECT($H$3 &amp; "!A44"), 17, 0), "")</f>
        <v>오브스</v>
      </c>
      <c r="L48" s="39">
        <f t="shared" ca="1" si="9"/>
        <v>28.9</v>
      </c>
      <c r="M48" s="70">
        <f t="shared" ca="1" si="10"/>
        <v>-2.3648648599999999E-2</v>
      </c>
      <c r="N48" s="79">
        <f t="shared" ca="1" si="14"/>
        <v>5038408.5201979997</v>
      </c>
      <c r="O48" s="52" t="str">
        <f ca="1">IFERROR(OFFSET(INDIRECT($H$3 &amp; "!A71"), 17, 0), "")</f>
        <v>던프로토콜</v>
      </c>
      <c r="P48" s="39">
        <f t="shared" ca="1" si="11"/>
        <v>786</v>
      </c>
      <c r="Q48" s="70">
        <f t="shared" ca="1" si="12"/>
        <v>-2.60223048E-2</v>
      </c>
      <c r="R48" s="79">
        <f t="shared" ca="1" si="15"/>
        <v>1355253.0178185101</v>
      </c>
    </row>
    <row r="49" spans="1:18">
      <c r="A49" s="40" t="s">
        <v>184</v>
      </c>
      <c r="B49" s="11" t="s">
        <v>185</v>
      </c>
      <c r="C49" s="86">
        <v>26.4</v>
      </c>
      <c r="D49" s="34">
        <v>-7.5187969999999998E-3</v>
      </c>
      <c r="E49" s="84">
        <v>4564358.9433626896</v>
      </c>
      <c r="F49" s="35"/>
      <c r="G49" s="52" t="str">
        <f ca="1">IFERROR(OFFSET(INDIRECT($H$3 &amp; "!A98"), 18, 0), "")</f>
        <v>폴리곤</v>
      </c>
      <c r="H49" s="39">
        <f t="shared" ca="1" si="7"/>
        <v>1035</v>
      </c>
      <c r="I49" s="70">
        <f t="shared" ca="1" si="8"/>
        <v>4.8543689000000003E-3</v>
      </c>
      <c r="J49" s="79">
        <f t="shared" ca="1" si="13"/>
        <v>779508.32008176995</v>
      </c>
      <c r="K49" s="52" t="str">
        <f ca="1">IFERROR(OFFSET(INDIRECT($H$3 &amp; "!A44"), 18, 0), "")</f>
        <v>크로노스</v>
      </c>
      <c r="L49" s="39">
        <f t="shared" ca="1" si="9"/>
        <v>76.599999999999994</v>
      </c>
      <c r="M49" s="70">
        <f t="shared" ca="1" si="10"/>
        <v>-1.0335917300000001E-2</v>
      </c>
      <c r="N49" s="79">
        <f t="shared" ca="1" si="14"/>
        <v>2932239.0947008599</v>
      </c>
      <c r="O49" s="52" t="str">
        <f ca="1">IFERROR(OFFSET(INDIRECT($H$3 &amp; "!A71"), 18, 0), "")</f>
        <v>알고랜드</v>
      </c>
      <c r="P49" s="39">
        <f t="shared" ca="1" si="11"/>
        <v>216</v>
      </c>
      <c r="Q49" s="70">
        <f t="shared" ca="1" si="12"/>
        <v>4.6511627999999998E-3</v>
      </c>
      <c r="R49" s="79">
        <f t="shared" ca="1" si="15"/>
        <v>3643817.1534174802</v>
      </c>
    </row>
    <row r="50" spans="1:18" ht="17.25" thickBot="1">
      <c r="A50" s="40" t="s">
        <v>229</v>
      </c>
      <c r="B50" s="11" t="s">
        <v>230</v>
      </c>
      <c r="C50" s="86">
        <v>36.799999999999997</v>
      </c>
      <c r="D50" s="34">
        <v>-8.0862534E-3</v>
      </c>
      <c r="E50" s="84">
        <v>15791123.802604521</v>
      </c>
      <c r="F50" s="35"/>
      <c r="G50" s="53" t="str">
        <f ca="1">IFERROR(OFFSET(INDIRECT($H$3 &amp; "!A98"), 19, 0), "")</f>
        <v>트론</v>
      </c>
      <c r="H50" s="37">
        <f t="shared" ca="1" si="7"/>
        <v>70.7</v>
      </c>
      <c r="I50" s="72">
        <f t="shared" ca="1" si="8"/>
        <v>-7.0224718999999996E-3</v>
      </c>
      <c r="J50" s="80">
        <f t="shared" ca="1" si="13"/>
        <v>18161314.332139049</v>
      </c>
      <c r="K50" s="53" t="str">
        <f ca="1">IFERROR(OFFSET(INDIRECT($H$3 &amp; "!A44"), 19, 0), "")</f>
        <v>썸씽</v>
      </c>
      <c r="L50" s="37">
        <f t="shared" ca="1" si="9"/>
        <v>18.600000000000001</v>
      </c>
      <c r="M50" s="72">
        <f t="shared" ca="1" si="10"/>
        <v>-2.10526316E-2</v>
      </c>
      <c r="N50" s="80">
        <f t="shared" ca="1" si="14"/>
        <v>6086950.2610441903</v>
      </c>
      <c r="O50" s="53" t="str">
        <f ca="1">IFERROR(OFFSET(INDIRECT($H$3 &amp; "!A71"), 19, 0), "")</f>
        <v>스트라티스</v>
      </c>
      <c r="P50" s="37">
        <f t="shared" ca="1" si="11"/>
        <v>547</v>
      </c>
      <c r="Q50" s="72">
        <f t="shared" ca="1" si="12"/>
        <v>-1.61870504E-2</v>
      </c>
      <c r="R50" s="80">
        <f t="shared" ca="1" si="15"/>
        <v>774310.28569815995</v>
      </c>
    </row>
    <row r="51" spans="1:18">
      <c r="A51" s="40" t="s">
        <v>142</v>
      </c>
      <c r="B51" s="11" t="s">
        <v>143</v>
      </c>
      <c r="C51" s="86">
        <v>3.55</v>
      </c>
      <c r="D51" s="34">
        <v>-8.3798883000000008E-3</v>
      </c>
      <c r="E51" s="84">
        <v>185024952.86337125</v>
      </c>
      <c r="F51" s="35"/>
    </row>
    <row r="52" spans="1:18" ht="17.25" thickBot="1">
      <c r="A52" s="40" t="s">
        <v>127</v>
      </c>
      <c r="B52" s="11" t="s">
        <v>128</v>
      </c>
      <c r="C52" s="86">
        <v>5785</v>
      </c>
      <c r="D52" s="34">
        <v>-8.5689802999999991E-3</v>
      </c>
      <c r="E52" s="84">
        <v>82683.940002439995</v>
      </c>
      <c r="F52" s="35"/>
    </row>
    <row r="53" spans="1:18" ht="17.25" thickBot="1">
      <c r="A53" s="40" t="s">
        <v>329</v>
      </c>
      <c r="B53" s="11" t="s">
        <v>330</v>
      </c>
      <c r="C53" s="86">
        <v>14590</v>
      </c>
      <c r="D53" s="34">
        <v>-9.5044128000000005E-3</v>
      </c>
      <c r="E53" s="84">
        <v>230593.78730495999</v>
      </c>
      <c r="F53" s="35"/>
      <c r="G53" s="135" t="s">
        <v>245</v>
      </c>
      <c r="H53" s="136"/>
      <c r="I53" s="136"/>
      <c r="J53" s="137"/>
      <c r="K53" s="135" t="s">
        <v>248</v>
      </c>
      <c r="L53" s="136"/>
      <c r="M53" s="136"/>
      <c r="N53" s="137"/>
      <c r="O53" s="135" t="s">
        <v>249</v>
      </c>
      <c r="P53" s="136"/>
      <c r="Q53" s="136"/>
      <c r="R53" s="137"/>
    </row>
    <row r="54" spans="1:18" ht="17.25" thickBot="1">
      <c r="A54" s="40" t="s">
        <v>121</v>
      </c>
      <c r="B54" s="11" t="s">
        <v>122</v>
      </c>
      <c r="C54" s="86">
        <v>20.8</v>
      </c>
      <c r="D54" s="34">
        <v>-9.5238094999999991E-3</v>
      </c>
      <c r="E54" s="84">
        <v>22804843.965550002</v>
      </c>
      <c r="F54" s="35"/>
      <c r="G54" s="200" t="s">
        <v>54</v>
      </c>
      <c r="H54" s="212">
        <f ca="1">NOW()</f>
        <v>44921.6035962963</v>
      </c>
      <c r="I54" s="213"/>
      <c r="J54" s="214"/>
      <c r="K54" s="203" t="s">
        <v>54</v>
      </c>
      <c r="L54" s="212">
        <f ca="1">NOW()</f>
        <v>44921.6035962963</v>
      </c>
      <c r="M54" s="213"/>
      <c r="N54" s="214"/>
      <c r="O54" s="203" t="s">
        <v>54</v>
      </c>
      <c r="P54" s="212">
        <f ca="1">NOW()</f>
        <v>44921.6035962963</v>
      </c>
      <c r="Q54" s="213"/>
      <c r="R54" s="214"/>
    </row>
    <row r="55" spans="1:18" ht="17.25" thickBot="1">
      <c r="A55" s="40" t="s">
        <v>76</v>
      </c>
      <c r="B55" s="11" t="s">
        <v>77</v>
      </c>
      <c r="C55" s="86">
        <v>130200</v>
      </c>
      <c r="D55" s="34">
        <v>-9.8859315999999999E-3</v>
      </c>
      <c r="E55" s="84">
        <v>2430.71965486</v>
      </c>
      <c r="F55" s="35"/>
      <c r="G55" s="197"/>
      <c r="H55" s="36" t="s">
        <v>57</v>
      </c>
      <c r="I55" s="36" t="s">
        <v>58</v>
      </c>
      <c r="J55" s="64" t="s">
        <v>254</v>
      </c>
      <c r="K55" s="197"/>
      <c r="L55" s="36" t="s">
        <v>57</v>
      </c>
      <c r="M55" s="36" t="s">
        <v>58</v>
      </c>
      <c r="N55" s="64" t="s">
        <v>254</v>
      </c>
      <c r="O55" s="197"/>
      <c r="P55" s="36" t="s">
        <v>57</v>
      </c>
      <c r="Q55" s="36" t="s">
        <v>58</v>
      </c>
      <c r="R55" s="64" t="s">
        <v>254</v>
      </c>
    </row>
    <row r="56" spans="1:18">
      <c r="A56" s="40" t="s">
        <v>194</v>
      </c>
      <c r="B56" s="11" t="s">
        <v>195</v>
      </c>
      <c r="C56" s="86">
        <v>5.87</v>
      </c>
      <c r="D56" s="34">
        <v>-1.01180438E-2</v>
      </c>
      <c r="E56" s="84">
        <v>41742518.152795427</v>
      </c>
      <c r="F56" s="35"/>
      <c r="G56" s="51" t="str">
        <f ca="1">IFERROR(OFFSET(INDIRECT($H$3 &amp; "!A179"), 0, 0), "")</f>
        <v>아르고</v>
      </c>
      <c r="H56" s="38">
        <f t="shared" ref="H56:H65" ca="1" si="16">_xlfn.IFNA(VLOOKUP(G56, $B$2:$D$200, 2, FALSE), "")</f>
        <v>126</v>
      </c>
      <c r="I56" s="69">
        <f t="shared" ref="I56:I65" ca="1" si="17">_xlfn.IFNA(VLOOKUP(G56, $B$2:$D$200, 3, FALSE), "")</f>
        <v>0</v>
      </c>
      <c r="J56" s="78">
        <f ca="1">_xlfn.IFNA(VLOOKUP(G56, $B$2:$E$200, 4, FALSE), "")</f>
        <v>5249743.2174456902</v>
      </c>
      <c r="K56" s="51" t="str">
        <f ca="1">IFERROR(OFFSET(INDIRECT($H$3 &amp; "!A125"), 0, 0), "")</f>
        <v>스테이터스네트워크토큰</v>
      </c>
      <c r="L56" s="38">
        <f t="shared" ref="L56:L75" ca="1" si="18">_xlfn.IFNA(VLOOKUP(K56, $B$2:$D$200, 2, FALSE), "")</f>
        <v>26.6</v>
      </c>
      <c r="M56" s="69">
        <f t="shared" ref="M56:M75" ca="1" si="19">_xlfn.IFNA(VLOOKUP(K56, $B$2:$D$200, 3, FALSE), "")</f>
        <v>-1.4814814799999999E-2</v>
      </c>
      <c r="N56" s="78">
        <f ca="1">_xlfn.IFNA(VLOOKUP(K56, $B$2:$E$200, 4, FALSE), "")</f>
        <v>6863378.0118465601</v>
      </c>
      <c r="O56" s="51" t="str">
        <f ca="1">IFERROR(OFFSET(INDIRECT($H$3 &amp; "!A152"), 0, 0), "")</f>
        <v>보라</v>
      </c>
      <c r="P56" s="38">
        <f t="shared" ref="P56:P75" ca="1" si="20">_xlfn.IFNA(VLOOKUP(O56, $B$2:$D$200, 2, FALSE), "")</f>
        <v>154</v>
      </c>
      <c r="Q56" s="69">
        <f t="shared" ref="Q56:Q75" ca="1" si="21">_xlfn.IFNA(VLOOKUP(O56, $B$2:$D$200, 3, FALSE), "")</f>
        <v>-1.2820512799999999E-2</v>
      </c>
      <c r="R56" s="78">
        <f ca="1">_xlfn.IFNA(VLOOKUP(O56, $B$2:$E$200, 4, FALSE), "")</f>
        <v>3018313.76719312</v>
      </c>
    </row>
    <row r="57" spans="1:18">
      <c r="A57" s="40" t="s">
        <v>104</v>
      </c>
      <c r="B57" s="11" t="s">
        <v>105</v>
      </c>
      <c r="C57" s="86">
        <v>193</v>
      </c>
      <c r="D57" s="34">
        <v>-1.0256410299999999E-2</v>
      </c>
      <c r="E57" s="84">
        <v>917341.94781679998</v>
      </c>
      <c r="F57" s="35"/>
      <c r="G57" s="52" t="str">
        <f ca="1">IFERROR(OFFSET(INDIRECT($H$3 &amp; "!A179"), 1, 0), "")</f>
        <v>아이큐</v>
      </c>
      <c r="H57" s="39">
        <f t="shared" ca="1" si="16"/>
        <v>5.97</v>
      </c>
      <c r="I57" s="70">
        <f t="shared" ca="1" si="17"/>
        <v>-2.6101141899999999E-2</v>
      </c>
      <c r="J57" s="79">
        <f t="shared" ref="J57:J75" ca="1" si="22">_xlfn.IFNA(VLOOKUP(G57, $B$2:$E$200, 4, FALSE), "")</f>
        <v>208926187.76146051</v>
      </c>
      <c r="K57" s="52" t="str">
        <f ca="1">IFERROR(OFFSET(INDIRECT($H$3 &amp; "!A125"), 1, 0), "")</f>
        <v>센티넬프로토콜</v>
      </c>
      <c r="L57" s="39">
        <f t="shared" ca="1" si="18"/>
        <v>65.7</v>
      </c>
      <c r="M57" s="70">
        <f t="shared" ca="1" si="19"/>
        <v>-1.79372197E-2</v>
      </c>
      <c r="N57" s="79">
        <f t="shared" ref="N57:N75" ca="1" si="23">_xlfn.IFNA(VLOOKUP(K57, $B$2:$E$200, 4, FALSE), "")</f>
        <v>105410120.45403899</v>
      </c>
      <c r="O57" s="52" t="str">
        <f ca="1">IFERROR(OFFSET(INDIRECT($H$3 &amp; "!A152"), 1, 0), "")</f>
        <v>샌드박스</v>
      </c>
      <c r="P57" s="39">
        <f t="shared" ca="1" si="20"/>
        <v>572</v>
      </c>
      <c r="Q57" s="70">
        <f t="shared" ca="1" si="21"/>
        <v>-3.4843206000000002E-3</v>
      </c>
      <c r="R57" s="79">
        <f t="shared" ref="R57:R75" ca="1" si="24">_xlfn.IFNA(VLOOKUP(O57, $B$2:$E$200, 4, FALSE), "")</f>
        <v>2634254.5607311199</v>
      </c>
    </row>
    <row r="58" spans="1:18">
      <c r="A58" s="40" t="s">
        <v>114</v>
      </c>
      <c r="B58" s="11" t="s">
        <v>336</v>
      </c>
      <c r="C58" s="86">
        <v>76.599999999999994</v>
      </c>
      <c r="D58" s="34">
        <v>-1.0335917300000001E-2</v>
      </c>
      <c r="E58" s="84">
        <v>2932239.0947008599</v>
      </c>
      <c r="F58" s="35"/>
      <c r="G58" s="52" t="str">
        <f ca="1">IFERROR(OFFSET(INDIRECT($H$3 &amp; "!A179"), 2, 0), "")</f>
        <v>제로엑스</v>
      </c>
      <c r="H58" s="39">
        <f t="shared" ca="1" si="16"/>
        <v>213</v>
      </c>
      <c r="I58" s="70">
        <f t="shared" ca="1" si="17"/>
        <v>0</v>
      </c>
      <c r="J58" s="79">
        <f t="shared" ca="1" si="22"/>
        <v>891378.59432773001</v>
      </c>
      <c r="K58" s="52" t="str">
        <f ca="1">IFERROR(OFFSET(INDIRECT($H$3 &amp; "!A125"), 2, 0), "")</f>
        <v>룸네트워크</v>
      </c>
      <c r="L58" s="39">
        <f t="shared" ca="1" si="18"/>
        <v>56.1</v>
      </c>
      <c r="M58" s="70">
        <f t="shared" ca="1" si="19"/>
        <v>-1.5789473700000001E-2</v>
      </c>
      <c r="N58" s="79">
        <f t="shared" ca="1" si="23"/>
        <v>12740596.8685163</v>
      </c>
      <c r="O58" s="52" t="str">
        <f ca="1">IFERROR(OFFSET(INDIRECT($H$3 &amp; "!A152"), 2, 0), "")</f>
        <v>스택스</v>
      </c>
      <c r="P58" s="39">
        <f t="shared" ca="1" si="20"/>
        <v>292</v>
      </c>
      <c r="Q58" s="70">
        <f t="shared" ca="1" si="21"/>
        <v>-2.3411371199999999E-2</v>
      </c>
      <c r="R58" s="79">
        <f t="shared" ca="1" si="24"/>
        <v>2821748.3341857302</v>
      </c>
    </row>
    <row r="59" spans="1:18">
      <c r="A59" s="40" t="s">
        <v>55</v>
      </c>
      <c r="B59" s="11" t="s">
        <v>56</v>
      </c>
      <c r="C59" s="86">
        <v>38</v>
      </c>
      <c r="D59" s="34">
        <v>-1.04166667E-2</v>
      </c>
      <c r="E59" s="84">
        <v>7808554.5393947205</v>
      </c>
      <c r="F59" s="35"/>
      <c r="G59" s="52" t="str">
        <f ca="1">IFERROR(OFFSET(INDIRECT($H$3 &amp; "!A179"), 3, 0), "")</f>
        <v>쓰레스홀드</v>
      </c>
      <c r="H59" s="39">
        <f t="shared" ca="1" si="16"/>
        <v>20.5</v>
      </c>
      <c r="I59" s="70">
        <f t="shared" ca="1" si="17"/>
        <v>-1.9138756E-2</v>
      </c>
      <c r="J59" s="79">
        <f t="shared" ca="1" si="22"/>
        <v>17275729.957397941</v>
      </c>
      <c r="K59" s="52" t="str">
        <f ca="1">IFERROR(OFFSET(INDIRECT($H$3 &amp; "!A125"), 3, 0), "")</f>
        <v>도지코인</v>
      </c>
      <c r="L59" s="39">
        <f t="shared" ca="1" si="18"/>
        <v>98</v>
      </c>
      <c r="M59" s="70">
        <f t="shared" ca="1" si="19"/>
        <v>-6.0851927000000004E-3</v>
      </c>
      <c r="N59" s="79">
        <f t="shared" ca="1" si="23"/>
        <v>118951048.359542</v>
      </c>
      <c r="O59" s="52" t="str">
        <f ca="1">IFERROR(OFFSET(INDIRECT($H$3 &amp; "!A152"), 3, 0), "")</f>
        <v>시빅</v>
      </c>
      <c r="P59" s="39">
        <f t="shared" ca="1" si="20"/>
        <v>108</v>
      </c>
      <c r="Q59" s="70">
        <f t="shared" ca="1" si="21"/>
        <v>-1.8181818200000002E-2</v>
      </c>
      <c r="R59" s="79">
        <f t="shared" ca="1" si="24"/>
        <v>1871432.5502202699</v>
      </c>
    </row>
    <row r="60" spans="1:18">
      <c r="A60" s="40" t="s">
        <v>74</v>
      </c>
      <c r="B60" s="11" t="s">
        <v>75</v>
      </c>
      <c r="C60" s="86">
        <v>7690</v>
      </c>
      <c r="D60" s="34">
        <v>-1.09324759E-2</v>
      </c>
      <c r="E60" s="84">
        <v>83301.96415349</v>
      </c>
      <c r="F60" s="35"/>
      <c r="G60" s="52" t="str">
        <f ca="1">IFERROR(OFFSET(INDIRECT($H$3 &amp; "!A179"), 4, 0), "")</f>
        <v>카바</v>
      </c>
      <c r="H60" s="39">
        <f t="shared" ca="1" si="16"/>
        <v>1270</v>
      </c>
      <c r="I60" s="70">
        <f t="shared" ca="1" si="17"/>
        <v>-4.1509433999999998E-2</v>
      </c>
      <c r="J60" s="83">
        <f t="shared" ca="1" si="22"/>
        <v>1433323.95203954</v>
      </c>
      <c r="K60" s="54" t="str">
        <f ca="1">IFERROR(OFFSET(INDIRECT($H$3 &amp; "!A125"), 4, 0), "")</f>
        <v>메인프레임</v>
      </c>
      <c r="L60" s="44">
        <f t="shared" ca="1" si="18"/>
        <v>6.44</v>
      </c>
      <c r="M60" s="71">
        <f t="shared" ca="1" si="19"/>
        <v>-2.8657616899999998E-2</v>
      </c>
      <c r="N60" s="83">
        <f t="shared" ca="1" si="23"/>
        <v>274946286.06644124</v>
      </c>
      <c r="O60" s="54" t="str">
        <f ca="1">IFERROR(OFFSET(INDIRECT($H$3 &amp; "!A152"), 4, 0), "")</f>
        <v>폴리매쉬</v>
      </c>
      <c r="P60" s="44">
        <f t="shared" ca="1" si="20"/>
        <v>176</v>
      </c>
      <c r="Q60" s="71">
        <f t="shared" ca="1" si="21"/>
        <v>-2.2222222199999999E-2</v>
      </c>
      <c r="R60" s="83">
        <f t="shared" ca="1" si="24"/>
        <v>3729485.5337845599</v>
      </c>
    </row>
    <row r="61" spans="1:18">
      <c r="A61" s="40" t="s">
        <v>239</v>
      </c>
      <c r="B61" s="11" t="s">
        <v>240</v>
      </c>
      <c r="C61" s="86">
        <v>27</v>
      </c>
      <c r="D61" s="34">
        <v>-1.0989011E-2</v>
      </c>
      <c r="E61" s="84">
        <v>9450374.9082068298</v>
      </c>
      <c r="F61" s="35"/>
      <c r="G61" s="56" t="str">
        <f ca="1">IFERROR(OFFSET(INDIRECT($H$3 &amp; "!A179"), 5, 0), "")</f>
        <v>메타디움</v>
      </c>
      <c r="H61" s="45">
        <f t="shared" ca="1" si="16"/>
        <v>26.4</v>
      </c>
      <c r="I61" s="73">
        <f t="shared" ca="1" si="17"/>
        <v>-7.5187969999999998E-3</v>
      </c>
      <c r="J61" s="89">
        <f t="shared" ca="1" si="22"/>
        <v>4564358.9433626896</v>
      </c>
      <c r="K61" s="52" t="str">
        <f ca="1">IFERROR(OFFSET(INDIRECT($H$3 &amp; "!A125"), 5, 0), "")</f>
        <v>왁스</v>
      </c>
      <c r="L61" s="39">
        <f t="shared" ca="1" si="18"/>
        <v>61.2</v>
      </c>
      <c r="M61" s="70">
        <f t="shared" ca="1" si="19"/>
        <v>-1.44927536E-2</v>
      </c>
      <c r="N61" s="89">
        <f t="shared" ca="1" si="23"/>
        <v>4758545.5916466797</v>
      </c>
      <c r="O61" s="52" t="str">
        <f ca="1">IFERROR(OFFSET(INDIRECT($H$3 &amp; "!A152"), 5, 0), "")</f>
        <v>그로스톨코인</v>
      </c>
      <c r="P61" s="39">
        <f t="shared" ca="1" si="20"/>
        <v>420</v>
      </c>
      <c r="Q61" s="70">
        <f t="shared" ca="1" si="21"/>
        <v>-1.8691588799999999E-2</v>
      </c>
      <c r="R61" s="89">
        <f t="shared" ca="1" si="24"/>
        <v>2641665.2422823198</v>
      </c>
    </row>
    <row r="62" spans="1:18">
      <c r="A62" s="40" t="s">
        <v>133</v>
      </c>
      <c r="B62" s="11" t="s">
        <v>134</v>
      </c>
      <c r="C62" s="86">
        <v>1320</v>
      </c>
      <c r="D62" s="34">
        <v>-1.12359551E-2</v>
      </c>
      <c r="E62" s="84">
        <v>68922.589665570005</v>
      </c>
      <c r="F62" s="35"/>
      <c r="G62" s="52" t="str">
        <f ca="1">IFERROR(OFFSET(INDIRECT($H$3 &amp; "!A179"), 6, 0), "")</f>
        <v>쎄타퓨엘</v>
      </c>
      <c r="H62" s="39">
        <f t="shared" ca="1" si="16"/>
        <v>45.8</v>
      </c>
      <c r="I62" s="70">
        <f t="shared" ca="1" si="17"/>
        <v>-1.9271948600000002E-2</v>
      </c>
      <c r="J62" s="79">
        <f t="shared" ca="1" si="22"/>
        <v>11642699.992852051</v>
      </c>
      <c r="K62" s="52" t="str">
        <f ca="1">IFERROR(OFFSET(INDIRECT($H$3 &amp; "!A125"), 6, 0), "")</f>
        <v>시아코인</v>
      </c>
      <c r="L62" s="39">
        <f t="shared" ca="1" si="18"/>
        <v>3.06</v>
      </c>
      <c r="M62" s="70">
        <f t="shared" ca="1" si="19"/>
        <v>-3.2573290000000002E-3</v>
      </c>
      <c r="N62" s="79">
        <f t="shared" ca="1" si="23"/>
        <v>80971815.945856959</v>
      </c>
      <c r="O62" s="52" t="str">
        <f ca="1">IFERROR(OFFSET(INDIRECT($H$3 &amp; "!A152"), 6, 0), "")</f>
        <v>코박토큰</v>
      </c>
      <c r="P62" s="39">
        <f t="shared" ca="1" si="20"/>
        <v>651</v>
      </c>
      <c r="Q62" s="70">
        <f t="shared" ca="1" si="21"/>
        <v>-1.36363636E-2</v>
      </c>
      <c r="R62" s="79">
        <f t="shared" ca="1" si="24"/>
        <v>1714806.1772812</v>
      </c>
    </row>
    <row r="63" spans="1:18">
      <c r="A63" s="40" t="s">
        <v>235</v>
      </c>
      <c r="B63" s="11" t="s">
        <v>236</v>
      </c>
      <c r="C63" s="86">
        <v>2865</v>
      </c>
      <c r="D63" s="34">
        <v>-1.2068965500000001E-2</v>
      </c>
      <c r="E63" s="84">
        <v>340329.07497906999</v>
      </c>
      <c r="F63" s="35"/>
      <c r="G63" s="52" t="str">
        <f ca="1">IFERROR(OFFSET(INDIRECT($H$3 &amp; "!A179"), 7, 0), "")</f>
        <v>캐리프로토콜</v>
      </c>
      <c r="H63" s="39">
        <f t="shared" ca="1" si="16"/>
        <v>3.55</v>
      </c>
      <c r="I63" s="70">
        <f t="shared" ca="1" si="17"/>
        <v>-8.3798883000000008E-3</v>
      </c>
      <c r="J63" s="79">
        <f t="shared" ca="1" si="22"/>
        <v>185024952.86337125</v>
      </c>
      <c r="K63" s="52" t="str">
        <f ca="1">IFERROR(OFFSET(INDIRECT($H$3 &amp; "!A125"), 7, 0), "")</f>
        <v>모스코인</v>
      </c>
      <c r="L63" s="39">
        <f t="shared" ca="1" si="18"/>
        <v>75.7</v>
      </c>
      <c r="M63" s="70">
        <f t="shared" ca="1" si="19"/>
        <v>-1.5604681400000001E-2</v>
      </c>
      <c r="N63" s="79">
        <f t="shared" ca="1" si="23"/>
        <v>12621488.410527861</v>
      </c>
      <c r="O63" s="52" t="str">
        <f ca="1">IFERROR(OFFSET(INDIRECT($H$3 &amp; "!A152"), 7, 0), "")</f>
        <v>스토리지</v>
      </c>
      <c r="P63" s="39">
        <f t="shared" ca="1" si="20"/>
        <v>338</v>
      </c>
      <c r="Q63" s="70">
        <f t="shared" ca="1" si="21"/>
        <v>-1.45772595E-2</v>
      </c>
      <c r="R63" s="79">
        <f t="shared" ca="1" si="24"/>
        <v>1260481.63523502</v>
      </c>
    </row>
    <row r="64" spans="1:18">
      <c r="A64" s="40" t="s">
        <v>180</v>
      </c>
      <c r="B64" s="11" t="s">
        <v>181</v>
      </c>
      <c r="C64" s="86">
        <v>4.08</v>
      </c>
      <c r="D64" s="34">
        <v>-1.21065375E-2</v>
      </c>
      <c r="E64" s="84">
        <v>91136049.159050614</v>
      </c>
      <c r="F64" s="35"/>
      <c r="G64" s="52" t="str">
        <f ca="1">IFERROR(OFFSET(INDIRECT($H$3 &amp; "!A179"), 8, 0), "")</f>
        <v>펀디엑스</v>
      </c>
      <c r="H64" s="39">
        <f t="shared" ca="1" si="16"/>
        <v>448</v>
      </c>
      <c r="I64" s="70">
        <f t="shared" ca="1" si="17"/>
        <v>-1.75438596E-2</v>
      </c>
      <c r="J64" s="79">
        <f t="shared" ca="1" si="22"/>
        <v>1123128.3964617699</v>
      </c>
      <c r="K64" s="52" t="str">
        <f ca="1">IFERROR(OFFSET(INDIRECT($H$3 &amp; "!A125"), 8, 0), "")</f>
        <v>질리카</v>
      </c>
      <c r="L64" s="39">
        <f t="shared" ca="1" si="18"/>
        <v>22.7</v>
      </c>
      <c r="M64" s="70">
        <f t="shared" ca="1" si="19"/>
        <v>-4.3859648999999999E-3</v>
      </c>
      <c r="N64" s="79">
        <f t="shared" ca="1" si="23"/>
        <v>13764704.834657529</v>
      </c>
      <c r="O64" s="52" t="str">
        <f ca="1">IFERROR(OFFSET(INDIRECT($H$3 &amp; "!A152"), 8, 0), "")</f>
        <v>밀크</v>
      </c>
      <c r="P64" s="39">
        <f t="shared" ca="1" si="20"/>
        <v>297</v>
      </c>
      <c r="Q64" s="70">
        <f t="shared" ca="1" si="21"/>
        <v>-1.6556291399999999E-2</v>
      </c>
      <c r="R64" s="79">
        <f t="shared" ca="1" si="24"/>
        <v>6556105.4830456199</v>
      </c>
    </row>
    <row r="65" spans="1:18" ht="17.25" thickBot="1">
      <c r="A65" s="40" t="s">
        <v>135</v>
      </c>
      <c r="B65" s="11" t="s">
        <v>136</v>
      </c>
      <c r="C65" s="86">
        <v>2730</v>
      </c>
      <c r="D65" s="34">
        <v>-1.26582278E-2</v>
      </c>
      <c r="E65" s="84">
        <v>134329.30701287999</v>
      </c>
      <c r="F65" s="35"/>
      <c r="G65" s="53" t="str">
        <f ca="1">IFERROR(OFFSET(INDIRECT($H$3 &amp; "!A179"), 9, 0), "")</f>
        <v>앱토스</v>
      </c>
      <c r="H65" s="37">
        <f t="shared" ca="1" si="16"/>
        <v>4655</v>
      </c>
      <c r="I65" s="72">
        <f t="shared" ca="1" si="17"/>
        <v>1.0752687999999999E-3</v>
      </c>
      <c r="J65" s="80">
        <f t="shared" ca="1" si="22"/>
        <v>248678.07168073999</v>
      </c>
      <c r="K65" s="53" t="str">
        <f ca="1">IFERROR(OFFSET(INDIRECT($H$3 &amp; "!A125"), 9, 0), "")</f>
        <v>피르마체인</v>
      </c>
      <c r="L65" s="37">
        <f t="shared" ca="1" si="18"/>
        <v>48.8</v>
      </c>
      <c r="M65" s="72">
        <f t="shared" ca="1" si="19"/>
        <v>-3.1746031700000003E-2</v>
      </c>
      <c r="N65" s="80">
        <f t="shared" ca="1" si="23"/>
        <v>14155643.677953189</v>
      </c>
      <c r="O65" s="53" t="str">
        <f ca="1">IFERROR(OFFSET(INDIRECT($H$3 &amp; "!A152"), 9, 0), "")</f>
        <v>골렘</v>
      </c>
      <c r="P65" s="37">
        <f t="shared" ca="1" si="20"/>
        <v>250</v>
      </c>
      <c r="Q65" s="72">
        <f t="shared" ca="1" si="21"/>
        <v>-1.9607843100000001E-2</v>
      </c>
      <c r="R65" s="80">
        <f t="shared" ca="1" si="24"/>
        <v>1237263.0651509999</v>
      </c>
    </row>
    <row r="66" spans="1:18">
      <c r="A66" s="40" t="s">
        <v>158</v>
      </c>
      <c r="B66" s="11" t="s">
        <v>159</v>
      </c>
      <c r="C66" s="86">
        <v>154</v>
      </c>
      <c r="D66" s="34">
        <v>-1.2820512799999999E-2</v>
      </c>
      <c r="E66" s="84">
        <v>3018313.76719312</v>
      </c>
      <c r="F66" s="35"/>
      <c r="G66" s="52" t="str">
        <f ca="1">IFERROR(OFFSET(INDIRECT($H$3 &amp; "!A179"), 10, 0), "")</f>
        <v>스팀</v>
      </c>
      <c r="H66" s="38">
        <f t="shared" ref="H66:H75" ca="1" si="25">_xlfn.IFNA(VLOOKUP(G66, $B$2:$D$200, 2, FALSE), "")</f>
        <v>205</v>
      </c>
      <c r="I66" s="69">
        <f t="shared" ref="I66:I75" ca="1" si="26">_xlfn.IFNA(VLOOKUP(G66, $B$2:$D$200, 3, FALSE), "")</f>
        <v>-1.9138756E-2</v>
      </c>
      <c r="J66" s="78">
        <f t="shared" ca="1" si="22"/>
        <v>1844417.4215188499</v>
      </c>
      <c r="K66" s="51" t="str">
        <f ca="1">IFERROR(OFFSET(INDIRECT($H$3 &amp; "!A125"), 10, 0), "")</f>
        <v>메디블록</v>
      </c>
      <c r="L66" s="38">
        <f t="shared" ca="1" si="18"/>
        <v>16.899999999999999</v>
      </c>
      <c r="M66" s="69">
        <f t="shared" ca="1" si="19"/>
        <v>-5.8823529000000003E-3</v>
      </c>
      <c r="N66" s="78">
        <f t="shared" ca="1" si="23"/>
        <v>8810135.0042921305</v>
      </c>
      <c r="O66" s="51" t="str">
        <f ca="1">IFERROR(OFFSET(INDIRECT($H$3 &amp; "!A152"), 10, 0), "")</f>
        <v>알파쿼크</v>
      </c>
      <c r="P66" s="38">
        <f t="shared" ca="1" si="20"/>
        <v>967</v>
      </c>
      <c r="Q66" s="69">
        <f t="shared" ca="1" si="21"/>
        <v>1.3626834399999999E-2</v>
      </c>
      <c r="R66" s="78">
        <f t="shared" ca="1" si="24"/>
        <v>8498172.6538582798</v>
      </c>
    </row>
    <row r="67" spans="1:18">
      <c r="A67" s="40" t="s">
        <v>217</v>
      </c>
      <c r="B67" s="11" t="s">
        <v>218</v>
      </c>
      <c r="C67" s="86">
        <v>306</v>
      </c>
      <c r="D67" s="34">
        <v>-1.2903225799999999E-2</v>
      </c>
      <c r="E67" s="84">
        <v>1678987.6006862901</v>
      </c>
      <c r="F67" s="35"/>
      <c r="G67" s="52" t="str">
        <f ca="1">IFERROR(OFFSET(INDIRECT($H$3 &amp; "!A179"), 11, 0), "")</f>
        <v>헌트</v>
      </c>
      <c r="H67" s="39">
        <f t="shared" ca="1" si="25"/>
        <v>306</v>
      </c>
      <c r="I67" s="70">
        <f t="shared" ca="1" si="26"/>
        <v>-1.2903225799999999E-2</v>
      </c>
      <c r="J67" s="79">
        <f t="shared" ca="1" si="22"/>
        <v>1678987.6006862901</v>
      </c>
      <c r="K67" s="52" t="str">
        <f ca="1">IFERROR(OFFSET(INDIRECT($H$3 &amp; "!A125"), 11, 0), "")</f>
        <v>무비블록</v>
      </c>
      <c r="L67" s="39">
        <f t="shared" ca="1" si="18"/>
        <v>3.14</v>
      </c>
      <c r="M67" s="70">
        <f t="shared" ca="1" si="19"/>
        <v>-6.3291138999999998E-3</v>
      </c>
      <c r="N67" s="79">
        <f t="shared" ca="1" si="23"/>
        <v>97781609.123705477</v>
      </c>
      <c r="O67" s="52" t="str">
        <f ca="1">IFERROR(OFFSET(INDIRECT($H$3 &amp; "!A152"), 11, 0), "")</f>
        <v>아르고</v>
      </c>
      <c r="P67" s="39">
        <f t="shared" ca="1" si="20"/>
        <v>126</v>
      </c>
      <c r="Q67" s="70">
        <f t="shared" ca="1" si="21"/>
        <v>0</v>
      </c>
      <c r="R67" s="79">
        <f t="shared" ca="1" si="24"/>
        <v>5249743.2174456902</v>
      </c>
    </row>
    <row r="68" spans="1:18">
      <c r="A68" s="40" t="s">
        <v>173</v>
      </c>
      <c r="B68" s="11" t="s">
        <v>174</v>
      </c>
      <c r="C68" s="86">
        <v>12850</v>
      </c>
      <c r="D68" s="34">
        <v>-1.30568356E-2</v>
      </c>
      <c r="E68" s="84">
        <v>14616.920051380001</v>
      </c>
      <c r="F68" s="35"/>
      <c r="G68" s="52" t="str">
        <f ca="1">IFERROR(OFFSET(INDIRECT($H$3 &amp; "!A179"), 12, 0), "")</f>
        <v>플레이댑</v>
      </c>
      <c r="H68" s="39">
        <f t="shared" ca="1" si="25"/>
        <v>199</v>
      </c>
      <c r="I68" s="70">
        <f t="shared" ca="1" si="26"/>
        <v>-2.92682927E-2</v>
      </c>
      <c r="J68" s="79">
        <f t="shared" ca="1" si="22"/>
        <v>14772383.070254819</v>
      </c>
      <c r="K68" s="52" t="str">
        <f ca="1">IFERROR(OFFSET(INDIRECT($H$3 &amp; "!A125"), 12, 0), "")</f>
        <v>아이큐</v>
      </c>
      <c r="L68" s="39">
        <f t="shared" ca="1" si="18"/>
        <v>5.97</v>
      </c>
      <c r="M68" s="70">
        <f t="shared" ca="1" si="19"/>
        <v>-2.6101141899999999E-2</v>
      </c>
      <c r="N68" s="79">
        <f t="shared" ca="1" si="23"/>
        <v>208926187.76146051</v>
      </c>
      <c r="O68" s="52" t="str">
        <f ca="1">IFERROR(OFFSET(INDIRECT($H$3 &amp; "!A152"), 12, 0), "")</f>
        <v>제로엑스</v>
      </c>
      <c r="P68" s="39">
        <f t="shared" ca="1" si="20"/>
        <v>213</v>
      </c>
      <c r="Q68" s="70">
        <f t="shared" ca="1" si="21"/>
        <v>0</v>
      </c>
      <c r="R68" s="79">
        <f t="shared" ca="1" si="24"/>
        <v>891378.59432773001</v>
      </c>
    </row>
    <row r="69" spans="1:18">
      <c r="A69" s="40" t="s">
        <v>65</v>
      </c>
      <c r="B69" s="11" t="s">
        <v>66</v>
      </c>
      <c r="C69" s="86">
        <v>651</v>
      </c>
      <c r="D69" s="34">
        <v>-1.36363636E-2</v>
      </c>
      <c r="E69" s="84">
        <v>1714806.1772812</v>
      </c>
      <c r="F69" s="35"/>
      <c r="G69" s="52" t="str">
        <f ca="1">IFERROR(OFFSET(INDIRECT($H$3 &amp; "!A179"), 13, 0), "")</f>
        <v>에스티피</v>
      </c>
      <c r="H69" s="39">
        <f t="shared" ca="1" si="25"/>
        <v>36.799999999999997</v>
      </c>
      <c r="I69" s="70">
        <f t="shared" ca="1" si="26"/>
        <v>-8.0862534E-3</v>
      </c>
      <c r="J69" s="79">
        <f t="shared" ca="1" si="22"/>
        <v>15791123.802604521</v>
      </c>
      <c r="K69" s="52" t="str">
        <f ca="1">IFERROR(OFFSET(INDIRECT($H$3 &amp; "!A125"), 13, 0), "")</f>
        <v>쓰레스홀드</v>
      </c>
      <c r="L69" s="39">
        <f t="shared" ca="1" si="18"/>
        <v>20.5</v>
      </c>
      <c r="M69" s="70">
        <f t="shared" ca="1" si="19"/>
        <v>-1.9138756E-2</v>
      </c>
      <c r="N69" s="79">
        <f t="shared" ca="1" si="23"/>
        <v>17275729.957397941</v>
      </c>
      <c r="O69" s="52" t="str">
        <f ca="1">IFERROR(OFFSET(INDIRECT($H$3 &amp; "!A152"), 13, 0), "")</f>
        <v>펀디엑스</v>
      </c>
      <c r="P69" s="39">
        <f t="shared" ca="1" si="20"/>
        <v>448</v>
      </c>
      <c r="Q69" s="70">
        <f t="shared" ca="1" si="21"/>
        <v>-1.75438596E-2</v>
      </c>
      <c r="R69" s="79">
        <f t="shared" ca="1" si="24"/>
        <v>1123128.3964617699</v>
      </c>
    </row>
    <row r="70" spans="1:18">
      <c r="A70" s="40" t="s">
        <v>219</v>
      </c>
      <c r="B70" s="11" t="s">
        <v>220</v>
      </c>
      <c r="C70" s="86">
        <v>61.2</v>
      </c>
      <c r="D70" s="34">
        <v>-1.44927536E-2</v>
      </c>
      <c r="E70" s="84">
        <v>4758545.5916466797</v>
      </c>
      <c r="F70" s="35"/>
      <c r="G70" s="52" t="str">
        <f ca="1">IFERROR(OFFSET(INDIRECT($H$3 &amp; "!A179"), 14, 0), "")</f>
        <v>아크</v>
      </c>
      <c r="H70" s="39">
        <f t="shared" ca="1" si="25"/>
        <v>332</v>
      </c>
      <c r="I70" s="70">
        <f t="shared" ca="1" si="26"/>
        <v>-2.35294118E-2</v>
      </c>
      <c r="J70" s="83">
        <f t="shared" ca="1" si="22"/>
        <v>4335940.2372727804</v>
      </c>
      <c r="K70" s="54" t="str">
        <f ca="1">IFERROR(OFFSET(INDIRECT($H$3 &amp; "!A125"), 14, 0), "")</f>
        <v>메타디움</v>
      </c>
      <c r="L70" s="44">
        <f t="shared" ca="1" si="18"/>
        <v>26.4</v>
      </c>
      <c r="M70" s="71">
        <f t="shared" ca="1" si="19"/>
        <v>-7.5187969999999998E-3</v>
      </c>
      <c r="N70" s="83">
        <f t="shared" ca="1" si="23"/>
        <v>4564358.9433626896</v>
      </c>
      <c r="O70" s="54" t="str">
        <f ca="1">IFERROR(OFFSET(INDIRECT($H$3 &amp; "!A152"), 14, 0), "")</f>
        <v>스팀</v>
      </c>
      <c r="P70" s="44">
        <f t="shared" ca="1" si="20"/>
        <v>205</v>
      </c>
      <c r="Q70" s="71">
        <f t="shared" ca="1" si="21"/>
        <v>-1.9138756E-2</v>
      </c>
      <c r="R70" s="83">
        <f t="shared" ca="1" si="24"/>
        <v>1844417.4215188499</v>
      </c>
    </row>
    <row r="71" spans="1:18">
      <c r="A71" s="40" t="s">
        <v>100</v>
      </c>
      <c r="B71" s="11" t="s">
        <v>101</v>
      </c>
      <c r="C71" s="86">
        <v>203</v>
      </c>
      <c r="D71" s="34">
        <v>-1.45631068E-2</v>
      </c>
      <c r="E71" s="84">
        <v>1151594.0001777101</v>
      </c>
      <c r="F71" s="35"/>
      <c r="G71" s="56" t="str">
        <f ca="1">IFERROR(OFFSET(INDIRECT($H$3 &amp; "!A179"), 15, 0), "")</f>
        <v>웨이브</v>
      </c>
      <c r="H71" s="45">
        <f t="shared" ca="1" si="25"/>
        <v>2030</v>
      </c>
      <c r="I71" s="73">
        <f t="shared" ca="1" si="26"/>
        <v>-1.6949152499999998E-2</v>
      </c>
      <c r="J71" s="89">
        <f t="shared" ca="1" si="22"/>
        <v>1961979.6351902401</v>
      </c>
      <c r="K71" s="52" t="str">
        <f ca="1">IFERROR(OFFSET(INDIRECT($H$3 &amp; "!A125"), 15, 0), "")</f>
        <v>쎄타퓨엘</v>
      </c>
      <c r="L71" s="39">
        <f t="shared" ca="1" si="18"/>
        <v>45.8</v>
      </c>
      <c r="M71" s="70">
        <f t="shared" ca="1" si="19"/>
        <v>-1.9271948600000002E-2</v>
      </c>
      <c r="N71" s="89">
        <f t="shared" ca="1" si="23"/>
        <v>11642699.992852051</v>
      </c>
      <c r="O71" s="52" t="str">
        <f ca="1">IFERROR(OFFSET(INDIRECT($H$3 &amp; "!A152"), 15, 0), "")</f>
        <v>헌트</v>
      </c>
      <c r="P71" s="39">
        <f t="shared" ca="1" si="20"/>
        <v>306</v>
      </c>
      <c r="Q71" s="70">
        <f t="shared" ca="1" si="21"/>
        <v>-1.2903225799999999E-2</v>
      </c>
      <c r="R71" s="89">
        <f t="shared" ca="1" si="24"/>
        <v>1678987.6006862901</v>
      </c>
    </row>
    <row r="72" spans="1:18">
      <c r="A72" s="40" t="s">
        <v>152</v>
      </c>
      <c r="B72" s="11" t="s">
        <v>153</v>
      </c>
      <c r="C72" s="86">
        <v>338</v>
      </c>
      <c r="D72" s="34">
        <v>-1.45772595E-2</v>
      </c>
      <c r="E72" s="84">
        <v>1260481.63523502</v>
      </c>
      <c r="F72" s="35"/>
      <c r="G72" s="52" t="str">
        <f ca="1">IFERROR(OFFSET(INDIRECT($H$3 &amp; "!A179"), 16, 0), "")</f>
        <v>디카르고</v>
      </c>
      <c r="H72" s="39">
        <f t="shared" ca="1" si="25"/>
        <v>35.799999999999997</v>
      </c>
      <c r="I72" s="70">
        <f t="shared" ca="1" si="26"/>
        <v>-3.5040431300000001E-2</v>
      </c>
      <c r="J72" s="79">
        <f t="shared" ca="1" si="22"/>
        <v>43215964.392860487</v>
      </c>
      <c r="K72" s="52" t="str">
        <f ca="1">IFERROR(OFFSET(INDIRECT($H$3 &amp; "!A125"), 16, 0), "")</f>
        <v>캐리프로토콜</v>
      </c>
      <c r="L72" s="39">
        <f t="shared" ca="1" si="18"/>
        <v>3.55</v>
      </c>
      <c r="M72" s="70">
        <f t="shared" ca="1" si="19"/>
        <v>-8.3798883000000008E-3</v>
      </c>
      <c r="N72" s="79">
        <f t="shared" ca="1" si="23"/>
        <v>185024952.86337125</v>
      </c>
      <c r="O72" s="52" t="str">
        <f ca="1">IFERROR(OFFSET(INDIRECT($H$3 &amp; "!A152"), 16, 0), "")</f>
        <v>플레이댑</v>
      </c>
      <c r="P72" s="39">
        <f t="shared" ca="1" si="20"/>
        <v>199</v>
      </c>
      <c r="Q72" s="70">
        <f t="shared" ca="1" si="21"/>
        <v>-2.92682927E-2</v>
      </c>
      <c r="R72" s="79">
        <f t="shared" ca="1" si="24"/>
        <v>14772383.070254819</v>
      </c>
    </row>
    <row r="73" spans="1:18">
      <c r="A73" s="40" t="s">
        <v>154</v>
      </c>
      <c r="B73" s="11" t="s">
        <v>155</v>
      </c>
      <c r="C73" s="86">
        <v>26.6</v>
      </c>
      <c r="D73" s="34">
        <v>-1.4814814799999999E-2</v>
      </c>
      <c r="E73" s="84">
        <v>6863378.0118465601</v>
      </c>
      <c r="F73" s="35"/>
      <c r="G73" s="52" t="str">
        <f ca="1">IFERROR(OFFSET(INDIRECT($H$3 &amp; "!A179"), 17, 0), "")</f>
        <v>하이브</v>
      </c>
      <c r="H73" s="39">
        <f t="shared" ca="1" si="25"/>
        <v>379</v>
      </c>
      <c r="I73" s="70">
        <f t="shared" ca="1" si="26"/>
        <v>-3.3163265300000001E-2</v>
      </c>
      <c r="J73" s="79">
        <f t="shared" ca="1" si="22"/>
        <v>3822142.9111040598</v>
      </c>
      <c r="K73" s="52" t="str">
        <f ca="1">IFERROR(OFFSET(INDIRECT($H$3 &amp; "!A125"), 17, 0), "")</f>
        <v>에스티피</v>
      </c>
      <c r="L73" s="39">
        <f t="shared" ca="1" si="18"/>
        <v>36.799999999999997</v>
      </c>
      <c r="M73" s="70">
        <f t="shared" ca="1" si="19"/>
        <v>-8.0862534E-3</v>
      </c>
      <c r="N73" s="79">
        <f t="shared" ca="1" si="23"/>
        <v>15791123.802604521</v>
      </c>
      <c r="O73" s="52" t="str">
        <f ca="1">IFERROR(OFFSET(INDIRECT($H$3 &amp; "!A152"), 17, 0), "")</f>
        <v>아크</v>
      </c>
      <c r="P73" s="39">
        <f t="shared" ca="1" si="20"/>
        <v>332</v>
      </c>
      <c r="Q73" s="70">
        <f t="shared" ca="1" si="21"/>
        <v>-2.35294118E-2</v>
      </c>
      <c r="R73" s="79">
        <f t="shared" ca="1" si="24"/>
        <v>4335940.2372727804</v>
      </c>
    </row>
    <row r="74" spans="1:18">
      <c r="A74" s="40" t="s">
        <v>90</v>
      </c>
      <c r="B74" s="11" t="s">
        <v>91</v>
      </c>
      <c r="C74" s="86">
        <v>16550</v>
      </c>
      <c r="D74" s="34">
        <v>-1.54669839E-2</v>
      </c>
      <c r="E74" s="84">
        <v>51088.33462224</v>
      </c>
      <c r="F74" s="35"/>
      <c r="G74" s="52" t="str">
        <f ca="1">IFERROR(OFFSET(INDIRECT($H$3 &amp; "!A179"), 18, 0), "")</f>
        <v>온톨로지가스</v>
      </c>
      <c r="H74" s="39">
        <f t="shared" ca="1" si="25"/>
        <v>297</v>
      </c>
      <c r="I74" s="70">
        <f t="shared" ca="1" si="26"/>
        <v>-3.2573289900000003E-2</v>
      </c>
      <c r="J74" s="79">
        <f t="shared" ca="1" si="22"/>
        <v>1374624.7283647901</v>
      </c>
      <c r="K74" s="52" t="str">
        <f ca="1">IFERROR(OFFSET(INDIRECT($H$3 &amp; "!A125"), 18, 0), "")</f>
        <v>디카르고</v>
      </c>
      <c r="L74" s="39">
        <f t="shared" ca="1" si="18"/>
        <v>35.799999999999997</v>
      </c>
      <c r="M74" s="70">
        <f t="shared" ca="1" si="19"/>
        <v>-3.5040431300000001E-2</v>
      </c>
      <c r="N74" s="79">
        <f t="shared" ca="1" si="23"/>
        <v>43215964.392860487</v>
      </c>
      <c r="O74" s="52" t="str">
        <f ca="1">IFERROR(OFFSET(INDIRECT($H$3 &amp; "!A152"), 18, 0), "")</f>
        <v>하이브</v>
      </c>
      <c r="P74" s="39">
        <f t="shared" ca="1" si="20"/>
        <v>379</v>
      </c>
      <c r="Q74" s="70">
        <f t="shared" ca="1" si="21"/>
        <v>-3.3163265300000001E-2</v>
      </c>
      <c r="R74" s="79">
        <f t="shared" ca="1" si="24"/>
        <v>3822142.9111040598</v>
      </c>
    </row>
    <row r="75" spans="1:18" ht="17.25" thickBot="1">
      <c r="A75" s="40" t="s">
        <v>211</v>
      </c>
      <c r="B75" s="11" t="s">
        <v>212</v>
      </c>
      <c r="C75" s="86">
        <v>75.7</v>
      </c>
      <c r="D75" s="34">
        <v>-1.5604681400000001E-2</v>
      </c>
      <c r="E75" s="84">
        <v>12621488.410527861</v>
      </c>
      <c r="F75" s="35"/>
      <c r="G75" s="53" t="str">
        <f ca="1">IFERROR(OFFSET(INDIRECT($H$3 &amp; "!A179"), 19, 0), "")</f>
        <v>휴먼스케이프</v>
      </c>
      <c r="H75" s="37">
        <f t="shared" ca="1" si="25"/>
        <v>99.7</v>
      </c>
      <c r="I75" s="72">
        <f t="shared" ca="1" si="26"/>
        <v>1.5274949100000001E-2</v>
      </c>
      <c r="J75" s="80">
        <f t="shared" ca="1" si="22"/>
        <v>56035701.376791768</v>
      </c>
      <c r="K75" s="53" t="str">
        <f ca="1">IFERROR(OFFSET(INDIRECT($H$3 &amp; "!A125"), 19, 0), "")</f>
        <v>휴먼스케이프</v>
      </c>
      <c r="L75" s="37">
        <f t="shared" ca="1" si="18"/>
        <v>99.7</v>
      </c>
      <c r="M75" s="72">
        <f t="shared" ca="1" si="19"/>
        <v>1.5274949100000001E-2</v>
      </c>
      <c r="N75" s="80">
        <f t="shared" ca="1" si="23"/>
        <v>56035701.376791768</v>
      </c>
      <c r="O75" s="53" t="str">
        <f ca="1">IFERROR(OFFSET(INDIRECT($H$3 &amp; "!A152"), 19, 0), "")</f>
        <v>온톨로지가스</v>
      </c>
      <c r="P75" s="37">
        <f t="shared" ca="1" si="20"/>
        <v>297</v>
      </c>
      <c r="Q75" s="72">
        <f t="shared" ca="1" si="21"/>
        <v>-3.2573289900000003E-2</v>
      </c>
      <c r="R75" s="80">
        <f t="shared" ca="1" si="24"/>
        <v>1374624.7283647901</v>
      </c>
    </row>
    <row r="76" spans="1:18">
      <c r="A76" s="40" t="s">
        <v>227</v>
      </c>
      <c r="B76" s="11" t="s">
        <v>228</v>
      </c>
      <c r="C76" s="86">
        <v>56.1</v>
      </c>
      <c r="D76" s="34">
        <v>-1.5789473700000001E-2</v>
      </c>
      <c r="E76" s="84">
        <v>12740596.8685163</v>
      </c>
      <c r="F76" s="35"/>
      <c r="G76" s="35"/>
      <c r="H76" s="35"/>
      <c r="I76" s="35"/>
    </row>
    <row r="77" spans="1:18">
      <c r="A77" s="40" t="s">
        <v>237</v>
      </c>
      <c r="B77" s="11" t="s">
        <v>238</v>
      </c>
      <c r="C77" s="86">
        <v>547</v>
      </c>
      <c r="D77" s="34">
        <v>-1.61870504E-2</v>
      </c>
      <c r="E77" s="84">
        <v>774310.28569815995</v>
      </c>
      <c r="F77" s="35"/>
      <c r="G77" s="35"/>
      <c r="H77" s="35"/>
      <c r="I77" s="35"/>
    </row>
    <row r="78" spans="1:18">
      <c r="A78" s="40" t="s">
        <v>162</v>
      </c>
      <c r="B78" s="11" t="s">
        <v>163</v>
      </c>
      <c r="C78" s="86">
        <v>5995</v>
      </c>
      <c r="D78" s="34">
        <v>-1.6406890899999999E-2</v>
      </c>
      <c r="E78" s="84">
        <v>54998.621208609999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86">
        <v>297</v>
      </c>
      <c r="D79" s="34">
        <v>-1.6556291399999999E-2</v>
      </c>
      <c r="E79" s="84">
        <v>6556105.4830456199</v>
      </c>
      <c r="F79" s="35"/>
      <c r="G79" s="35"/>
      <c r="H79" s="35"/>
      <c r="I79" s="35"/>
    </row>
    <row r="80" spans="1:18">
      <c r="A80" s="40" t="s">
        <v>164</v>
      </c>
      <c r="B80" s="11" t="s">
        <v>165</v>
      </c>
      <c r="C80" s="86">
        <v>936</v>
      </c>
      <c r="D80" s="34">
        <v>-1.6806722699999999E-2</v>
      </c>
      <c r="E80" s="84">
        <v>6971777.5574340001</v>
      </c>
      <c r="F80" s="35"/>
      <c r="G80" s="35"/>
      <c r="H80" s="35"/>
      <c r="I80" s="35"/>
    </row>
    <row r="81" spans="1:9">
      <c r="A81" s="40" t="s">
        <v>150</v>
      </c>
      <c r="B81" s="11" t="s">
        <v>151</v>
      </c>
      <c r="C81" s="86">
        <v>2030</v>
      </c>
      <c r="D81" s="34">
        <v>-1.6949152499999998E-2</v>
      </c>
      <c r="E81" s="84">
        <v>1961979.6351902401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86">
        <v>448</v>
      </c>
      <c r="D82" s="34">
        <v>-1.75438596E-2</v>
      </c>
      <c r="E82" s="84">
        <v>1123128.3964617699</v>
      </c>
      <c r="F82" s="35"/>
      <c r="G82" s="35"/>
      <c r="H82" s="35"/>
      <c r="I82" s="35"/>
    </row>
    <row r="83" spans="1:9">
      <c r="A83" s="40" t="s">
        <v>166</v>
      </c>
      <c r="B83" s="11" t="s">
        <v>167</v>
      </c>
      <c r="C83" s="86">
        <v>167</v>
      </c>
      <c r="D83" s="34">
        <v>-1.76470588E-2</v>
      </c>
      <c r="E83" s="84">
        <v>3975437.2073602299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86">
        <v>65.7</v>
      </c>
      <c r="D84" s="34">
        <v>-1.79372197E-2</v>
      </c>
      <c r="E84" s="84">
        <v>105410120.45403899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86">
        <v>108</v>
      </c>
      <c r="D85" s="34">
        <v>-1.8181818200000002E-2</v>
      </c>
      <c r="E85" s="84">
        <v>1871432.5502202699</v>
      </c>
      <c r="F85" s="35"/>
      <c r="G85" s="35"/>
      <c r="H85" s="35"/>
      <c r="I85" s="35"/>
    </row>
    <row r="86" spans="1:9">
      <c r="A86" s="40" t="s">
        <v>213</v>
      </c>
      <c r="B86" s="11" t="s">
        <v>214</v>
      </c>
      <c r="C86" s="86">
        <v>956</v>
      </c>
      <c r="D86" s="34">
        <v>-1.8480492800000001E-2</v>
      </c>
      <c r="E86" s="84">
        <v>2282934.6539287199</v>
      </c>
      <c r="F86" s="35"/>
      <c r="G86" s="35"/>
      <c r="H86" s="35"/>
      <c r="I86" s="35"/>
    </row>
    <row r="87" spans="1:9">
      <c r="A87" s="40" t="s">
        <v>241</v>
      </c>
      <c r="B87" s="11" t="s">
        <v>242</v>
      </c>
      <c r="C87" s="86">
        <v>420</v>
      </c>
      <c r="D87" s="34">
        <v>-1.8691588799999999E-2</v>
      </c>
      <c r="E87" s="84">
        <v>2641665.2422823198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86">
        <v>205</v>
      </c>
      <c r="D88" s="34">
        <v>-1.9138756E-2</v>
      </c>
      <c r="E88" s="84">
        <v>1844417.4215188499</v>
      </c>
      <c r="F88" s="35"/>
      <c r="G88" s="35"/>
      <c r="H88" s="35"/>
      <c r="I88" s="35"/>
    </row>
    <row r="89" spans="1:9">
      <c r="A89" s="40" t="s">
        <v>325</v>
      </c>
      <c r="B89" s="11" t="s">
        <v>326</v>
      </c>
      <c r="C89" s="86">
        <v>20.5</v>
      </c>
      <c r="D89" s="34">
        <v>-1.9138756E-2</v>
      </c>
      <c r="E89" s="84">
        <v>17275729.957397941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86">
        <v>45.8</v>
      </c>
      <c r="D90" s="34">
        <v>-1.9271948600000002E-2</v>
      </c>
      <c r="E90" s="84">
        <v>11642699.992852051</v>
      </c>
      <c r="F90" s="35"/>
      <c r="G90" s="35"/>
      <c r="H90" s="35"/>
      <c r="I90" s="35"/>
    </row>
    <row r="91" spans="1:9">
      <c r="A91" s="40" t="s">
        <v>231</v>
      </c>
      <c r="B91" s="11" t="s">
        <v>232</v>
      </c>
      <c r="C91" s="86">
        <v>250</v>
      </c>
      <c r="D91" s="34">
        <v>-1.9607843100000001E-2</v>
      </c>
      <c r="E91" s="84">
        <v>1237263.0651509999</v>
      </c>
      <c r="F91" s="35"/>
      <c r="G91" s="35"/>
      <c r="H91" s="35"/>
      <c r="I91" s="35"/>
    </row>
    <row r="92" spans="1:9">
      <c r="A92" s="40" t="s">
        <v>86</v>
      </c>
      <c r="B92" s="11" t="s">
        <v>87</v>
      </c>
      <c r="C92" s="86">
        <v>55100</v>
      </c>
      <c r="D92" s="34">
        <v>-1.9921735999999999E-2</v>
      </c>
      <c r="E92" s="84">
        <v>5546.92077642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86">
        <v>18.600000000000001</v>
      </c>
      <c r="D93" s="34">
        <v>-2.10526316E-2</v>
      </c>
      <c r="E93" s="84">
        <v>6086950.2610441903</v>
      </c>
      <c r="F93" s="35"/>
      <c r="G93" s="35"/>
      <c r="H93" s="35"/>
      <c r="I93" s="35"/>
    </row>
    <row r="94" spans="1:9">
      <c r="A94" s="40" t="s">
        <v>351</v>
      </c>
      <c r="B94" s="11" t="s">
        <v>352</v>
      </c>
      <c r="C94" s="86">
        <v>176</v>
      </c>
      <c r="D94" s="34">
        <v>-2.2222222199999999E-2</v>
      </c>
      <c r="E94" s="84">
        <v>3729485.5337845599</v>
      </c>
      <c r="F94" s="35"/>
      <c r="G94" s="35"/>
      <c r="H94" s="35"/>
      <c r="I94" s="35"/>
    </row>
    <row r="95" spans="1:9">
      <c r="A95" s="40" t="s">
        <v>168</v>
      </c>
      <c r="B95" s="11" t="s">
        <v>169</v>
      </c>
      <c r="C95" s="86">
        <v>220</v>
      </c>
      <c r="D95" s="34">
        <v>-2.2222222199999999E-2</v>
      </c>
      <c r="E95" s="84">
        <v>2855205.6691833399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86">
        <v>6</v>
      </c>
      <c r="D96" s="34">
        <v>-2.2801302900000001E-2</v>
      </c>
      <c r="E96" s="84">
        <v>39428458.255845793</v>
      </c>
      <c r="F96" s="35"/>
      <c r="G96" s="35"/>
      <c r="H96" s="35"/>
      <c r="I96" s="35"/>
    </row>
    <row r="97" spans="1:9">
      <c r="A97" s="40" t="s">
        <v>160</v>
      </c>
      <c r="B97" s="11" t="s">
        <v>161</v>
      </c>
      <c r="C97" s="86">
        <v>292</v>
      </c>
      <c r="D97" s="34">
        <v>-2.3411371199999999E-2</v>
      </c>
      <c r="E97" s="84">
        <v>2821748.3341857302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86">
        <v>332</v>
      </c>
      <c r="D98" s="34">
        <v>-2.35294118E-2</v>
      </c>
      <c r="E98" s="84">
        <v>4335940.2372727804</v>
      </c>
      <c r="F98" s="35"/>
      <c r="G98" s="35"/>
      <c r="H98" s="35"/>
      <c r="I98" s="35"/>
    </row>
    <row r="99" spans="1:9">
      <c r="A99" s="40" t="s">
        <v>123</v>
      </c>
      <c r="B99" s="11" t="s">
        <v>124</v>
      </c>
      <c r="C99" s="86">
        <v>28.9</v>
      </c>
      <c r="D99" s="34">
        <v>-2.3648648599999999E-2</v>
      </c>
      <c r="E99" s="84">
        <v>5038408.5201979997</v>
      </c>
      <c r="F99" s="35"/>
      <c r="G99" s="35"/>
      <c r="H99" s="35"/>
      <c r="I99" s="35"/>
    </row>
    <row r="100" spans="1:9">
      <c r="A100" s="40" t="s">
        <v>348</v>
      </c>
      <c r="B100" s="11" t="s">
        <v>349</v>
      </c>
      <c r="C100" s="86">
        <v>635</v>
      </c>
      <c r="D100" s="34">
        <v>-2.4577572999999998E-2</v>
      </c>
      <c r="E100" s="84">
        <v>3759616.5562051702</v>
      </c>
      <c r="F100" s="35"/>
      <c r="G100" s="35"/>
      <c r="H100" s="35"/>
      <c r="I100" s="35"/>
    </row>
    <row r="101" spans="1:9">
      <c r="A101" s="40" t="s">
        <v>179</v>
      </c>
      <c r="B101" s="11" t="s">
        <v>338</v>
      </c>
      <c r="C101" s="86">
        <v>4.3600000000000003</v>
      </c>
      <c r="D101" s="34">
        <v>-2.4608501099999999E-2</v>
      </c>
      <c r="E101" s="84">
        <v>62259128.400258958</v>
      </c>
      <c r="F101" s="35"/>
      <c r="G101" s="35"/>
      <c r="H101" s="35"/>
      <c r="I101" s="35"/>
    </row>
    <row r="102" spans="1:9">
      <c r="A102" s="40" t="s">
        <v>341</v>
      </c>
      <c r="B102" s="11" t="s">
        <v>342</v>
      </c>
      <c r="C102" s="86">
        <v>115</v>
      </c>
      <c r="D102" s="34">
        <v>-2.54237288E-2</v>
      </c>
      <c r="E102" s="84">
        <v>1954530.0614074999</v>
      </c>
      <c r="F102" s="35"/>
      <c r="G102" s="35"/>
      <c r="H102" s="35"/>
      <c r="I102" s="35"/>
    </row>
    <row r="103" spans="1:9">
      <c r="A103" s="40" t="s">
        <v>186</v>
      </c>
      <c r="B103" s="11" t="s">
        <v>187</v>
      </c>
      <c r="C103" s="86">
        <v>786</v>
      </c>
      <c r="D103" s="34">
        <v>-2.60223048E-2</v>
      </c>
      <c r="E103" s="84">
        <v>1355253.0178185101</v>
      </c>
      <c r="F103" s="35"/>
      <c r="G103" s="35"/>
      <c r="H103" s="35"/>
      <c r="I103" s="35"/>
    </row>
    <row r="104" spans="1:9">
      <c r="A104" s="40" t="s">
        <v>170</v>
      </c>
      <c r="B104" s="11" t="s">
        <v>350</v>
      </c>
      <c r="C104" s="86">
        <v>5.97</v>
      </c>
      <c r="D104" s="34">
        <v>-2.6101141899999999E-2</v>
      </c>
      <c r="E104" s="84">
        <v>208926187.76146051</v>
      </c>
      <c r="F104" s="35"/>
      <c r="G104" s="35"/>
      <c r="H104" s="35"/>
      <c r="I104" s="35"/>
    </row>
    <row r="105" spans="1:9">
      <c r="A105" s="40" t="s">
        <v>70</v>
      </c>
      <c r="B105" s="11" t="s">
        <v>71</v>
      </c>
      <c r="C105" s="86">
        <v>10.3</v>
      </c>
      <c r="D105" s="34">
        <v>-2.8301886799999999E-2</v>
      </c>
      <c r="E105" s="84">
        <v>67073681.59347108</v>
      </c>
      <c r="F105" s="35"/>
      <c r="G105" s="35"/>
      <c r="H105" s="35"/>
      <c r="I105" s="35"/>
    </row>
    <row r="106" spans="1:9">
      <c r="A106" s="40" t="s">
        <v>197</v>
      </c>
      <c r="B106" s="11" t="s">
        <v>198</v>
      </c>
      <c r="C106" s="86">
        <v>6.44</v>
      </c>
      <c r="D106" s="34">
        <v>-2.8657616899999998E-2</v>
      </c>
      <c r="E106" s="84">
        <v>274946286.06644124</v>
      </c>
      <c r="F106" s="35"/>
      <c r="G106" s="35"/>
      <c r="H106" s="35"/>
      <c r="I106" s="35"/>
    </row>
    <row r="107" spans="1:9">
      <c r="A107" s="40" t="s">
        <v>203</v>
      </c>
      <c r="B107" s="11" t="s">
        <v>204</v>
      </c>
      <c r="C107" s="86">
        <v>199</v>
      </c>
      <c r="D107" s="34">
        <v>-2.92682927E-2</v>
      </c>
      <c r="E107" s="84">
        <v>14772383.070254819</v>
      </c>
      <c r="F107" s="35"/>
      <c r="G107" s="35"/>
      <c r="H107" s="35"/>
      <c r="I107" s="35"/>
    </row>
    <row r="108" spans="1:9">
      <c r="A108" s="40" t="s">
        <v>190</v>
      </c>
      <c r="B108" s="11" t="s">
        <v>191</v>
      </c>
      <c r="C108" s="86">
        <v>48.8</v>
      </c>
      <c r="D108" s="34">
        <v>-3.1746031700000003E-2</v>
      </c>
      <c r="E108" s="84">
        <v>14155643.677953189</v>
      </c>
      <c r="F108" s="35"/>
      <c r="G108" s="35"/>
      <c r="H108" s="35"/>
      <c r="I108" s="35"/>
    </row>
    <row r="109" spans="1:9">
      <c r="A109" s="40" t="s">
        <v>175</v>
      </c>
      <c r="B109" s="11" t="s">
        <v>176</v>
      </c>
      <c r="C109" s="86">
        <v>297</v>
      </c>
      <c r="D109" s="34">
        <v>-3.2573289900000003E-2</v>
      </c>
      <c r="E109" s="41">
        <v>1374624.7283647901</v>
      </c>
    </row>
    <row r="110" spans="1:9">
      <c r="A110" s="40" t="s">
        <v>221</v>
      </c>
      <c r="B110" s="11" t="s">
        <v>222</v>
      </c>
      <c r="C110" s="86">
        <v>379</v>
      </c>
      <c r="D110" s="34">
        <v>-3.3163265300000001E-2</v>
      </c>
      <c r="E110" s="41">
        <v>3822142.9111040598</v>
      </c>
    </row>
    <row r="111" spans="1:9">
      <c r="A111" s="40" t="s">
        <v>106</v>
      </c>
      <c r="B111" s="11" t="s">
        <v>107</v>
      </c>
      <c r="C111" s="86">
        <v>35.799999999999997</v>
      </c>
      <c r="D111" s="34">
        <v>-3.5040431300000001E-2</v>
      </c>
      <c r="E111" s="41">
        <v>43215964.392860487</v>
      </c>
    </row>
    <row r="112" spans="1:9">
      <c r="A112" s="40" t="s">
        <v>67</v>
      </c>
      <c r="B112" s="11" t="s">
        <v>68</v>
      </c>
      <c r="C112" s="86">
        <v>257</v>
      </c>
      <c r="D112" s="34">
        <v>-3.7453183500000001E-2</v>
      </c>
      <c r="E112" s="41">
        <v>3807770.4547614199</v>
      </c>
    </row>
    <row r="113" spans="1:5">
      <c r="A113" s="40" t="s">
        <v>156</v>
      </c>
      <c r="B113" s="11" t="s">
        <v>157</v>
      </c>
      <c r="C113" s="86">
        <v>176</v>
      </c>
      <c r="D113" s="34">
        <v>-3.8251366100000003E-2</v>
      </c>
      <c r="E113" s="41">
        <v>10781448.88421982</v>
      </c>
    </row>
    <row r="114" spans="1:5">
      <c r="A114" s="40" t="s">
        <v>112</v>
      </c>
      <c r="B114" s="11" t="s">
        <v>113</v>
      </c>
      <c r="C114" s="86">
        <v>1270</v>
      </c>
      <c r="D114" s="34">
        <v>-4.1509433999999998E-2</v>
      </c>
      <c r="E114" s="41">
        <v>1433323.95203954</v>
      </c>
    </row>
    <row r="115" spans="1:5">
      <c r="A115" s="40"/>
      <c r="B115" s="11"/>
      <c r="C115" s="86"/>
      <c r="E115" s="41"/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B199" s="1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68"/>
    <col min="11" max="11" width="17.375" customWidth="1"/>
    <col min="12" max="12" width="17.5" bestFit="1" customWidth="1"/>
    <col min="14" max="14" width="9" style="68"/>
    <col min="15" max="15" width="17.375" customWidth="1"/>
    <col min="16" max="16" width="17.5" bestFit="1" customWidth="1"/>
    <col min="18" max="18" width="9" style="68"/>
  </cols>
  <sheetData>
    <row r="1" spans="1:18" ht="17.25" thickBot="1">
      <c r="A1" s="9" t="s">
        <v>247</v>
      </c>
      <c r="B1" s="64" t="s">
        <v>39</v>
      </c>
      <c r="C1" s="63" t="s">
        <v>37</v>
      </c>
      <c r="D1" s="65" t="s">
        <v>38</v>
      </c>
      <c r="E1" s="64" t="s">
        <v>254</v>
      </c>
    </row>
    <row r="2" spans="1:18" ht="17.25" thickBot="1">
      <c r="A2" s="40" t="s">
        <v>243</v>
      </c>
      <c r="B2" s="11" t="s">
        <v>244</v>
      </c>
      <c r="C2" s="86">
        <v>98.3</v>
      </c>
      <c r="D2" s="34">
        <v>4.4633368800000003E-2</v>
      </c>
      <c r="E2" s="84">
        <v>134595496.38277009</v>
      </c>
      <c r="F2" s="35"/>
      <c r="G2" s="50"/>
      <c r="H2" s="35"/>
      <c r="I2" s="35"/>
    </row>
    <row r="3" spans="1:18" ht="17.25" thickBot="1">
      <c r="A3" s="40" t="s">
        <v>188</v>
      </c>
      <c r="B3" s="11" t="s">
        <v>189</v>
      </c>
      <c r="C3" s="86">
        <v>991</v>
      </c>
      <c r="D3" s="34">
        <v>2.5879917200000001E-2</v>
      </c>
      <c r="E3" s="84">
        <v>14876565.788882511</v>
      </c>
      <c r="F3" s="35"/>
      <c r="G3" s="196" t="s">
        <v>250</v>
      </c>
      <c r="H3" s="208" t="s">
        <v>354</v>
      </c>
      <c r="I3" s="208"/>
      <c r="K3" s="135" t="s">
        <v>34</v>
      </c>
      <c r="L3" s="136"/>
      <c r="M3" s="136"/>
      <c r="N3" s="137"/>
      <c r="O3" s="135" t="s">
        <v>251</v>
      </c>
      <c r="P3" s="136"/>
      <c r="Q3" s="136"/>
      <c r="R3" s="137"/>
    </row>
    <row r="4" spans="1:18" ht="17.25" thickBot="1">
      <c r="A4" s="40" t="s">
        <v>345</v>
      </c>
      <c r="B4" s="11" t="s">
        <v>346</v>
      </c>
      <c r="C4" s="86">
        <v>389</v>
      </c>
      <c r="D4" s="34">
        <v>1.56657963E-2</v>
      </c>
      <c r="E4" s="84">
        <v>27436707.982599501</v>
      </c>
      <c r="F4" s="35"/>
      <c r="G4" s="197"/>
      <c r="H4" s="209"/>
      <c r="I4" s="209"/>
      <c r="K4" s="200" t="s">
        <v>54</v>
      </c>
      <c r="L4" s="212">
        <f ca="1">NOW()</f>
        <v>44921.6035962963</v>
      </c>
      <c r="M4" s="213"/>
      <c r="N4" s="214"/>
      <c r="O4" s="203" t="s">
        <v>54</v>
      </c>
      <c r="P4" s="212">
        <f ca="1">NOW()</f>
        <v>44921.6035962963</v>
      </c>
      <c r="Q4" s="213"/>
      <c r="R4" s="214"/>
    </row>
    <row r="5" spans="1:18" ht="17.25" thickBot="1">
      <c r="A5" s="40" t="s">
        <v>207</v>
      </c>
      <c r="B5" s="11" t="s">
        <v>208</v>
      </c>
      <c r="C5" s="86">
        <v>99.7</v>
      </c>
      <c r="D5" s="34">
        <v>1.5274949100000001E-2</v>
      </c>
      <c r="E5" s="84">
        <v>56035701.376791768</v>
      </c>
      <c r="F5" s="35"/>
      <c r="K5" s="197"/>
      <c r="L5" s="36" t="s">
        <v>57</v>
      </c>
      <c r="M5" s="36" t="s">
        <v>58</v>
      </c>
      <c r="N5" s="64" t="s">
        <v>254</v>
      </c>
      <c r="O5" s="152"/>
      <c r="P5" s="36" t="s">
        <v>57</v>
      </c>
      <c r="Q5" s="36" t="s">
        <v>58</v>
      </c>
      <c r="R5" s="64" t="s">
        <v>254</v>
      </c>
    </row>
    <row r="6" spans="1:18" ht="17.25" thickBot="1">
      <c r="A6" s="40" t="s">
        <v>115</v>
      </c>
      <c r="B6" s="11" t="s">
        <v>116</v>
      </c>
      <c r="C6" s="86">
        <v>967</v>
      </c>
      <c r="D6" s="34">
        <v>1.3626834399999999E-2</v>
      </c>
      <c r="E6" s="84">
        <v>8498172.6538582798</v>
      </c>
      <c r="F6" s="35"/>
      <c r="G6" s="135" t="s">
        <v>52</v>
      </c>
      <c r="H6" s="136"/>
      <c r="I6" s="137"/>
      <c r="K6" s="51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69" t="str">
        <f t="shared" ref="M6:M25" ca="1" si="1">_xlfn.IFNA(VLOOKUP(K6, $B$2:$D$200, 3, FALSE), "")</f>
        <v/>
      </c>
      <c r="N6" s="78" t="str">
        <f ca="1">_xlfn.IFNA(VLOOKUP(K6, $B$2:$E$200, 4, FALSE), "")</f>
        <v/>
      </c>
      <c r="O6" s="66" t="s">
        <v>244</v>
      </c>
      <c r="P6" s="38">
        <f t="shared" ref="P6:P25" si="2">_xlfn.IFNA(VLOOKUP(O6, $B$2:$D$200, 2, FALSE), "")</f>
        <v>98.3</v>
      </c>
      <c r="Q6" s="69">
        <f t="shared" ref="Q6:Q25" si="3">_xlfn.IFNA(VLOOKUP(O6, $B$2:$D$200, 3, FALSE), "")</f>
        <v>4.4633368800000003E-2</v>
      </c>
      <c r="R6" s="78">
        <f>_xlfn.IFNA(VLOOKUP(O6, $B$2:$E$200, 4, FALSE), "")</f>
        <v>134595496.38277009</v>
      </c>
    </row>
    <row r="7" spans="1:18">
      <c r="A7" s="40" t="s">
        <v>321</v>
      </c>
      <c r="B7" s="11" t="s">
        <v>322</v>
      </c>
      <c r="C7" s="86">
        <v>71480</v>
      </c>
      <c r="D7" s="34">
        <v>1.3469445599999999E-2</v>
      </c>
      <c r="E7" s="84">
        <v>7299.7465196499998</v>
      </c>
      <c r="F7" s="35"/>
      <c r="G7" s="144" t="s">
        <v>36</v>
      </c>
      <c r="H7" s="145"/>
      <c r="I7" s="146"/>
      <c r="K7" s="52">
        <f ca="1">IFERROR(OFFSET(INDIRECT($H$3 &amp; "!A17"), 1, 0), "")</f>
        <v>0</v>
      </c>
      <c r="L7" s="39" t="str">
        <f t="shared" ca="1" si="0"/>
        <v/>
      </c>
      <c r="M7" s="70" t="str">
        <f t="shared" ca="1" si="1"/>
        <v/>
      </c>
      <c r="N7" s="79" t="str">
        <f t="shared" ref="N7:N25" ca="1" si="4">_xlfn.IFNA(VLOOKUP(K7, $B$2:$E$200, 4, FALSE), "")</f>
        <v/>
      </c>
      <c r="O7" s="81" t="s">
        <v>189</v>
      </c>
      <c r="P7" s="39">
        <f t="shared" si="2"/>
        <v>991</v>
      </c>
      <c r="Q7" s="70">
        <f t="shared" si="3"/>
        <v>2.5879917200000001E-2</v>
      </c>
      <c r="R7" s="79">
        <f t="shared" ref="R7:R25" si="5">_xlfn.IFNA(VLOOKUP(O7, $B$2:$E$200, 4, FALSE), "")</f>
        <v>14876565.788882511</v>
      </c>
    </row>
    <row r="8" spans="1:18" ht="17.25" thickBot="1">
      <c r="A8" s="40" t="s">
        <v>319</v>
      </c>
      <c r="B8" s="11" t="s">
        <v>320</v>
      </c>
      <c r="C8" s="86">
        <v>1735</v>
      </c>
      <c r="D8" s="34">
        <v>5.7971014E-3</v>
      </c>
      <c r="E8" s="84">
        <v>309339.56093997997</v>
      </c>
      <c r="F8" s="35"/>
      <c r="G8" s="150"/>
      <c r="H8" s="151"/>
      <c r="I8" s="152"/>
      <c r="K8" s="52">
        <f ca="1">IFERROR(OFFSET(INDIRECT($H$3 &amp; "!A17"), 2, 0), "")</f>
        <v>0</v>
      </c>
      <c r="L8" s="39" t="str">
        <f t="shared" ca="1" si="0"/>
        <v/>
      </c>
      <c r="M8" s="70" t="str">
        <f t="shared" ca="1" si="1"/>
        <v/>
      </c>
      <c r="N8" s="79" t="str">
        <f t="shared" ca="1" si="4"/>
        <v/>
      </c>
      <c r="O8" s="81" t="s">
        <v>346</v>
      </c>
      <c r="P8" s="39">
        <f t="shared" si="2"/>
        <v>389</v>
      </c>
      <c r="Q8" s="70">
        <f t="shared" si="3"/>
        <v>1.56657963E-2</v>
      </c>
      <c r="R8" s="79">
        <f t="shared" si="5"/>
        <v>27436707.982599501</v>
      </c>
    </row>
    <row r="9" spans="1:18" ht="17.25" thickBot="1">
      <c r="A9" s="40" t="s">
        <v>323</v>
      </c>
      <c r="B9" s="11" t="s">
        <v>324</v>
      </c>
      <c r="C9" s="86">
        <v>1035</v>
      </c>
      <c r="D9" s="34">
        <v>4.8543689000000003E-3</v>
      </c>
      <c r="E9" s="84">
        <v>779508.32008176995</v>
      </c>
      <c r="F9" s="35"/>
      <c r="G9" s="9" t="s">
        <v>38</v>
      </c>
      <c r="H9" s="136" t="s">
        <v>37</v>
      </c>
      <c r="I9" s="137"/>
      <c r="K9" s="52">
        <f ca="1">IFERROR(OFFSET(INDIRECT($H$3 &amp; "!A17"), 3, 0), "")</f>
        <v>0</v>
      </c>
      <c r="L9" s="39" t="str">
        <f t="shared" ca="1" si="0"/>
        <v/>
      </c>
      <c r="M9" s="70" t="str">
        <f t="shared" ca="1" si="1"/>
        <v/>
      </c>
      <c r="N9" s="79" t="str">
        <f t="shared" ca="1" si="4"/>
        <v/>
      </c>
      <c r="O9" s="81" t="s">
        <v>208</v>
      </c>
      <c r="P9" s="39">
        <f t="shared" si="2"/>
        <v>99.7</v>
      </c>
      <c r="Q9" s="70">
        <f t="shared" si="3"/>
        <v>1.5274949100000001E-2</v>
      </c>
      <c r="R9" s="79">
        <f t="shared" si="5"/>
        <v>56035701.376791768</v>
      </c>
    </row>
    <row r="10" spans="1:18">
      <c r="A10" s="40" t="s">
        <v>59</v>
      </c>
      <c r="B10" s="11" t="s">
        <v>60</v>
      </c>
      <c r="C10" s="86">
        <v>426</v>
      </c>
      <c r="D10" s="34">
        <v>4.7169810999999999E-3</v>
      </c>
      <c r="E10" s="84">
        <v>4488717.7891908102</v>
      </c>
      <c r="F10" s="35"/>
      <c r="G10" s="210">
        <f>_xlfn.IFNA(VLOOKUP(G7, $B$2:$D$200, 3, FALSE), "-")</f>
        <v>-4.3024533E-3</v>
      </c>
      <c r="H10" s="204">
        <f>_xlfn.IFNA(VLOOKUP(G7, $B$2:$D$200, 2, FALSE), "-")</f>
        <v>21754000</v>
      </c>
      <c r="I10" s="205"/>
      <c r="K10" s="54">
        <f ca="1">IFERROR(OFFSET(INDIRECT($H$3 &amp; "!A17"), 4, 0), "")</f>
        <v>0</v>
      </c>
      <c r="L10" s="44" t="str">
        <f t="shared" ca="1" si="0"/>
        <v/>
      </c>
      <c r="M10" s="71" t="str">
        <f t="shared" ca="1" si="1"/>
        <v/>
      </c>
      <c r="N10" s="83" t="str">
        <f t="shared" ca="1" si="4"/>
        <v/>
      </c>
      <c r="O10" s="81" t="s">
        <v>116</v>
      </c>
      <c r="P10" s="39">
        <f t="shared" si="2"/>
        <v>967</v>
      </c>
      <c r="Q10" s="70">
        <f t="shared" si="3"/>
        <v>1.3626834399999999E-2</v>
      </c>
      <c r="R10" s="83">
        <f t="shared" si="5"/>
        <v>8498172.6538582798</v>
      </c>
    </row>
    <row r="11" spans="1:18" ht="17.25" thickBot="1">
      <c r="A11" s="40" t="s">
        <v>331</v>
      </c>
      <c r="B11" s="11" t="s">
        <v>332</v>
      </c>
      <c r="C11" s="86">
        <v>216</v>
      </c>
      <c r="D11" s="34">
        <v>4.6511627999999998E-3</v>
      </c>
      <c r="E11" s="84">
        <v>3643817.1534174802</v>
      </c>
      <c r="F11" s="35"/>
      <c r="G11" s="211"/>
      <c r="H11" s="206"/>
      <c r="I11" s="207"/>
      <c r="K11" s="52">
        <f ca="1">IFERROR(OFFSET(INDIRECT($H$3 &amp; "!A17"), 5, 0), "")</f>
        <v>0</v>
      </c>
      <c r="L11" s="39" t="str">
        <f t="shared" ca="1" si="0"/>
        <v/>
      </c>
      <c r="M11" s="70" t="str">
        <f t="shared" ca="1" si="1"/>
        <v/>
      </c>
      <c r="N11" s="89" t="str">
        <f t="shared" ca="1" si="4"/>
        <v/>
      </c>
      <c r="O11" s="82" t="s">
        <v>322</v>
      </c>
      <c r="P11" s="45">
        <f t="shared" si="2"/>
        <v>71480</v>
      </c>
      <c r="Q11" s="73">
        <f t="shared" si="3"/>
        <v>1.3469445599999999E-2</v>
      </c>
      <c r="R11" s="89">
        <f t="shared" si="5"/>
        <v>7299.7465196499998</v>
      </c>
    </row>
    <row r="12" spans="1:18" ht="17.25" thickBot="1">
      <c r="A12" s="40" t="s">
        <v>108</v>
      </c>
      <c r="B12" s="11" t="s">
        <v>109</v>
      </c>
      <c r="C12" s="86">
        <v>988</v>
      </c>
      <c r="D12" s="34">
        <v>4.0650406999999996E-3</v>
      </c>
      <c r="E12" s="84">
        <v>1004379.07224957</v>
      </c>
      <c r="F12" s="35"/>
      <c r="K12" s="52">
        <f ca="1">IFERROR(OFFSET(INDIRECT($H$3 &amp; "!A17"), 6, 0), "")</f>
        <v>0</v>
      </c>
      <c r="L12" s="39" t="str">
        <f t="shared" ca="1" si="0"/>
        <v/>
      </c>
      <c r="M12" s="70" t="str">
        <f t="shared" ca="1" si="1"/>
        <v/>
      </c>
      <c r="N12" s="79" t="str">
        <f t="shared" ca="1" si="4"/>
        <v/>
      </c>
      <c r="O12" s="81" t="s">
        <v>320</v>
      </c>
      <c r="P12" s="39">
        <f t="shared" si="2"/>
        <v>1735</v>
      </c>
      <c r="Q12" s="70">
        <f t="shared" si="3"/>
        <v>5.7971014E-3</v>
      </c>
      <c r="R12" s="79">
        <f t="shared" si="5"/>
        <v>309339.56093997997</v>
      </c>
    </row>
    <row r="13" spans="1:18" ht="17.25" thickBot="1">
      <c r="A13" s="40" t="s">
        <v>334</v>
      </c>
      <c r="B13" s="11" t="s">
        <v>335</v>
      </c>
      <c r="C13" s="86">
        <v>3.1E-2</v>
      </c>
      <c r="D13" s="34">
        <v>3.2362459999999999E-3</v>
      </c>
      <c r="E13" s="84">
        <v>18347136788.529423</v>
      </c>
      <c r="F13" s="35"/>
      <c r="G13" s="135" t="s">
        <v>69</v>
      </c>
      <c r="H13" s="136"/>
      <c r="I13" s="137"/>
      <c r="K13" s="52">
        <f ca="1">IFERROR(OFFSET(INDIRECT($H$3 &amp; "!A17"), 7, 0), "")</f>
        <v>0</v>
      </c>
      <c r="L13" s="39" t="str">
        <f t="shared" ca="1" si="0"/>
        <v/>
      </c>
      <c r="M13" s="70" t="str">
        <f t="shared" ca="1" si="1"/>
        <v/>
      </c>
      <c r="N13" s="79" t="str">
        <f t="shared" ca="1" si="4"/>
        <v/>
      </c>
      <c r="O13" s="81" t="s">
        <v>324</v>
      </c>
      <c r="P13" s="39">
        <f t="shared" si="2"/>
        <v>1035</v>
      </c>
      <c r="Q13" s="70">
        <f t="shared" si="3"/>
        <v>4.8543689000000003E-3</v>
      </c>
      <c r="R13" s="79">
        <f t="shared" si="5"/>
        <v>779508.32008176995</v>
      </c>
    </row>
    <row r="14" spans="1:18">
      <c r="A14" s="40" t="s">
        <v>88</v>
      </c>
      <c r="B14" s="11" t="s">
        <v>89</v>
      </c>
      <c r="C14" s="86">
        <v>450</v>
      </c>
      <c r="D14" s="34">
        <v>2.2271715000000002E-3</v>
      </c>
      <c r="E14" s="84">
        <v>24235125.323773611</v>
      </c>
      <c r="F14" s="35"/>
      <c r="G14" s="144" t="s">
        <v>36</v>
      </c>
      <c r="H14" s="145"/>
      <c r="I14" s="146"/>
      <c r="K14" s="52">
        <f ca="1">IFERROR(OFFSET(INDIRECT($H$3 &amp; "!A17"), 8, 0), "")</f>
        <v>0</v>
      </c>
      <c r="L14" s="39" t="str">
        <f t="shared" ca="1" si="0"/>
        <v/>
      </c>
      <c r="M14" s="70" t="str">
        <f t="shared" ca="1" si="1"/>
        <v/>
      </c>
      <c r="N14" s="79" t="str">
        <f t="shared" ca="1" si="4"/>
        <v/>
      </c>
      <c r="O14" s="81" t="s">
        <v>60</v>
      </c>
      <c r="P14" s="39">
        <f t="shared" si="2"/>
        <v>426</v>
      </c>
      <c r="Q14" s="70">
        <f t="shared" si="3"/>
        <v>4.7169810999999999E-3</v>
      </c>
      <c r="R14" s="79">
        <f t="shared" si="5"/>
        <v>4488717.7891908102</v>
      </c>
    </row>
    <row r="15" spans="1:18" ht="17.25" thickBot="1">
      <c r="A15" s="40" t="s">
        <v>343</v>
      </c>
      <c r="B15" s="11" t="s">
        <v>344</v>
      </c>
      <c r="C15" s="86">
        <v>4655</v>
      </c>
      <c r="D15" s="34">
        <v>1.0752687999999999E-3</v>
      </c>
      <c r="E15" s="84">
        <v>248678.07168073999</v>
      </c>
      <c r="F15" s="35"/>
      <c r="G15" s="150"/>
      <c r="H15" s="151"/>
      <c r="I15" s="152"/>
      <c r="K15" s="53">
        <f ca="1">IFERROR(OFFSET(INDIRECT($H$3 &amp; "!A17"), 9, 0), "")</f>
        <v>0</v>
      </c>
      <c r="L15" s="37" t="str">
        <f t="shared" ca="1" si="0"/>
        <v/>
      </c>
      <c r="M15" s="72" t="str">
        <f t="shared" ca="1" si="1"/>
        <v/>
      </c>
      <c r="N15" s="80" t="str">
        <f t="shared" ca="1" si="4"/>
        <v/>
      </c>
      <c r="O15" s="67" t="s">
        <v>332</v>
      </c>
      <c r="P15" s="37">
        <f t="shared" si="2"/>
        <v>216</v>
      </c>
      <c r="Q15" s="72">
        <f t="shared" si="3"/>
        <v>4.6511627999999998E-3</v>
      </c>
      <c r="R15" s="80">
        <f t="shared" si="5"/>
        <v>3643817.1534174802</v>
      </c>
    </row>
    <row r="16" spans="1:18" ht="17.25" thickBot="1">
      <c r="A16" s="40" t="s">
        <v>72</v>
      </c>
      <c r="B16" s="11" t="s">
        <v>73</v>
      </c>
      <c r="C16" s="86">
        <v>11720</v>
      </c>
      <c r="D16" s="34">
        <v>8.5397100000000003E-4</v>
      </c>
      <c r="E16" s="84">
        <v>43987.922923630002</v>
      </c>
      <c r="F16" s="35"/>
      <c r="G16" s="9" t="s">
        <v>38</v>
      </c>
      <c r="H16" s="136" t="s">
        <v>37</v>
      </c>
      <c r="I16" s="137"/>
      <c r="K16" s="51">
        <f ca="1">IFERROR(OFFSET(INDIRECT($H$3 &amp; "!A17"), 10, 0), "")</f>
        <v>0</v>
      </c>
      <c r="L16" s="38" t="str">
        <f t="shared" ca="1" si="0"/>
        <v/>
      </c>
      <c r="M16" s="69" t="str">
        <f t="shared" ca="1" si="1"/>
        <v/>
      </c>
      <c r="N16" s="78" t="str">
        <f t="shared" ca="1" si="4"/>
        <v/>
      </c>
      <c r="O16" s="66" t="s">
        <v>109</v>
      </c>
      <c r="P16" s="38">
        <f t="shared" si="2"/>
        <v>988</v>
      </c>
      <c r="Q16" s="69">
        <f t="shared" si="3"/>
        <v>4.0650406999999996E-3</v>
      </c>
      <c r="R16" s="78">
        <f t="shared" si="5"/>
        <v>1004379.07224957</v>
      </c>
    </row>
    <row r="17" spans="1:18">
      <c r="A17" s="40" t="s">
        <v>146</v>
      </c>
      <c r="B17" s="11" t="s">
        <v>147</v>
      </c>
      <c r="C17" s="86">
        <v>8940</v>
      </c>
      <c r="D17" s="34">
        <v>5.5959710000000004E-4</v>
      </c>
      <c r="E17" s="84">
        <v>338443.98222374998</v>
      </c>
      <c r="F17" s="35"/>
      <c r="G17" s="210">
        <f>_xlfn.IFNA(VLOOKUP(G14, $B$2:$D$200, 3, FALSE), "-")</f>
        <v>-4.3024533E-3</v>
      </c>
      <c r="H17" s="204">
        <f>_xlfn.IFNA(VLOOKUP(G14, $B$2:$D$200, 2, FALSE), "-")</f>
        <v>21754000</v>
      </c>
      <c r="I17" s="205"/>
      <c r="K17" s="52">
        <f ca="1">IFERROR(OFFSET(INDIRECT($H$3 &amp; "!A17"), 11, 0), "")</f>
        <v>0</v>
      </c>
      <c r="L17" s="39" t="str">
        <f t="shared" ca="1" si="0"/>
        <v/>
      </c>
      <c r="M17" s="70" t="str">
        <f t="shared" ca="1" si="1"/>
        <v/>
      </c>
      <c r="N17" s="79" t="str">
        <f t="shared" ca="1" si="4"/>
        <v/>
      </c>
      <c r="O17" s="81" t="s">
        <v>335</v>
      </c>
      <c r="P17" s="39">
        <f t="shared" si="2"/>
        <v>3.1E-2</v>
      </c>
      <c r="Q17" s="70">
        <f t="shared" si="3"/>
        <v>3.2362459999999999E-3</v>
      </c>
      <c r="R17" s="79">
        <f t="shared" si="5"/>
        <v>18347136788.529423</v>
      </c>
    </row>
    <row r="18" spans="1:18" ht="17.25" thickBot="1">
      <c r="A18" s="40" t="s">
        <v>80</v>
      </c>
      <c r="B18" s="11" t="s">
        <v>81</v>
      </c>
      <c r="C18" s="86">
        <v>336</v>
      </c>
      <c r="D18" s="34">
        <v>0</v>
      </c>
      <c r="E18" s="84">
        <v>3891983.3132037502</v>
      </c>
      <c r="F18" s="35"/>
      <c r="G18" s="211"/>
      <c r="H18" s="206"/>
      <c r="I18" s="207"/>
      <c r="K18" s="52">
        <f ca="1">IFERROR(OFFSET(INDIRECT($H$3 &amp; "!A17"), 12, 0), "")</f>
        <v>0</v>
      </c>
      <c r="L18" s="39" t="str">
        <f t="shared" ca="1" si="0"/>
        <v/>
      </c>
      <c r="M18" s="70" t="str">
        <f t="shared" ca="1" si="1"/>
        <v/>
      </c>
      <c r="N18" s="79" t="str">
        <f t="shared" ca="1" si="4"/>
        <v/>
      </c>
      <c r="O18" s="81" t="s">
        <v>89</v>
      </c>
      <c r="P18" s="39">
        <f t="shared" si="2"/>
        <v>450</v>
      </c>
      <c r="Q18" s="70">
        <f t="shared" si="3"/>
        <v>2.2271715000000002E-3</v>
      </c>
      <c r="R18" s="79">
        <f t="shared" si="5"/>
        <v>24235125.323773611</v>
      </c>
    </row>
    <row r="19" spans="1:18" ht="17.25" thickBot="1">
      <c r="A19" s="40" t="s">
        <v>102</v>
      </c>
      <c r="B19" s="11" t="s">
        <v>103</v>
      </c>
      <c r="C19" s="86">
        <v>213</v>
      </c>
      <c r="D19" s="34">
        <v>0</v>
      </c>
      <c r="E19" s="84">
        <v>891378.59432773001</v>
      </c>
      <c r="F19" s="35"/>
      <c r="K19" s="52">
        <f ca="1">IFERROR(OFFSET(INDIRECT($H$3 &amp; "!A17"), 13, 0), "")</f>
        <v>0</v>
      </c>
      <c r="L19" s="39" t="str">
        <f t="shared" ca="1" si="0"/>
        <v/>
      </c>
      <c r="M19" s="70" t="str">
        <f t="shared" ca="1" si="1"/>
        <v/>
      </c>
      <c r="N19" s="79" t="str">
        <f t="shared" ca="1" si="4"/>
        <v/>
      </c>
      <c r="O19" s="81" t="s">
        <v>344</v>
      </c>
      <c r="P19" s="39">
        <f t="shared" si="2"/>
        <v>4655</v>
      </c>
      <c r="Q19" s="70">
        <f t="shared" si="3"/>
        <v>1.0752687999999999E-3</v>
      </c>
      <c r="R19" s="79">
        <f t="shared" si="5"/>
        <v>248678.07168073999</v>
      </c>
    </row>
    <row r="20" spans="1:18" ht="17.25" thickBot="1">
      <c r="A20" s="40" t="s">
        <v>96</v>
      </c>
      <c r="B20" s="11" t="s">
        <v>97</v>
      </c>
      <c r="C20" s="86">
        <v>8.0000000000000004E-4</v>
      </c>
      <c r="D20" s="34">
        <v>0</v>
      </c>
      <c r="E20" s="84">
        <v>106403438838.9689</v>
      </c>
      <c r="F20" s="35"/>
      <c r="G20" s="135" t="s">
        <v>246</v>
      </c>
      <c r="H20" s="136"/>
      <c r="I20" s="137"/>
      <c r="K20" s="54">
        <f ca="1">IFERROR(OFFSET(INDIRECT($H$3 &amp; "!A17"), 14, 0), "")</f>
        <v>0</v>
      </c>
      <c r="L20" s="44" t="str">
        <f t="shared" ca="1" si="0"/>
        <v/>
      </c>
      <c r="M20" s="71" t="str">
        <f t="shared" ca="1" si="1"/>
        <v/>
      </c>
      <c r="N20" s="83" t="str">
        <f t="shared" ca="1" si="4"/>
        <v/>
      </c>
      <c r="O20" s="81" t="s">
        <v>73</v>
      </c>
      <c r="P20" s="39">
        <f t="shared" si="2"/>
        <v>11720</v>
      </c>
      <c r="Q20" s="70">
        <f t="shared" si="3"/>
        <v>8.5397100000000003E-4</v>
      </c>
      <c r="R20" s="83">
        <f t="shared" si="5"/>
        <v>43987.922923630002</v>
      </c>
    </row>
    <row r="21" spans="1:18">
      <c r="A21" s="40" t="s">
        <v>148</v>
      </c>
      <c r="B21" s="11" t="s">
        <v>149</v>
      </c>
      <c r="C21" s="86">
        <v>338</v>
      </c>
      <c r="D21" s="34">
        <v>0</v>
      </c>
      <c r="E21" s="84">
        <v>340783.62337627</v>
      </c>
      <c r="F21" s="35"/>
      <c r="G21" s="144" t="s">
        <v>36</v>
      </c>
      <c r="H21" s="145"/>
      <c r="I21" s="146"/>
      <c r="K21" s="52">
        <f ca="1">IFERROR(OFFSET(INDIRECT($H$3 &amp; "!A17"), 15, 0), "")</f>
        <v>0</v>
      </c>
      <c r="L21" s="39" t="str">
        <f t="shared" ca="1" si="0"/>
        <v/>
      </c>
      <c r="M21" s="70" t="str">
        <f t="shared" ca="1" si="1"/>
        <v/>
      </c>
      <c r="N21" s="89" t="str">
        <f t="shared" ca="1" si="4"/>
        <v/>
      </c>
      <c r="O21" s="82" t="s">
        <v>147</v>
      </c>
      <c r="P21" s="45">
        <f t="shared" si="2"/>
        <v>8940</v>
      </c>
      <c r="Q21" s="73">
        <f t="shared" si="3"/>
        <v>5.5959710000000004E-4</v>
      </c>
      <c r="R21" s="89">
        <f t="shared" si="5"/>
        <v>338443.98222374998</v>
      </c>
    </row>
    <row r="22" spans="1:18" ht="17.25" thickBot="1">
      <c r="A22" s="40" t="s">
        <v>182</v>
      </c>
      <c r="B22" s="11" t="s">
        <v>183</v>
      </c>
      <c r="C22" s="86">
        <v>126</v>
      </c>
      <c r="D22" s="34">
        <v>0</v>
      </c>
      <c r="E22" s="84">
        <v>5249743.2174456902</v>
      </c>
      <c r="F22" s="35"/>
      <c r="G22" s="150"/>
      <c r="H22" s="151"/>
      <c r="I22" s="152"/>
      <c r="K22" s="52">
        <f ca="1">IFERROR(OFFSET(INDIRECT($H$3 &amp; "!A17"), 16, 0), "")</f>
        <v>0</v>
      </c>
      <c r="L22" s="39" t="str">
        <f t="shared" ca="1" si="0"/>
        <v/>
      </c>
      <c r="M22" s="70" t="str">
        <f t="shared" ca="1" si="1"/>
        <v/>
      </c>
      <c r="N22" s="79" t="str">
        <f t="shared" ca="1" si="4"/>
        <v/>
      </c>
      <c r="O22" s="81" t="s">
        <v>81</v>
      </c>
      <c r="P22" s="39">
        <f t="shared" si="2"/>
        <v>336</v>
      </c>
      <c r="Q22" s="70">
        <f t="shared" si="3"/>
        <v>0</v>
      </c>
      <c r="R22" s="79">
        <f t="shared" si="5"/>
        <v>3891983.3132037502</v>
      </c>
    </row>
    <row r="23" spans="1:18" ht="17.25" thickBot="1">
      <c r="A23" s="40" t="s">
        <v>84</v>
      </c>
      <c r="B23" s="11" t="s">
        <v>85</v>
      </c>
      <c r="C23" s="86">
        <v>143</v>
      </c>
      <c r="D23" s="34">
        <v>0</v>
      </c>
      <c r="E23" s="84">
        <v>8019595.9069624804</v>
      </c>
      <c r="F23" s="35"/>
      <c r="G23" s="9" t="s">
        <v>38</v>
      </c>
      <c r="H23" s="136" t="s">
        <v>37</v>
      </c>
      <c r="I23" s="137"/>
      <c r="K23" s="52">
        <f ca="1">IFERROR(OFFSET(INDIRECT($H$3 &amp; "!A17"), 17, 0), "")</f>
        <v>0</v>
      </c>
      <c r="L23" s="39" t="str">
        <f t="shared" ca="1" si="0"/>
        <v/>
      </c>
      <c r="M23" s="70" t="str">
        <f t="shared" ca="1" si="1"/>
        <v/>
      </c>
      <c r="N23" s="79" t="str">
        <f t="shared" ca="1" si="4"/>
        <v/>
      </c>
      <c r="O23" s="81" t="s">
        <v>103</v>
      </c>
      <c r="P23" s="39">
        <f t="shared" si="2"/>
        <v>213</v>
      </c>
      <c r="Q23" s="70">
        <f t="shared" si="3"/>
        <v>0</v>
      </c>
      <c r="R23" s="79">
        <f t="shared" si="5"/>
        <v>891378.59432773001</v>
      </c>
    </row>
    <row r="24" spans="1:18">
      <c r="A24" s="40" t="s">
        <v>94</v>
      </c>
      <c r="B24" s="11" t="s">
        <v>95</v>
      </c>
      <c r="C24" s="86">
        <v>1015</v>
      </c>
      <c r="D24" s="34">
        <v>0</v>
      </c>
      <c r="E24" s="84">
        <v>148879.00804898</v>
      </c>
      <c r="F24" s="35"/>
      <c r="G24" s="210">
        <f>_xlfn.IFNA(VLOOKUP(G21, $B$2:$D$200, 3, FALSE), "-")</f>
        <v>-4.3024533E-3</v>
      </c>
      <c r="H24" s="204">
        <f>_xlfn.IFNA(VLOOKUP(G21, $B$2:$D$200, 2, FALSE), "-")</f>
        <v>21754000</v>
      </c>
      <c r="I24" s="205"/>
      <c r="K24" s="52">
        <f ca="1">IFERROR(OFFSET(INDIRECT($H$3 &amp; "!A17"), 18, 0), "")</f>
        <v>0</v>
      </c>
      <c r="L24" s="39" t="str">
        <f t="shared" ca="1" si="0"/>
        <v/>
      </c>
      <c r="M24" s="70" t="str">
        <f t="shared" ca="1" si="1"/>
        <v/>
      </c>
      <c r="N24" s="79" t="str">
        <f t="shared" ca="1" si="4"/>
        <v/>
      </c>
      <c r="O24" s="81" t="s">
        <v>97</v>
      </c>
      <c r="P24" s="39">
        <f t="shared" si="2"/>
        <v>8.0000000000000004E-4</v>
      </c>
      <c r="Q24" s="70">
        <f t="shared" si="3"/>
        <v>0</v>
      </c>
      <c r="R24" s="79">
        <f t="shared" si="5"/>
        <v>106403438838.9689</v>
      </c>
    </row>
    <row r="25" spans="1:18" ht="17.25" thickBot="1">
      <c r="A25" s="40" t="s">
        <v>139</v>
      </c>
      <c r="B25" s="11" t="s">
        <v>337</v>
      </c>
      <c r="C25" s="86">
        <v>273</v>
      </c>
      <c r="D25" s="34">
        <v>0</v>
      </c>
      <c r="E25" s="84">
        <v>923312.93830448005</v>
      </c>
      <c r="F25" s="35"/>
      <c r="G25" s="211"/>
      <c r="H25" s="206"/>
      <c r="I25" s="207"/>
      <c r="K25" s="53">
        <f ca="1">IFERROR(OFFSET(INDIRECT($H$3 &amp; "!A17"), 19, 0), "")</f>
        <v>0</v>
      </c>
      <c r="L25" s="37" t="str">
        <f t="shared" ca="1" si="0"/>
        <v/>
      </c>
      <c r="M25" s="72" t="str">
        <f t="shared" ca="1" si="1"/>
        <v/>
      </c>
      <c r="N25" s="80" t="str">
        <f t="shared" ca="1" si="4"/>
        <v/>
      </c>
      <c r="O25" s="67" t="s">
        <v>149</v>
      </c>
      <c r="P25" s="37">
        <f t="shared" si="2"/>
        <v>338</v>
      </c>
      <c r="Q25" s="72">
        <f t="shared" si="3"/>
        <v>0</v>
      </c>
      <c r="R25" s="80">
        <f t="shared" si="5"/>
        <v>340783.62337627</v>
      </c>
    </row>
    <row r="26" spans="1:18">
      <c r="A26" s="40" t="s">
        <v>53</v>
      </c>
      <c r="B26" s="11" t="s">
        <v>333</v>
      </c>
      <c r="C26" s="86">
        <v>56.4</v>
      </c>
      <c r="D26" s="34">
        <v>-1.7699115000000001E-3</v>
      </c>
      <c r="E26" s="84">
        <v>7370073.2503654901</v>
      </c>
      <c r="F26" s="35"/>
    </row>
    <row r="27" spans="1:18" ht="17.25" thickBot="1">
      <c r="A27" s="40" t="s">
        <v>140</v>
      </c>
      <c r="B27" s="11" t="s">
        <v>141</v>
      </c>
      <c r="C27" s="86">
        <v>3.06</v>
      </c>
      <c r="D27" s="34">
        <v>-3.2573290000000002E-3</v>
      </c>
      <c r="E27" s="84">
        <v>80971815.945856959</v>
      </c>
      <c r="F27" s="35"/>
    </row>
    <row r="28" spans="1:18" ht="17.25" thickBot="1">
      <c r="A28" s="40" t="s">
        <v>63</v>
      </c>
      <c r="B28" s="11" t="s">
        <v>64</v>
      </c>
      <c r="C28" s="86">
        <v>9.18</v>
      </c>
      <c r="D28" s="34">
        <v>-3.2573290000000002E-3</v>
      </c>
      <c r="E28" s="84">
        <v>12458762.088529021</v>
      </c>
      <c r="F28" s="35"/>
      <c r="G28" s="135" t="s">
        <v>46</v>
      </c>
      <c r="H28" s="136"/>
      <c r="I28" s="136"/>
      <c r="J28" s="137"/>
      <c r="K28" s="135" t="s">
        <v>44</v>
      </c>
      <c r="L28" s="136"/>
      <c r="M28" s="136"/>
      <c r="N28" s="137"/>
      <c r="O28" s="135" t="s">
        <v>45</v>
      </c>
      <c r="P28" s="136"/>
      <c r="Q28" s="136"/>
      <c r="R28" s="137"/>
    </row>
    <row r="29" spans="1:18" ht="17.25" thickBot="1">
      <c r="A29" s="40" t="s">
        <v>110</v>
      </c>
      <c r="B29" s="11" t="s">
        <v>111</v>
      </c>
      <c r="C29" s="86">
        <v>572</v>
      </c>
      <c r="D29" s="34">
        <v>-3.4843206000000002E-3</v>
      </c>
      <c r="E29" s="84">
        <v>2634254.5607311199</v>
      </c>
      <c r="F29" s="35"/>
      <c r="G29" s="200" t="s">
        <v>54</v>
      </c>
      <c r="H29" s="212">
        <f ca="1">NOW()</f>
        <v>44921.6035962963</v>
      </c>
      <c r="I29" s="213"/>
      <c r="J29" s="214"/>
      <c r="K29" s="203" t="s">
        <v>54</v>
      </c>
      <c r="L29" s="212">
        <f ca="1">NOW()</f>
        <v>44921.6035962963</v>
      </c>
      <c r="M29" s="213"/>
      <c r="N29" s="214"/>
      <c r="O29" s="203" t="s">
        <v>54</v>
      </c>
      <c r="P29" s="212">
        <f ca="1">NOW()</f>
        <v>44921.6035962963</v>
      </c>
      <c r="Q29" s="213"/>
      <c r="R29" s="214"/>
    </row>
    <row r="30" spans="1:18" ht="17.25" thickBot="1">
      <c r="A30" s="40" t="s">
        <v>61</v>
      </c>
      <c r="B30" s="11" t="s">
        <v>62</v>
      </c>
      <c r="C30" s="86">
        <v>8100</v>
      </c>
      <c r="D30" s="34">
        <v>-3.6900369000000001E-3</v>
      </c>
      <c r="E30" s="84">
        <v>51798.638876969999</v>
      </c>
      <c r="F30" s="35"/>
      <c r="G30" s="197"/>
      <c r="H30" s="36" t="s">
        <v>57</v>
      </c>
      <c r="I30" s="36" t="s">
        <v>58</v>
      </c>
      <c r="J30" s="64" t="s">
        <v>254</v>
      </c>
      <c r="K30" s="152"/>
      <c r="L30" s="36" t="s">
        <v>57</v>
      </c>
      <c r="M30" s="36" t="s">
        <v>58</v>
      </c>
      <c r="N30" s="64" t="s">
        <v>254</v>
      </c>
      <c r="O30" s="152"/>
      <c r="P30" s="36" t="s">
        <v>57</v>
      </c>
      <c r="Q30" s="36" t="s">
        <v>58</v>
      </c>
      <c r="R30" s="64" t="s">
        <v>254</v>
      </c>
    </row>
    <row r="31" spans="1:18">
      <c r="A31" s="40" t="s">
        <v>339</v>
      </c>
      <c r="B31" s="11" t="s">
        <v>340</v>
      </c>
      <c r="C31" s="86">
        <v>514</v>
      </c>
      <c r="D31" s="34">
        <v>-3.8759689999999999E-3</v>
      </c>
      <c r="E31" s="84">
        <v>212265.91099005999</v>
      </c>
      <c r="F31" s="35"/>
      <c r="G31" s="46" t="s">
        <v>244</v>
      </c>
      <c r="H31" s="38">
        <f t="shared" ref="H31:H50" si="6">_xlfn.IFNA(VLOOKUP(G31, $B$2:$D$200, 2, FALSE), "")</f>
        <v>98.3</v>
      </c>
      <c r="I31" s="69">
        <f t="shared" ref="I31:I50" si="7">_xlfn.IFNA(VLOOKUP(G31, $B$2:$D$200, 3, FALSE), "")</f>
        <v>4.4633368800000003E-2</v>
      </c>
      <c r="J31" s="78">
        <f>_xlfn.IFNA(VLOOKUP(G31, $B$2:$E$200, 4, FALSE), "")</f>
        <v>134595496.38277009</v>
      </c>
      <c r="K31" s="74" t="s">
        <v>244</v>
      </c>
      <c r="L31" s="38">
        <f t="shared" ref="L31:L50" si="8">_xlfn.IFNA(VLOOKUP(K31, $B$2:$D$200, 2, FALSE), "")</f>
        <v>98.3</v>
      </c>
      <c r="M31" s="69">
        <f t="shared" ref="M31:M50" si="9">_xlfn.IFNA(VLOOKUP(K31, $B$2:$D$200, 3, FALSE), "")</f>
        <v>4.4633368800000003E-2</v>
      </c>
      <c r="N31" s="78">
        <f>_xlfn.IFNA(VLOOKUP(K31, $B$2:$E$200, 4, FALSE), "")</f>
        <v>134595496.38277009</v>
      </c>
      <c r="O31" s="74" t="s">
        <v>189</v>
      </c>
      <c r="P31" s="38">
        <f t="shared" ref="P31:P50" si="10">_xlfn.IFNA(VLOOKUP(O31, $B$2:$D$200, 2, FALSE), "")</f>
        <v>991</v>
      </c>
      <c r="Q31" s="69">
        <f t="shared" ref="Q31:Q50" si="11">_xlfn.IFNA(VLOOKUP(O31, $B$2:$D$200, 3, FALSE), "")</f>
        <v>2.5879917200000001E-2</v>
      </c>
      <c r="R31" s="78">
        <f>_xlfn.IFNA(VLOOKUP(O31, $B$2:$E$200, 4, FALSE), "")</f>
        <v>14876565.788882511</v>
      </c>
    </row>
    <row r="32" spans="1:18">
      <c r="A32" s="40" t="s">
        <v>171</v>
      </c>
      <c r="B32" s="11" t="s">
        <v>172</v>
      </c>
      <c r="C32" s="86">
        <v>2540</v>
      </c>
      <c r="D32" s="34">
        <v>-3.9215685999999996E-3</v>
      </c>
      <c r="E32" s="84">
        <v>63741.512902930001</v>
      </c>
      <c r="F32" s="35"/>
      <c r="G32" s="47" t="s">
        <v>189</v>
      </c>
      <c r="H32" s="39">
        <f t="shared" si="6"/>
        <v>991</v>
      </c>
      <c r="I32" s="70">
        <f t="shared" si="7"/>
        <v>2.5879917200000001E-2</v>
      </c>
      <c r="J32" s="79">
        <f t="shared" ref="J32:J50" si="12">_xlfn.IFNA(VLOOKUP(G32, $B$2:$E$200, 4, FALSE), "")</f>
        <v>14876565.788882511</v>
      </c>
      <c r="K32" s="75" t="s">
        <v>208</v>
      </c>
      <c r="L32" s="39">
        <f t="shared" si="8"/>
        <v>99.7</v>
      </c>
      <c r="M32" s="70">
        <f t="shared" si="9"/>
        <v>1.5274949100000001E-2</v>
      </c>
      <c r="N32" s="79">
        <f t="shared" ref="N32:N50" si="13">_xlfn.IFNA(VLOOKUP(K32, $B$2:$E$200, 4, FALSE), "")</f>
        <v>56035701.376791768</v>
      </c>
      <c r="O32" s="75" t="s">
        <v>346</v>
      </c>
      <c r="P32" s="39">
        <f t="shared" si="10"/>
        <v>389</v>
      </c>
      <c r="Q32" s="70">
        <f t="shared" si="11"/>
        <v>1.56657963E-2</v>
      </c>
      <c r="R32" s="79">
        <f t="shared" ref="R32:R50" si="14">_xlfn.IFNA(VLOOKUP(O32, $B$2:$E$200, 4, FALSE), "")</f>
        <v>27436707.982599501</v>
      </c>
    </row>
    <row r="33" spans="1:18">
      <c r="A33" s="40" t="s">
        <v>327</v>
      </c>
      <c r="B33" s="11" t="s">
        <v>328</v>
      </c>
      <c r="C33" s="86">
        <v>15090</v>
      </c>
      <c r="D33" s="34">
        <v>-3.9603959999999997E-3</v>
      </c>
      <c r="E33" s="84">
        <v>18799.19609546</v>
      </c>
      <c r="F33" s="35"/>
      <c r="G33" s="47" t="s">
        <v>346</v>
      </c>
      <c r="H33" s="39">
        <f t="shared" si="6"/>
        <v>389</v>
      </c>
      <c r="I33" s="70">
        <f t="shared" si="7"/>
        <v>1.56657963E-2</v>
      </c>
      <c r="J33" s="79">
        <f t="shared" si="12"/>
        <v>27436707.982599501</v>
      </c>
      <c r="K33" s="75" t="s">
        <v>335</v>
      </c>
      <c r="L33" s="39">
        <f t="shared" si="8"/>
        <v>3.1E-2</v>
      </c>
      <c r="M33" s="70">
        <f t="shared" si="9"/>
        <v>3.2362459999999999E-3</v>
      </c>
      <c r="N33" s="79">
        <f t="shared" si="13"/>
        <v>18347136788.529423</v>
      </c>
      <c r="O33" s="75" t="s">
        <v>116</v>
      </c>
      <c r="P33" s="39">
        <f t="shared" si="10"/>
        <v>967</v>
      </c>
      <c r="Q33" s="70">
        <f t="shared" si="11"/>
        <v>1.3626834399999999E-2</v>
      </c>
      <c r="R33" s="79">
        <f t="shared" si="14"/>
        <v>8498172.6538582798</v>
      </c>
    </row>
    <row r="34" spans="1:18">
      <c r="A34" s="40" t="s">
        <v>78</v>
      </c>
      <c r="B34" s="11" t="s">
        <v>79</v>
      </c>
      <c r="C34" s="86">
        <v>240</v>
      </c>
      <c r="D34" s="34">
        <v>-4.1493776000000003E-3</v>
      </c>
      <c r="E34" s="84">
        <v>668310.00900685997</v>
      </c>
      <c r="F34" s="35"/>
      <c r="G34" s="47" t="s">
        <v>208</v>
      </c>
      <c r="H34" s="39">
        <f t="shared" si="6"/>
        <v>99.7</v>
      </c>
      <c r="I34" s="70">
        <f t="shared" si="7"/>
        <v>1.5274949100000001E-2</v>
      </c>
      <c r="J34" s="79">
        <f t="shared" si="12"/>
        <v>56035701.376791768</v>
      </c>
      <c r="K34" s="75" t="s">
        <v>97</v>
      </c>
      <c r="L34" s="39">
        <f t="shared" si="8"/>
        <v>8.0000000000000004E-4</v>
      </c>
      <c r="M34" s="70">
        <f t="shared" si="9"/>
        <v>0</v>
      </c>
      <c r="N34" s="79">
        <f t="shared" si="13"/>
        <v>106403438838.9689</v>
      </c>
      <c r="O34" s="75" t="s">
        <v>60</v>
      </c>
      <c r="P34" s="39">
        <f t="shared" si="10"/>
        <v>426</v>
      </c>
      <c r="Q34" s="70">
        <f t="shared" si="11"/>
        <v>4.7169810999999999E-3</v>
      </c>
      <c r="R34" s="79">
        <f t="shared" si="14"/>
        <v>4488717.7891908102</v>
      </c>
    </row>
    <row r="35" spans="1:18">
      <c r="A35" s="40" t="s">
        <v>48</v>
      </c>
      <c r="B35" s="11" t="s">
        <v>49</v>
      </c>
      <c r="C35" s="86">
        <v>21754000</v>
      </c>
      <c r="D35" s="34">
        <v>-4.3024533E-3</v>
      </c>
      <c r="E35" s="84">
        <v>813.90447863999998</v>
      </c>
      <c r="F35" s="35"/>
      <c r="G35" s="47" t="s">
        <v>116</v>
      </c>
      <c r="H35" s="44">
        <f t="shared" si="6"/>
        <v>967</v>
      </c>
      <c r="I35" s="71">
        <f t="shared" si="7"/>
        <v>1.3626834399999999E-2</v>
      </c>
      <c r="J35" s="83">
        <f t="shared" si="12"/>
        <v>8498172.6538582798</v>
      </c>
      <c r="K35" s="76" t="s">
        <v>333</v>
      </c>
      <c r="L35" s="44">
        <f t="shared" si="8"/>
        <v>56.4</v>
      </c>
      <c r="M35" s="71">
        <f t="shared" si="9"/>
        <v>-1.7699115000000001E-3</v>
      </c>
      <c r="N35" s="83">
        <f t="shared" si="13"/>
        <v>7370073.2503654901</v>
      </c>
      <c r="O35" s="76" t="s">
        <v>332</v>
      </c>
      <c r="P35" s="44">
        <f t="shared" si="10"/>
        <v>216</v>
      </c>
      <c r="Q35" s="71">
        <f t="shared" si="11"/>
        <v>4.6511627999999998E-3</v>
      </c>
      <c r="R35" s="83">
        <f t="shared" si="14"/>
        <v>3643817.1534174802</v>
      </c>
    </row>
    <row r="36" spans="1:18">
      <c r="A36" s="40" t="s">
        <v>125</v>
      </c>
      <c r="B36" s="11" t="s">
        <v>126</v>
      </c>
      <c r="C36" s="86">
        <v>22.7</v>
      </c>
      <c r="D36" s="34">
        <v>-4.3859648999999999E-3</v>
      </c>
      <c r="E36" s="84">
        <v>13764704.834657529</v>
      </c>
      <c r="F36" s="35"/>
      <c r="G36" s="49" t="s">
        <v>322</v>
      </c>
      <c r="H36" s="39">
        <f t="shared" si="6"/>
        <v>71480</v>
      </c>
      <c r="I36" s="70">
        <f t="shared" si="7"/>
        <v>1.3469445599999999E-2</v>
      </c>
      <c r="J36" s="89">
        <f t="shared" si="12"/>
        <v>7299.7465196499998</v>
      </c>
      <c r="K36" s="75" t="s">
        <v>141</v>
      </c>
      <c r="L36" s="39">
        <f t="shared" si="8"/>
        <v>3.06</v>
      </c>
      <c r="M36" s="70">
        <f t="shared" si="9"/>
        <v>-3.2573290000000002E-3</v>
      </c>
      <c r="N36" s="89">
        <f t="shared" si="13"/>
        <v>80971815.945856959</v>
      </c>
      <c r="O36" s="75" t="s">
        <v>109</v>
      </c>
      <c r="P36" s="39">
        <f t="shared" si="10"/>
        <v>988</v>
      </c>
      <c r="Q36" s="70">
        <f t="shared" si="11"/>
        <v>4.0650406999999996E-3</v>
      </c>
      <c r="R36" s="89">
        <f t="shared" si="14"/>
        <v>1004379.07224957</v>
      </c>
    </row>
    <row r="37" spans="1:18">
      <c r="A37" s="40" t="s">
        <v>82</v>
      </c>
      <c r="B37" s="11" t="s">
        <v>83</v>
      </c>
      <c r="C37" s="86">
        <v>1130</v>
      </c>
      <c r="D37" s="34">
        <v>-4.4052863000000001E-3</v>
      </c>
      <c r="E37" s="84">
        <v>715784.59903497004</v>
      </c>
      <c r="F37" s="35"/>
      <c r="G37" s="47" t="s">
        <v>320</v>
      </c>
      <c r="H37" s="39">
        <f t="shared" si="6"/>
        <v>1735</v>
      </c>
      <c r="I37" s="70">
        <f t="shared" si="7"/>
        <v>5.7971014E-3</v>
      </c>
      <c r="J37" s="79">
        <f t="shared" si="12"/>
        <v>309339.56093997997</v>
      </c>
      <c r="K37" s="75" t="s">
        <v>64</v>
      </c>
      <c r="L37" s="39">
        <f t="shared" si="8"/>
        <v>9.18</v>
      </c>
      <c r="M37" s="70">
        <f t="shared" si="9"/>
        <v>-3.2573290000000002E-3</v>
      </c>
      <c r="N37" s="79">
        <f t="shared" si="13"/>
        <v>12458762.088529021</v>
      </c>
      <c r="O37" s="75" t="s">
        <v>89</v>
      </c>
      <c r="P37" s="39">
        <f t="shared" si="10"/>
        <v>450</v>
      </c>
      <c r="Q37" s="70">
        <f t="shared" si="11"/>
        <v>2.2271715000000002E-3</v>
      </c>
      <c r="R37" s="79">
        <f t="shared" si="14"/>
        <v>24235125.323773611</v>
      </c>
    </row>
    <row r="38" spans="1:18">
      <c r="A38" s="40" t="s">
        <v>137</v>
      </c>
      <c r="B38" s="11" t="s">
        <v>138</v>
      </c>
      <c r="C38" s="86">
        <v>22.3</v>
      </c>
      <c r="D38" s="34">
        <v>-4.4642856999999999E-3</v>
      </c>
      <c r="E38" s="84">
        <v>10052082.04234487</v>
      </c>
      <c r="F38" s="35"/>
      <c r="G38" s="47" t="s">
        <v>324</v>
      </c>
      <c r="H38" s="39">
        <f t="shared" si="6"/>
        <v>1035</v>
      </c>
      <c r="I38" s="70">
        <f t="shared" si="7"/>
        <v>4.8543689000000003E-3</v>
      </c>
      <c r="J38" s="79">
        <f t="shared" si="12"/>
        <v>779508.32008176995</v>
      </c>
      <c r="K38" s="75" t="s">
        <v>126</v>
      </c>
      <c r="L38" s="39">
        <f t="shared" si="8"/>
        <v>22.7</v>
      </c>
      <c r="M38" s="70">
        <f t="shared" si="9"/>
        <v>-4.3859648999999999E-3</v>
      </c>
      <c r="N38" s="79">
        <f t="shared" si="13"/>
        <v>13764704.834657529</v>
      </c>
      <c r="O38" s="75" t="s">
        <v>81</v>
      </c>
      <c r="P38" s="39">
        <f t="shared" si="10"/>
        <v>336</v>
      </c>
      <c r="Q38" s="70">
        <f t="shared" si="11"/>
        <v>0</v>
      </c>
      <c r="R38" s="79">
        <f t="shared" si="14"/>
        <v>3891983.3132037502</v>
      </c>
    </row>
    <row r="39" spans="1:18">
      <c r="A39" s="40" t="s">
        <v>92</v>
      </c>
      <c r="B39" s="11" t="s">
        <v>93</v>
      </c>
      <c r="C39" s="86">
        <v>1573000</v>
      </c>
      <c r="D39" s="34">
        <v>-4.7453338000000003E-3</v>
      </c>
      <c r="E39" s="84">
        <v>3608.0725100999998</v>
      </c>
      <c r="F39" s="35"/>
      <c r="G39" s="47" t="s">
        <v>60</v>
      </c>
      <c r="H39" s="39">
        <f t="shared" si="6"/>
        <v>426</v>
      </c>
      <c r="I39" s="70">
        <f t="shared" si="7"/>
        <v>4.7169810999999999E-3</v>
      </c>
      <c r="J39" s="79">
        <f t="shared" si="12"/>
        <v>4488717.7891908102</v>
      </c>
      <c r="K39" s="75" t="s">
        <v>138</v>
      </c>
      <c r="L39" s="39">
        <f t="shared" si="8"/>
        <v>22.3</v>
      </c>
      <c r="M39" s="70">
        <f t="shared" si="9"/>
        <v>-4.4642856999999999E-3</v>
      </c>
      <c r="N39" s="79">
        <f t="shared" si="13"/>
        <v>10052082.04234487</v>
      </c>
      <c r="O39" s="75" t="s">
        <v>103</v>
      </c>
      <c r="P39" s="39">
        <f t="shared" si="10"/>
        <v>213</v>
      </c>
      <c r="Q39" s="70">
        <f t="shared" si="11"/>
        <v>0</v>
      </c>
      <c r="R39" s="79">
        <f t="shared" si="14"/>
        <v>891378.59432773001</v>
      </c>
    </row>
    <row r="40" spans="1:18" ht="17.25" thickBot="1">
      <c r="A40" s="40" t="s">
        <v>50</v>
      </c>
      <c r="B40" s="11" t="s">
        <v>51</v>
      </c>
      <c r="C40" s="86">
        <v>95.5</v>
      </c>
      <c r="D40" s="34">
        <v>-5.2083333000000004E-3</v>
      </c>
      <c r="E40" s="84">
        <v>2517288.1948954002</v>
      </c>
      <c r="F40" s="35"/>
      <c r="G40" s="48" t="s">
        <v>332</v>
      </c>
      <c r="H40" s="37">
        <f t="shared" si="6"/>
        <v>216</v>
      </c>
      <c r="I40" s="72">
        <f t="shared" si="7"/>
        <v>4.6511627999999998E-3</v>
      </c>
      <c r="J40" s="80">
        <f t="shared" si="12"/>
        <v>3643817.1534174802</v>
      </c>
      <c r="K40" s="77" t="s">
        <v>51</v>
      </c>
      <c r="L40" s="37">
        <f t="shared" si="8"/>
        <v>95.5</v>
      </c>
      <c r="M40" s="72">
        <f t="shared" si="9"/>
        <v>-5.2083333000000004E-3</v>
      </c>
      <c r="N40" s="80">
        <f t="shared" si="13"/>
        <v>2517288.1948954002</v>
      </c>
      <c r="O40" s="77" t="s">
        <v>149</v>
      </c>
      <c r="P40" s="37">
        <f t="shared" si="10"/>
        <v>338</v>
      </c>
      <c r="Q40" s="72">
        <f t="shared" si="11"/>
        <v>0</v>
      </c>
      <c r="R40" s="80">
        <f t="shared" si="14"/>
        <v>340783.62337627</v>
      </c>
    </row>
    <row r="41" spans="1:18">
      <c r="A41" s="40" t="s">
        <v>129</v>
      </c>
      <c r="B41" s="11" t="s">
        <v>130</v>
      </c>
      <c r="C41" s="86">
        <v>682</v>
      </c>
      <c r="D41" s="34">
        <v>-5.8309038000000004E-3</v>
      </c>
      <c r="E41" s="84">
        <v>332349.95315929002</v>
      </c>
      <c r="F41" s="35"/>
      <c r="G41" s="46" t="s">
        <v>109</v>
      </c>
      <c r="H41" s="38">
        <f t="shared" si="6"/>
        <v>988</v>
      </c>
      <c r="I41" s="69">
        <f t="shared" si="7"/>
        <v>4.0650406999999996E-3</v>
      </c>
      <c r="J41" s="78">
        <f t="shared" si="12"/>
        <v>1004379.07224957</v>
      </c>
      <c r="K41" s="74" t="s">
        <v>193</v>
      </c>
      <c r="L41" s="38">
        <f t="shared" si="8"/>
        <v>16.899999999999999</v>
      </c>
      <c r="M41" s="69">
        <f t="shared" si="9"/>
        <v>-5.8823529000000003E-3</v>
      </c>
      <c r="N41" s="78">
        <f t="shared" si="13"/>
        <v>8810135.0042921305</v>
      </c>
      <c r="O41" s="74" t="s">
        <v>183</v>
      </c>
      <c r="P41" s="38">
        <f t="shared" si="10"/>
        <v>126</v>
      </c>
      <c r="Q41" s="69">
        <f t="shared" si="11"/>
        <v>0</v>
      </c>
      <c r="R41" s="78">
        <f t="shared" si="14"/>
        <v>5249743.2174456902</v>
      </c>
    </row>
    <row r="42" spans="1:18">
      <c r="A42" s="40" t="s">
        <v>192</v>
      </c>
      <c r="B42" s="11" t="s">
        <v>193</v>
      </c>
      <c r="C42" s="86">
        <v>16.899999999999999</v>
      </c>
      <c r="D42" s="34">
        <v>-5.8823529000000003E-3</v>
      </c>
      <c r="E42" s="84">
        <v>8810135.0042921305</v>
      </c>
      <c r="F42" s="35"/>
      <c r="G42" s="47" t="s">
        <v>335</v>
      </c>
      <c r="H42" s="39">
        <f t="shared" si="6"/>
        <v>3.1E-2</v>
      </c>
      <c r="I42" s="70">
        <f t="shared" si="7"/>
        <v>3.2362459999999999E-3</v>
      </c>
      <c r="J42" s="79">
        <f t="shared" si="12"/>
        <v>18347136788.529423</v>
      </c>
      <c r="K42" s="75" t="s">
        <v>256</v>
      </c>
      <c r="L42" s="39">
        <f t="shared" si="8"/>
        <v>98</v>
      </c>
      <c r="M42" s="70">
        <f t="shared" si="9"/>
        <v>-6.0851927000000004E-3</v>
      </c>
      <c r="N42" s="79">
        <f t="shared" si="13"/>
        <v>118951048.359542</v>
      </c>
      <c r="O42" s="75" t="s">
        <v>85</v>
      </c>
      <c r="P42" s="39">
        <f t="shared" si="10"/>
        <v>143</v>
      </c>
      <c r="Q42" s="70">
        <f t="shared" si="11"/>
        <v>0</v>
      </c>
      <c r="R42" s="79">
        <f t="shared" si="14"/>
        <v>8019595.9069624804</v>
      </c>
    </row>
    <row r="43" spans="1:18">
      <c r="A43" s="40" t="s">
        <v>255</v>
      </c>
      <c r="B43" s="11" t="s">
        <v>256</v>
      </c>
      <c r="C43" s="86">
        <v>98</v>
      </c>
      <c r="D43" s="34">
        <v>-6.0851927000000004E-3</v>
      </c>
      <c r="E43" s="84">
        <v>118951048.359542</v>
      </c>
      <c r="F43" s="35"/>
      <c r="G43" s="47" t="s">
        <v>89</v>
      </c>
      <c r="H43" s="39">
        <f t="shared" si="6"/>
        <v>450</v>
      </c>
      <c r="I43" s="70">
        <f t="shared" si="7"/>
        <v>2.2271715000000002E-3</v>
      </c>
      <c r="J43" s="79">
        <f t="shared" si="12"/>
        <v>24235125.323773611</v>
      </c>
      <c r="K43" s="75" t="s">
        <v>206</v>
      </c>
      <c r="L43" s="39">
        <f t="shared" si="8"/>
        <v>3.14</v>
      </c>
      <c r="M43" s="70">
        <f t="shared" si="9"/>
        <v>-6.3291138999999998E-3</v>
      </c>
      <c r="N43" s="79">
        <f t="shared" si="13"/>
        <v>97781609.123705477</v>
      </c>
      <c r="O43" s="75" t="s">
        <v>337</v>
      </c>
      <c r="P43" s="39">
        <f t="shared" si="10"/>
        <v>273</v>
      </c>
      <c r="Q43" s="70">
        <f t="shared" si="11"/>
        <v>0</v>
      </c>
      <c r="R43" s="79">
        <f t="shared" si="14"/>
        <v>923312.93830448005</v>
      </c>
    </row>
    <row r="44" spans="1:18">
      <c r="A44" s="40" t="s">
        <v>205</v>
      </c>
      <c r="B44" s="11" t="s">
        <v>206</v>
      </c>
      <c r="C44" s="86">
        <v>3.14</v>
      </c>
      <c r="D44" s="34">
        <v>-6.3291138999999998E-3</v>
      </c>
      <c r="E44" s="84">
        <v>97781609.123705477</v>
      </c>
      <c r="F44" s="35"/>
      <c r="G44" s="47" t="s">
        <v>344</v>
      </c>
      <c r="H44" s="39">
        <f t="shared" si="6"/>
        <v>4655</v>
      </c>
      <c r="I44" s="70">
        <f t="shared" si="7"/>
        <v>1.0752687999999999E-3</v>
      </c>
      <c r="J44" s="79">
        <f t="shared" si="12"/>
        <v>248678.07168073999</v>
      </c>
      <c r="K44" s="75" t="s">
        <v>145</v>
      </c>
      <c r="L44" s="39">
        <f t="shared" si="8"/>
        <v>70.7</v>
      </c>
      <c r="M44" s="70">
        <f t="shared" si="9"/>
        <v>-7.0224718999999996E-3</v>
      </c>
      <c r="N44" s="79">
        <f t="shared" si="13"/>
        <v>18161314.332139049</v>
      </c>
      <c r="O44" s="75" t="s">
        <v>111</v>
      </c>
      <c r="P44" s="39">
        <f t="shared" si="10"/>
        <v>572</v>
      </c>
      <c r="Q44" s="70">
        <f t="shared" si="11"/>
        <v>-3.4843206000000002E-3</v>
      </c>
      <c r="R44" s="79">
        <f t="shared" si="14"/>
        <v>2634254.5607311199</v>
      </c>
    </row>
    <row r="45" spans="1:18">
      <c r="A45" s="40" t="s">
        <v>98</v>
      </c>
      <c r="B45" s="11" t="s">
        <v>99</v>
      </c>
      <c r="C45" s="86">
        <v>20850</v>
      </c>
      <c r="D45" s="34">
        <v>-6.6698427999999999E-3</v>
      </c>
      <c r="E45" s="84">
        <v>97797.729304659995</v>
      </c>
      <c r="F45" s="35"/>
      <c r="G45" s="47" t="s">
        <v>73</v>
      </c>
      <c r="H45" s="44">
        <f t="shared" si="6"/>
        <v>11720</v>
      </c>
      <c r="I45" s="71">
        <f t="shared" si="7"/>
        <v>8.5397100000000003E-4</v>
      </c>
      <c r="J45" s="83">
        <f t="shared" si="12"/>
        <v>43987.922923630002</v>
      </c>
      <c r="K45" s="76" t="s">
        <v>118</v>
      </c>
      <c r="L45" s="44">
        <f t="shared" si="8"/>
        <v>5.31</v>
      </c>
      <c r="M45" s="71">
        <f t="shared" si="9"/>
        <v>-7.4766355000000003E-3</v>
      </c>
      <c r="N45" s="83">
        <f t="shared" si="13"/>
        <v>32299048.52489027</v>
      </c>
      <c r="O45" s="76" t="s">
        <v>340</v>
      </c>
      <c r="P45" s="44">
        <f t="shared" si="10"/>
        <v>514</v>
      </c>
      <c r="Q45" s="71">
        <f t="shared" si="11"/>
        <v>-3.8759689999999999E-3</v>
      </c>
      <c r="R45" s="83">
        <f t="shared" si="14"/>
        <v>212265.91099005999</v>
      </c>
    </row>
    <row r="46" spans="1:18">
      <c r="A46" s="40" t="s">
        <v>177</v>
      </c>
      <c r="B46" s="11" t="s">
        <v>178</v>
      </c>
      <c r="C46" s="86">
        <v>1430</v>
      </c>
      <c r="D46" s="34">
        <v>-6.9444444000000003E-3</v>
      </c>
      <c r="E46" s="84">
        <v>181036.48475569999</v>
      </c>
      <c r="F46" s="35"/>
      <c r="G46" s="49" t="s">
        <v>147</v>
      </c>
      <c r="H46" s="39">
        <f t="shared" si="6"/>
        <v>8940</v>
      </c>
      <c r="I46" s="70">
        <f t="shared" si="7"/>
        <v>5.5959710000000004E-4</v>
      </c>
      <c r="J46" s="89">
        <f t="shared" si="12"/>
        <v>338443.98222374998</v>
      </c>
      <c r="K46" s="75" t="s">
        <v>185</v>
      </c>
      <c r="L46" s="39">
        <f t="shared" si="8"/>
        <v>26.4</v>
      </c>
      <c r="M46" s="70">
        <f t="shared" si="9"/>
        <v>-7.5187969999999998E-3</v>
      </c>
      <c r="N46" s="89">
        <f t="shared" si="13"/>
        <v>4564358.9433626896</v>
      </c>
      <c r="O46" s="75" t="s">
        <v>79</v>
      </c>
      <c r="P46" s="39">
        <f t="shared" si="10"/>
        <v>240</v>
      </c>
      <c r="Q46" s="70">
        <f t="shared" si="11"/>
        <v>-4.1493776000000003E-3</v>
      </c>
      <c r="R46" s="89">
        <f t="shared" si="14"/>
        <v>668310.00900685997</v>
      </c>
    </row>
    <row r="47" spans="1:18">
      <c r="A47" s="40" t="s">
        <v>144</v>
      </c>
      <c r="B47" s="11" t="s">
        <v>145</v>
      </c>
      <c r="C47" s="86">
        <v>70.7</v>
      </c>
      <c r="D47" s="34">
        <v>-7.0224718999999996E-3</v>
      </c>
      <c r="E47" s="84">
        <v>18161314.332139049</v>
      </c>
      <c r="F47" s="35"/>
      <c r="G47" s="47" t="s">
        <v>81</v>
      </c>
      <c r="H47" s="39">
        <f t="shared" si="6"/>
        <v>336</v>
      </c>
      <c r="I47" s="70">
        <f t="shared" si="7"/>
        <v>0</v>
      </c>
      <c r="J47" s="79">
        <f t="shared" si="12"/>
        <v>3891983.3132037502</v>
      </c>
      <c r="K47" s="75" t="s">
        <v>230</v>
      </c>
      <c r="L47" s="39">
        <f t="shared" si="8"/>
        <v>36.799999999999997</v>
      </c>
      <c r="M47" s="70">
        <f t="shared" si="9"/>
        <v>-8.0862534E-3</v>
      </c>
      <c r="N47" s="79">
        <f t="shared" si="13"/>
        <v>15791123.802604521</v>
      </c>
      <c r="O47" s="75" t="s">
        <v>130</v>
      </c>
      <c r="P47" s="39">
        <f t="shared" si="10"/>
        <v>682</v>
      </c>
      <c r="Q47" s="70">
        <f t="shared" si="11"/>
        <v>-5.8309038000000004E-3</v>
      </c>
      <c r="R47" s="79">
        <f t="shared" si="14"/>
        <v>332349.95315929002</v>
      </c>
    </row>
    <row r="48" spans="1:18">
      <c r="A48" s="40" t="s">
        <v>117</v>
      </c>
      <c r="B48" s="11" t="s">
        <v>118</v>
      </c>
      <c r="C48" s="86">
        <v>5.31</v>
      </c>
      <c r="D48" s="34">
        <v>-7.4766355000000003E-3</v>
      </c>
      <c r="E48" s="84">
        <v>32299048.52489027</v>
      </c>
      <c r="F48" s="35"/>
      <c r="G48" s="47" t="s">
        <v>103</v>
      </c>
      <c r="H48" s="39">
        <f t="shared" si="6"/>
        <v>213</v>
      </c>
      <c r="I48" s="70">
        <f t="shared" si="7"/>
        <v>0</v>
      </c>
      <c r="J48" s="79">
        <f t="shared" si="12"/>
        <v>891378.59432773001</v>
      </c>
      <c r="K48" s="75" t="s">
        <v>143</v>
      </c>
      <c r="L48" s="39">
        <f t="shared" si="8"/>
        <v>3.55</v>
      </c>
      <c r="M48" s="70">
        <f t="shared" si="9"/>
        <v>-8.3798883000000008E-3</v>
      </c>
      <c r="N48" s="79">
        <f t="shared" si="13"/>
        <v>185024952.86337125</v>
      </c>
      <c r="O48" s="75" t="s">
        <v>105</v>
      </c>
      <c r="P48" s="39">
        <f t="shared" si="10"/>
        <v>193</v>
      </c>
      <c r="Q48" s="70">
        <f t="shared" si="11"/>
        <v>-1.0256410299999999E-2</v>
      </c>
      <c r="R48" s="79">
        <f t="shared" si="14"/>
        <v>917341.94781679998</v>
      </c>
    </row>
    <row r="49" spans="1:18">
      <c r="A49" s="40" t="s">
        <v>184</v>
      </c>
      <c r="B49" s="11" t="s">
        <v>185</v>
      </c>
      <c r="C49" s="86">
        <v>26.4</v>
      </c>
      <c r="D49" s="34">
        <v>-7.5187969999999998E-3</v>
      </c>
      <c r="E49" s="84">
        <v>4564358.9433626896</v>
      </c>
      <c r="F49" s="35"/>
      <c r="G49" s="47" t="s">
        <v>97</v>
      </c>
      <c r="H49" s="39">
        <f t="shared" si="6"/>
        <v>8.0000000000000004E-4</v>
      </c>
      <c r="I49" s="70">
        <f t="shared" si="7"/>
        <v>0</v>
      </c>
      <c r="J49" s="79">
        <f t="shared" si="12"/>
        <v>106403438838.9689</v>
      </c>
      <c r="K49" s="75" t="s">
        <v>122</v>
      </c>
      <c r="L49" s="39">
        <f t="shared" si="8"/>
        <v>20.8</v>
      </c>
      <c r="M49" s="70">
        <f t="shared" si="9"/>
        <v>-9.5238094999999991E-3</v>
      </c>
      <c r="N49" s="79">
        <f t="shared" si="13"/>
        <v>22804843.965550002</v>
      </c>
      <c r="O49" s="75" t="s">
        <v>159</v>
      </c>
      <c r="P49" s="39">
        <f t="shared" si="10"/>
        <v>154</v>
      </c>
      <c r="Q49" s="70">
        <f t="shared" si="11"/>
        <v>-1.2820512799999999E-2</v>
      </c>
      <c r="R49" s="79">
        <f t="shared" si="14"/>
        <v>3018313.76719312</v>
      </c>
    </row>
    <row r="50" spans="1:18" ht="17.25" thickBot="1">
      <c r="A50" s="40" t="s">
        <v>229</v>
      </c>
      <c r="B50" s="11" t="s">
        <v>230</v>
      </c>
      <c r="C50" s="86">
        <v>36.799999999999997</v>
      </c>
      <c r="D50" s="34">
        <v>-8.0862534E-3</v>
      </c>
      <c r="E50" s="84">
        <v>15791123.802604521</v>
      </c>
      <c r="F50" s="35"/>
      <c r="G50" s="48" t="s">
        <v>149</v>
      </c>
      <c r="H50" s="37">
        <f t="shared" si="6"/>
        <v>338</v>
      </c>
      <c r="I50" s="72">
        <f t="shared" si="7"/>
        <v>0</v>
      </c>
      <c r="J50" s="80">
        <f t="shared" si="12"/>
        <v>340783.62337627</v>
      </c>
      <c r="K50" s="77" t="s">
        <v>195</v>
      </c>
      <c r="L50" s="37">
        <f t="shared" si="8"/>
        <v>5.87</v>
      </c>
      <c r="M50" s="72">
        <f t="shared" si="9"/>
        <v>-1.01180438E-2</v>
      </c>
      <c r="N50" s="80">
        <f t="shared" si="13"/>
        <v>41742518.152795427</v>
      </c>
      <c r="O50" s="77" t="s">
        <v>218</v>
      </c>
      <c r="P50" s="37">
        <f t="shared" si="10"/>
        <v>306</v>
      </c>
      <c r="Q50" s="72">
        <f t="shared" si="11"/>
        <v>-1.2903225799999999E-2</v>
      </c>
      <c r="R50" s="80">
        <f t="shared" si="14"/>
        <v>1678987.6006862901</v>
      </c>
    </row>
    <row r="51" spans="1:18">
      <c r="A51" s="40" t="s">
        <v>142</v>
      </c>
      <c r="B51" s="11" t="s">
        <v>143</v>
      </c>
      <c r="C51" s="86">
        <v>3.55</v>
      </c>
      <c r="D51" s="34">
        <v>-8.3798883000000008E-3</v>
      </c>
      <c r="E51" s="84">
        <v>185024952.86337125</v>
      </c>
      <c r="F51" s="35"/>
    </row>
    <row r="52" spans="1:18" ht="17.25" thickBot="1">
      <c r="A52" s="40" t="s">
        <v>127</v>
      </c>
      <c r="B52" s="11" t="s">
        <v>128</v>
      </c>
      <c r="C52" s="86">
        <v>5785</v>
      </c>
      <c r="D52" s="34">
        <v>-8.5689802999999991E-3</v>
      </c>
      <c r="E52" s="84">
        <v>82683.940002439995</v>
      </c>
      <c r="F52" s="35"/>
    </row>
    <row r="53" spans="1:18" ht="17.25" thickBot="1">
      <c r="A53" s="40" t="s">
        <v>329</v>
      </c>
      <c r="B53" s="11" t="s">
        <v>330</v>
      </c>
      <c r="C53" s="86">
        <v>14590</v>
      </c>
      <c r="D53" s="34">
        <v>-9.5044128000000005E-3</v>
      </c>
      <c r="E53" s="84">
        <v>230593.78730495999</v>
      </c>
      <c r="F53" s="35"/>
      <c r="G53" s="135" t="s">
        <v>245</v>
      </c>
      <c r="H53" s="136"/>
      <c r="I53" s="136"/>
      <c r="J53" s="137"/>
      <c r="K53" s="135" t="s">
        <v>248</v>
      </c>
      <c r="L53" s="136"/>
      <c r="M53" s="136"/>
      <c r="N53" s="137"/>
      <c r="O53" s="135" t="s">
        <v>249</v>
      </c>
      <c r="P53" s="136"/>
      <c r="Q53" s="136"/>
      <c r="R53" s="137"/>
    </row>
    <row r="54" spans="1:18" ht="17.25" thickBot="1">
      <c r="A54" s="40" t="s">
        <v>121</v>
      </c>
      <c r="B54" s="11" t="s">
        <v>122</v>
      </c>
      <c r="C54" s="86">
        <v>20.8</v>
      </c>
      <c r="D54" s="34">
        <v>-9.5238094999999991E-3</v>
      </c>
      <c r="E54" s="84">
        <v>22804843.965550002</v>
      </c>
      <c r="F54" s="35"/>
      <c r="G54" s="200" t="s">
        <v>54</v>
      </c>
      <c r="H54" s="212">
        <f ca="1">NOW()</f>
        <v>44921.6035962963</v>
      </c>
      <c r="I54" s="213"/>
      <c r="J54" s="214"/>
      <c r="K54" s="203" t="s">
        <v>54</v>
      </c>
      <c r="L54" s="212">
        <f ca="1">NOW()</f>
        <v>44921.6035962963</v>
      </c>
      <c r="M54" s="213"/>
      <c r="N54" s="214"/>
      <c r="O54" s="203" t="s">
        <v>54</v>
      </c>
      <c r="P54" s="212">
        <f ca="1">NOW()</f>
        <v>44921.6035962963</v>
      </c>
      <c r="Q54" s="213"/>
      <c r="R54" s="214"/>
    </row>
    <row r="55" spans="1:18" ht="17.25" thickBot="1">
      <c r="A55" s="40" t="s">
        <v>76</v>
      </c>
      <c r="B55" s="11" t="s">
        <v>77</v>
      </c>
      <c r="C55" s="86">
        <v>130200</v>
      </c>
      <c r="D55" s="34">
        <v>-9.8859315999999999E-3</v>
      </c>
      <c r="E55" s="84">
        <v>2430.71965486</v>
      </c>
      <c r="F55" s="35"/>
      <c r="G55" s="197"/>
      <c r="H55" s="36" t="s">
        <v>57</v>
      </c>
      <c r="I55" s="36" t="s">
        <v>58</v>
      </c>
      <c r="J55" s="64" t="s">
        <v>254</v>
      </c>
      <c r="K55" s="152"/>
      <c r="L55" s="36" t="s">
        <v>57</v>
      </c>
      <c r="M55" s="36" t="s">
        <v>58</v>
      </c>
      <c r="N55" s="64" t="s">
        <v>254</v>
      </c>
      <c r="O55" s="152"/>
      <c r="P55" s="36" t="s">
        <v>57</v>
      </c>
      <c r="Q55" s="36" t="s">
        <v>58</v>
      </c>
      <c r="R55" s="64" t="s">
        <v>254</v>
      </c>
    </row>
    <row r="56" spans="1:18">
      <c r="A56" s="40" t="s">
        <v>194</v>
      </c>
      <c r="B56" s="11" t="s">
        <v>195</v>
      </c>
      <c r="C56" s="86">
        <v>5.87</v>
      </c>
      <c r="D56" s="34">
        <v>-1.01180438E-2</v>
      </c>
      <c r="E56" s="84">
        <v>41742518.152795427</v>
      </c>
      <c r="F56" s="35"/>
      <c r="G56" s="51" t="s">
        <v>169</v>
      </c>
      <c r="H56" s="38">
        <f t="shared" ref="H56:H75" si="15">_xlfn.IFNA(VLOOKUP(G56, $B$2:$D$200, 2, FALSE), "")</f>
        <v>220</v>
      </c>
      <c r="I56" s="69">
        <f t="shared" ref="I56:I65" si="16">_xlfn.IFNA(VLOOKUP(G56, $B$2:$D$200, 3, FALSE), "")</f>
        <v>-2.2222222199999999E-2</v>
      </c>
      <c r="J56" s="78">
        <f>_xlfn.IFNA(VLOOKUP(G56, $B$2:$E$200, 4, FALSE), "")</f>
        <v>2855205.6691833399</v>
      </c>
      <c r="K56" s="74" t="s">
        <v>336</v>
      </c>
      <c r="L56" s="38">
        <f t="shared" ref="L56:L75" si="17">_xlfn.IFNA(VLOOKUP(K56, $B$2:$D$200, 2, FALSE), "")</f>
        <v>76.599999999999994</v>
      </c>
      <c r="M56" s="69">
        <f t="shared" ref="M56:M75" si="18">_xlfn.IFNA(VLOOKUP(K56, $B$2:$D$200, 3, FALSE), "")</f>
        <v>-1.0335917300000001E-2</v>
      </c>
      <c r="N56" s="78">
        <f>_xlfn.IFNA(VLOOKUP(K56, $B$2:$E$200, 4, FALSE), "")</f>
        <v>2932239.0947008599</v>
      </c>
      <c r="O56" s="74" t="s">
        <v>165</v>
      </c>
      <c r="P56" s="38">
        <f t="shared" ref="P56:P75" si="19">_xlfn.IFNA(VLOOKUP(O56, $B$2:$D$200, 2, FALSE), "")</f>
        <v>936</v>
      </c>
      <c r="Q56" s="69">
        <f t="shared" ref="Q56:Q75" si="20">_xlfn.IFNA(VLOOKUP(O56, $B$2:$D$200, 3, FALSE), "")</f>
        <v>-1.6806722699999999E-2</v>
      </c>
      <c r="R56" s="78">
        <f>_xlfn.IFNA(VLOOKUP(O56, $B$2:$E$200, 4, FALSE), "")</f>
        <v>6971777.5574340001</v>
      </c>
    </row>
    <row r="57" spans="1:18">
      <c r="A57" s="40" t="s">
        <v>104</v>
      </c>
      <c r="B57" s="11" t="s">
        <v>105</v>
      </c>
      <c r="C57" s="86">
        <v>193</v>
      </c>
      <c r="D57" s="34">
        <v>-1.0256410299999999E-2</v>
      </c>
      <c r="E57" s="84">
        <v>917341.94781679998</v>
      </c>
      <c r="F57" s="35"/>
      <c r="G57" s="52" t="s">
        <v>200</v>
      </c>
      <c r="H57" s="39">
        <f t="shared" si="15"/>
        <v>6</v>
      </c>
      <c r="I57" s="70">
        <f t="shared" si="16"/>
        <v>-2.2801302900000001E-2</v>
      </c>
      <c r="J57" s="79">
        <f t="shared" ref="J57:J75" si="21">_xlfn.IFNA(VLOOKUP(G57, $B$2:$E$200, 4, FALSE), "")</f>
        <v>39428458.255845793</v>
      </c>
      <c r="K57" s="75" t="s">
        <v>56</v>
      </c>
      <c r="L57" s="39">
        <f t="shared" si="17"/>
        <v>38</v>
      </c>
      <c r="M57" s="70">
        <f t="shared" si="18"/>
        <v>-1.04166667E-2</v>
      </c>
      <c r="N57" s="79">
        <f t="shared" ref="N57:N75" si="22">_xlfn.IFNA(VLOOKUP(K57, $B$2:$E$200, 4, FALSE), "")</f>
        <v>7808554.5393947205</v>
      </c>
      <c r="O57" s="75" t="s">
        <v>216</v>
      </c>
      <c r="P57" s="39">
        <f t="shared" si="19"/>
        <v>448</v>
      </c>
      <c r="Q57" s="70">
        <f t="shared" si="20"/>
        <v>-1.75438596E-2</v>
      </c>
      <c r="R57" s="79">
        <f t="shared" ref="R57:R75" si="23">_xlfn.IFNA(VLOOKUP(O57, $B$2:$E$200, 4, FALSE), "")</f>
        <v>1123128.3964617699</v>
      </c>
    </row>
    <row r="58" spans="1:18">
      <c r="A58" s="40" t="s">
        <v>114</v>
      </c>
      <c r="B58" s="11" t="s">
        <v>336</v>
      </c>
      <c r="C58" s="86">
        <v>76.599999999999994</v>
      </c>
      <c r="D58" s="34">
        <v>-1.0335917300000001E-2</v>
      </c>
      <c r="E58" s="84">
        <v>2932239.0947008599</v>
      </c>
      <c r="F58" s="35"/>
      <c r="G58" s="52" t="s">
        <v>161</v>
      </c>
      <c r="H58" s="39">
        <f t="shared" si="15"/>
        <v>292</v>
      </c>
      <c r="I58" s="70">
        <f t="shared" si="16"/>
        <v>-2.3411371199999999E-2</v>
      </c>
      <c r="J58" s="79">
        <f t="shared" si="21"/>
        <v>2821748.3341857302</v>
      </c>
      <c r="K58" s="75" t="s">
        <v>240</v>
      </c>
      <c r="L58" s="39">
        <f t="shared" si="17"/>
        <v>27</v>
      </c>
      <c r="M58" s="70">
        <f t="shared" si="18"/>
        <v>-1.0989011E-2</v>
      </c>
      <c r="N58" s="79">
        <f t="shared" si="22"/>
        <v>9450374.9082068298</v>
      </c>
      <c r="O58" s="75" t="s">
        <v>167</v>
      </c>
      <c r="P58" s="39">
        <f t="shared" si="19"/>
        <v>167</v>
      </c>
      <c r="Q58" s="70">
        <f t="shared" si="20"/>
        <v>-1.76470588E-2</v>
      </c>
      <c r="R58" s="79">
        <f t="shared" si="23"/>
        <v>3975437.2073602299</v>
      </c>
    </row>
    <row r="59" spans="1:18">
      <c r="A59" s="40" t="s">
        <v>55</v>
      </c>
      <c r="B59" s="11" t="s">
        <v>56</v>
      </c>
      <c r="C59" s="86">
        <v>38</v>
      </c>
      <c r="D59" s="34">
        <v>-1.04166667E-2</v>
      </c>
      <c r="E59" s="84">
        <v>7808554.5393947205</v>
      </c>
      <c r="F59" s="35"/>
      <c r="G59" s="52" t="s">
        <v>234</v>
      </c>
      <c r="H59" s="39">
        <f t="shared" si="15"/>
        <v>332</v>
      </c>
      <c r="I59" s="70">
        <f t="shared" si="16"/>
        <v>-2.35294118E-2</v>
      </c>
      <c r="J59" s="79">
        <f t="shared" si="21"/>
        <v>4335940.2372727804</v>
      </c>
      <c r="K59" s="75" t="s">
        <v>181</v>
      </c>
      <c r="L59" s="39">
        <f t="shared" si="17"/>
        <v>4.08</v>
      </c>
      <c r="M59" s="70">
        <f t="shared" si="18"/>
        <v>-1.21065375E-2</v>
      </c>
      <c r="N59" s="79">
        <f t="shared" si="22"/>
        <v>91136049.159050614</v>
      </c>
      <c r="O59" s="75" t="s">
        <v>120</v>
      </c>
      <c r="P59" s="39">
        <f t="shared" si="19"/>
        <v>108</v>
      </c>
      <c r="Q59" s="70">
        <f t="shared" si="20"/>
        <v>-1.8181818200000002E-2</v>
      </c>
      <c r="R59" s="79">
        <f t="shared" si="23"/>
        <v>1871432.5502202699</v>
      </c>
    </row>
    <row r="60" spans="1:18">
      <c r="A60" s="40" t="s">
        <v>74</v>
      </c>
      <c r="B60" s="11" t="s">
        <v>75</v>
      </c>
      <c r="C60" s="86">
        <v>7690</v>
      </c>
      <c r="D60" s="34">
        <v>-1.09324759E-2</v>
      </c>
      <c r="E60" s="84">
        <v>83301.96415349</v>
      </c>
      <c r="F60" s="35"/>
      <c r="G60" s="52" t="s">
        <v>124</v>
      </c>
      <c r="H60" s="39">
        <f t="shared" si="15"/>
        <v>28.9</v>
      </c>
      <c r="I60" s="70">
        <f t="shared" si="16"/>
        <v>-2.3648648599999999E-2</v>
      </c>
      <c r="J60" s="83">
        <f t="shared" si="21"/>
        <v>5038408.5201979997</v>
      </c>
      <c r="K60" s="76" t="s">
        <v>220</v>
      </c>
      <c r="L60" s="44">
        <f t="shared" si="17"/>
        <v>61.2</v>
      </c>
      <c r="M60" s="71">
        <f t="shared" si="18"/>
        <v>-1.44927536E-2</v>
      </c>
      <c r="N60" s="83">
        <f t="shared" si="22"/>
        <v>4758545.5916466797</v>
      </c>
      <c r="O60" s="76" t="s">
        <v>214</v>
      </c>
      <c r="P60" s="44">
        <f t="shared" si="19"/>
        <v>956</v>
      </c>
      <c r="Q60" s="71">
        <f t="shared" si="20"/>
        <v>-1.8480492800000001E-2</v>
      </c>
      <c r="R60" s="83">
        <f t="shared" si="23"/>
        <v>2282934.6539287199</v>
      </c>
    </row>
    <row r="61" spans="1:18">
      <c r="A61" s="40" t="s">
        <v>239</v>
      </c>
      <c r="B61" s="11" t="s">
        <v>240</v>
      </c>
      <c r="C61" s="86">
        <v>27</v>
      </c>
      <c r="D61" s="34">
        <v>-1.0989011E-2</v>
      </c>
      <c r="E61" s="84">
        <v>9450374.9082068298</v>
      </c>
      <c r="F61" s="35"/>
      <c r="G61" s="56" t="s">
        <v>349</v>
      </c>
      <c r="H61" s="45">
        <f t="shared" si="15"/>
        <v>635</v>
      </c>
      <c r="I61" s="73">
        <f t="shared" si="16"/>
        <v>-2.4577572999999998E-2</v>
      </c>
      <c r="J61" s="89">
        <f t="shared" si="21"/>
        <v>3759616.5562051702</v>
      </c>
      <c r="K61" s="75" t="s">
        <v>155</v>
      </c>
      <c r="L61" s="39">
        <f t="shared" si="17"/>
        <v>26.6</v>
      </c>
      <c r="M61" s="70">
        <f t="shared" si="18"/>
        <v>-1.4814814799999999E-2</v>
      </c>
      <c r="N61" s="89">
        <f t="shared" si="22"/>
        <v>6863378.0118465601</v>
      </c>
      <c r="O61" s="75" t="s">
        <v>242</v>
      </c>
      <c r="P61" s="39">
        <f t="shared" si="19"/>
        <v>420</v>
      </c>
      <c r="Q61" s="70">
        <f t="shared" si="20"/>
        <v>-1.8691588799999999E-2</v>
      </c>
      <c r="R61" s="89">
        <f t="shared" si="23"/>
        <v>2641665.2422823198</v>
      </c>
    </row>
    <row r="62" spans="1:18">
      <c r="A62" s="40" t="s">
        <v>133</v>
      </c>
      <c r="B62" s="11" t="s">
        <v>134</v>
      </c>
      <c r="C62" s="86">
        <v>1320</v>
      </c>
      <c r="D62" s="34">
        <v>-1.12359551E-2</v>
      </c>
      <c r="E62" s="84">
        <v>68922.589665570005</v>
      </c>
      <c r="F62" s="35"/>
      <c r="G62" s="52" t="s">
        <v>338</v>
      </c>
      <c r="H62" s="39">
        <f t="shared" si="15"/>
        <v>4.3600000000000003</v>
      </c>
      <c r="I62" s="70">
        <f t="shared" si="16"/>
        <v>-2.4608501099999999E-2</v>
      </c>
      <c r="J62" s="79">
        <f t="shared" si="21"/>
        <v>62259128.400258958</v>
      </c>
      <c r="K62" s="75" t="s">
        <v>212</v>
      </c>
      <c r="L62" s="39">
        <f t="shared" si="17"/>
        <v>75.7</v>
      </c>
      <c r="M62" s="70">
        <f t="shared" si="18"/>
        <v>-1.5604681400000001E-2</v>
      </c>
      <c r="N62" s="79">
        <f t="shared" si="22"/>
        <v>12621488.410527861</v>
      </c>
      <c r="O62" s="75" t="s">
        <v>226</v>
      </c>
      <c r="P62" s="39">
        <f t="shared" si="19"/>
        <v>205</v>
      </c>
      <c r="Q62" s="70">
        <f t="shared" si="20"/>
        <v>-1.9138756E-2</v>
      </c>
      <c r="R62" s="79">
        <f t="shared" si="23"/>
        <v>1844417.4215188499</v>
      </c>
    </row>
    <row r="63" spans="1:18">
      <c r="A63" s="40" t="s">
        <v>235</v>
      </c>
      <c r="B63" s="11" t="s">
        <v>236</v>
      </c>
      <c r="C63" s="86">
        <v>2865</v>
      </c>
      <c r="D63" s="34">
        <v>-1.2068965500000001E-2</v>
      </c>
      <c r="E63" s="84">
        <v>340329.07497906999</v>
      </c>
      <c r="F63" s="35"/>
      <c r="G63" s="52" t="s">
        <v>342</v>
      </c>
      <c r="H63" s="39">
        <f t="shared" si="15"/>
        <v>115</v>
      </c>
      <c r="I63" s="70">
        <f t="shared" si="16"/>
        <v>-2.54237288E-2</v>
      </c>
      <c r="J63" s="79">
        <f t="shared" si="21"/>
        <v>1954530.0614074999</v>
      </c>
      <c r="K63" s="75" t="s">
        <v>228</v>
      </c>
      <c r="L63" s="39">
        <f t="shared" si="17"/>
        <v>56.1</v>
      </c>
      <c r="M63" s="70">
        <f t="shared" si="18"/>
        <v>-1.5789473700000001E-2</v>
      </c>
      <c r="N63" s="79">
        <f t="shared" si="22"/>
        <v>12740596.8685163</v>
      </c>
      <c r="O63" s="75" t="s">
        <v>232</v>
      </c>
      <c r="P63" s="39">
        <f t="shared" si="19"/>
        <v>250</v>
      </c>
      <c r="Q63" s="70">
        <f t="shared" si="20"/>
        <v>-1.9607843100000001E-2</v>
      </c>
      <c r="R63" s="79">
        <f t="shared" si="23"/>
        <v>1237263.0651509999</v>
      </c>
    </row>
    <row r="64" spans="1:18">
      <c r="A64" s="40" t="s">
        <v>180</v>
      </c>
      <c r="B64" s="11" t="s">
        <v>181</v>
      </c>
      <c r="C64" s="86">
        <v>4.08</v>
      </c>
      <c r="D64" s="34">
        <v>-1.21065375E-2</v>
      </c>
      <c r="E64" s="84">
        <v>91136049.159050614</v>
      </c>
      <c r="F64" s="35"/>
      <c r="G64" s="52" t="s">
        <v>187</v>
      </c>
      <c r="H64" s="39">
        <f t="shared" si="15"/>
        <v>786</v>
      </c>
      <c r="I64" s="70">
        <f t="shared" si="16"/>
        <v>-2.60223048E-2</v>
      </c>
      <c r="J64" s="79">
        <f t="shared" si="21"/>
        <v>1355253.0178185101</v>
      </c>
      <c r="K64" s="75" t="s">
        <v>210</v>
      </c>
      <c r="L64" s="39">
        <f t="shared" si="17"/>
        <v>65.7</v>
      </c>
      <c r="M64" s="70">
        <f t="shared" si="18"/>
        <v>-1.79372197E-2</v>
      </c>
      <c r="N64" s="79">
        <f t="shared" si="22"/>
        <v>105410120.45403899</v>
      </c>
      <c r="O64" s="75" t="s">
        <v>352</v>
      </c>
      <c r="P64" s="39">
        <f t="shared" si="19"/>
        <v>176</v>
      </c>
      <c r="Q64" s="70">
        <f t="shared" si="20"/>
        <v>-2.2222222199999999E-2</v>
      </c>
      <c r="R64" s="79">
        <f t="shared" si="23"/>
        <v>3729485.5337845599</v>
      </c>
    </row>
    <row r="65" spans="1:18" ht="17.25" thickBot="1">
      <c r="A65" s="40" t="s">
        <v>135</v>
      </c>
      <c r="B65" s="11" t="s">
        <v>136</v>
      </c>
      <c r="C65" s="86">
        <v>2730</v>
      </c>
      <c r="D65" s="34">
        <v>-1.26582278E-2</v>
      </c>
      <c r="E65" s="84">
        <v>134329.30701287999</v>
      </c>
      <c r="F65" s="35"/>
      <c r="G65" s="53" t="s">
        <v>350</v>
      </c>
      <c r="H65" s="37">
        <f t="shared" si="15"/>
        <v>5.97</v>
      </c>
      <c r="I65" s="72">
        <f t="shared" si="16"/>
        <v>-2.6101141899999999E-2</v>
      </c>
      <c r="J65" s="80">
        <f t="shared" si="21"/>
        <v>208926187.76146051</v>
      </c>
      <c r="K65" s="77" t="s">
        <v>326</v>
      </c>
      <c r="L65" s="37">
        <f t="shared" si="17"/>
        <v>20.5</v>
      </c>
      <c r="M65" s="72">
        <f t="shared" si="18"/>
        <v>-1.9138756E-2</v>
      </c>
      <c r="N65" s="80">
        <f t="shared" si="22"/>
        <v>17275729.957397941</v>
      </c>
      <c r="O65" s="77" t="s">
        <v>169</v>
      </c>
      <c r="P65" s="37">
        <f t="shared" si="19"/>
        <v>220</v>
      </c>
      <c r="Q65" s="72">
        <f t="shared" si="20"/>
        <v>-2.2222222199999999E-2</v>
      </c>
      <c r="R65" s="80">
        <f t="shared" si="23"/>
        <v>2855205.6691833399</v>
      </c>
    </row>
    <row r="66" spans="1:18">
      <c r="A66" s="40" t="s">
        <v>158</v>
      </c>
      <c r="B66" s="11" t="s">
        <v>159</v>
      </c>
      <c r="C66" s="86">
        <v>154</v>
      </c>
      <c r="D66" s="34">
        <v>-1.2820512799999999E-2</v>
      </c>
      <c r="E66" s="84">
        <v>3018313.76719312</v>
      </c>
      <c r="F66" s="35"/>
      <c r="G66" s="52" t="s">
        <v>71</v>
      </c>
      <c r="H66" s="38">
        <f t="shared" si="15"/>
        <v>10.3</v>
      </c>
      <c r="I66" s="69">
        <f t="shared" ref="I66:I75" si="24">_xlfn.IFNA(VLOOKUP(G66, $B$2:$D$200, 3, FALSE), "")</f>
        <v>-2.8301886799999999E-2</v>
      </c>
      <c r="J66" s="78">
        <f t="shared" si="21"/>
        <v>67073681.59347108</v>
      </c>
      <c r="K66" s="74" t="s">
        <v>132</v>
      </c>
      <c r="L66" s="38">
        <f t="shared" si="17"/>
        <v>45.8</v>
      </c>
      <c r="M66" s="69">
        <f t="shared" si="18"/>
        <v>-1.9271948600000002E-2</v>
      </c>
      <c r="N66" s="78">
        <f t="shared" si="22"/>
        <v>11642699.992852051</v>
      </c>
      <c r="O66" s="74" t="s">
        <v>161</v>
      </c>
      <c r="P66" s="38">
        <f t="shared" si="19"/>
        <v>292</v>
      </c>
      <c r="Q66" s="69">
        <f t="shared" si="20"/>
        <v>-2.3411371199999999E-2</v>
      </c>
      <c r="R66" s="78">
        <f t="shared" si="23"/>
        <v>2821748.3341857302</v>
      </c>
    </row>
    <row r="67" spans="1:18">
      <c r="A67" s="40" t="s">
        <v>217</v>
      </c>
      <c r="B67" s="11" t="s">
        <v>218</v>
      </c>
      <c r="C67" s="86">
        <v>306</v>
      </c>
      <c r="D67" s="34">
        <v>-1.2903225799999999E-2</v>
      </c>
      <c r="E67" s="84">
        <v>1678987.6006862901</v>
      </c>
      <c r="F67" s="35"/>
      <c r="G67" s="52" t="s">
        <v>198</v>
      </c>
      <c r="H67" s="39">
        <f t="shared" si="15"/>
        <v>6.44</v>
      </c>
      <c r="I67" s="70">
        <f t="shared" si="24"/>
        <v>-2.8657616899999998E-2</v>
      </c>
      <c r="J67" s="79">
        <f t="shared" si="21"/>
        <v>274946286.06644124</v>
      </c>
      <c r="K67" s="75" t="s">
        <v>224</v>
      </c>
      <c r="L67" s="39">
        <f t="shared" si="17"/>
        <v>18.600000000000001</v>
      </c>
      <c r="M67" s="70">
        <f t="shared" si="18"/>
        <v>-2.10526316E-2</v>
      </c>
      <c r="N67" s="79">
        <f t="shared" si="22"/>
        <v>6086950.2610441903</v>
      </c>
      <c r="O67" s="75" t="s">
        <v>234</v>
      </c>
      <c r="P67" s="39">
        <f t="shared" si="19"/>
        <v>332</v>
      </c>
      <c r="Q67" s="70">
        <f t="shared" si="20"/>
        <v>-2.35294118E-2</v>
      </c>
      <c r="R67" s="79">
        <f t="shared" si="23"/>
        <v>4335940.2372727804</v>
      </c>
    </row>
    <row r="68" spans="1:18">
      <c r="A68" s="40" t="s">
        <v>173</v>
      </c>
      <c r="B68" s="11" t="s">
        <v>174</v>
      </c>
      <c r="C68" s="86">
        <v>12850</v>
      </c>
      <c r="D68" s="34">
        <v>-1.30568356E-2</v>
      </c>
      <c r="E68" s="84">
        <v>14616.920051380001</v>
      </c>
      <c r="F68" s="35"/>
      <c r="G68" s="52" t="s">
        <v>204</v>
      </c>
      <c r="H68" s="39">
        <f t="shared" si="15"/>
        <v>199</v>
      </c>
      <c r="I68" s="70">
        <f t="shared" si="24"/>
        <v>-2.92682927E-2</v>
      </c>
      <c r="J68" s="79">
        <f t="shared" si="21"/>
        <v>14772383.070254819</v>
      </c>
      <c r="K68" s="75" t="s">
        <v>200</v>
      </c>
      <c r="L68" s="39">
        <f t="shared" si="17"/>
        <v>6</v>
      </c>
      <c r="M68" s="70">
        <f t="shared" si="18"/>
        <v>-2.2801302900000001E-2</v>
      </c>
      <c r="N68" s="79">
        <f t="shared" si="22"/>
        <v>39428458.255845793</v>
      </c>
      <c r="O68" s="75" t="s">
        <v>349</v>
      </c>
      <c r="P68" s="39">
        <f t="shared" si="19"/>
        <v>635</v>
      </c>
      <c r="Q68" s="70">
        <f t="shared" si="20"/>
        <v>-2.4577572999999998E-2</v>
      </c>
      <c r="R68" s="79">
        <f t="shared" si="23"/>
        <v>3759616.5562051702</v>
      </c>
    </row>
    <row r="69" spans="1:18">
      <c r="A69" s="40" t="s">
        <v>65</v>
      </c>
      <c r="B69" s="11" t="s">
        <v>66</v>
      </c>
      <c r="C69" s="86">
        <v>651</v>
      </c>
      <c r="D69" s="34">
        <v>-1.36363636E-2</v>
      </c>
      <c r="E69" s="84">
        <v>1714806.1772812</v>
      </c>
      <c r="F69" s="35"/>
      <c r="G69" s="52" t="s">
        <v>191</v>
      </c>
      <c r="H69" s="39">
        <f t="shared" si="15"/>
        <v>48.8</v>
      </c>
      <c r="I69" s="70">
        <f t="shared" si="24"/>
        <v>-3.1746031700000003E-2</v>
      </c>
      <c r="J69" s="79">
        <f t="shared" si="21"/>
        <v>14155643.677953189</v>
      </c>
      <c r="K69" s="75" t="s">
        <v>124</v>
      </c>
      <c r="L69" s="39">
        <f t="shared" si="17"/>
        <v>28.9</v>
      </c>
      <c r="M69" s="70">
        <f t="shared" si="18"/>
        <v>-2.3648648599999999E-2</v>
      </c>
      <c r="N69" s="79">
        <f t="shared" si="22"/>
        <v>5038408.5201979997</v>
      </c>
      <c r="O69" s="75" t="s">
        <v>342</v>
      </c>
      <c r="P69" s="39">
        <f t="shared" si="19"/>
        <v>115</v>
      </c>
      <c r="Q69" s="70">
        <f t="shared" si="20"/>
        <v>-2.54237288E-2</v>
      </c>
      <c r="R69" s="79">
        <f t="shared" si="23"/>
        <v>1954530.0614074999</v>
      </c>
    </row>
    <row r="70" spans="1:18">
      <c r="A70" s="40" t="s">
        <v>219</v>
      </c>
      <c r="B70" s="11" t="s">
        <v>220</v>
      </c>
      <c r="C70" s="86">
        <v>61.2</v>
      </c>
      <c r="D70" s="34">
        <v>-1.44927536E-2</v>
      </c>
      <c r="E70" s="84">
        <v>4758545.5916466797</v>
      </c>
      <c r="F70" s="35"/>
      <c r="G70" s="52" t="s">
        <v>176</v>
      </c>
      <c r="H70" s="39">
        <f t="shared" si="15"/>
        <v>297</v>
      </c>
      <c r="I70" s="70">
        <f t="shared" si="24"/>
        <v>-3.2573289900000003E-2</v>
      </c>
      <c r="J70" s="83">
        <f t="shared" si="21"/>
        <v>1374624.7283647901</v>
      </c>
      <c r="K70" s="76" t="s">
        <v>338</v>
      </c>
      <c r="L70" s="44">
        <f t="shared" si="17"/>
        <v>4.3600000000000003</v>
      </c>
      <c r="M70" s="71">
        <f t="shared" si="18"/>
        <v>-2.4608501099999999E-2</v>
      </c>
      <c r="N70" s="83">
        <f t="shared" si="22"/>
        <v>62259128.400258958</v>
      </c>
      <c r="O70" s="76" t="s">
        <v>187</v>
      </c>
      <c r="P70" s="44">
        <f t="shared" si="19"/>
        <v>786</v>
      </c>
      <c r="Q70" s="71">
        <f t="shared" si="20"/>
        <v>-2.60223048E-2</v>
      </c>
      <c r="R70" s="83">
        <f t="shared" si="23"/>
        <v>1355253.0178185101</v>
      </c>
    </row>
    <row r="71" spans="1:18">
      <c r="A71" s="40" t="s">
        <v>100</v>
      </c>
      <c r="B71" s="11" t="s">
        <v>101</v>
      </c>
      <c r="C71" s="86">
        <v>203</v>
      </c>
      <c r="D71" s="34">
        <v>-1.45631068E-2</v>
      </c>
      <c r="E71" s="84">
        <v>1151594.0001777101</v>
      </c>
      <c r="F71" s="35"/>
      <c r="G71" s="56" t="s">
        <v>222</v>
      </c>
      <c r="H71" s="45">
        <f t="shared" si="15"/>
        <v>379</v>
      </c>
      <c r="I71" s="73">
        <f t="shared" si="24"/>
        <v>-3.3163265300000001E-2</v>
      </c>
      <c r="J71" s="89">
        <f t="shared" si="21"/>
        <v>3822142.9111040598</v>
      </c>
      <c r="K71" s="75" t="s">
        <v>350</v>
      </c>
      <c r="L71" s="39">
        <f t="shared" si="17"/>
        <v>5.97</v>
      </c>
      <c r="M71" s="70">
        <f t="shared" si="18"/>
        <v>-2.6101141899999999E-2</v>
      </c>
      <c r="N71" s="89">
        <f t="shared" si="22"/>
        <v>208926187.76146051</v>
      </c>
      <c r="O71" s="75" t="s">
        <v>204</v>
      </c>
      <c r="P71" s="39">
        <f t="shared" si="19"/>
        <v>199</v>
      </c>
      <c r="Q71" s="70">
        <f t="shared" si="20"/>
        <v>-2.92682927E-2</v>
      </c>
      <c r="R71" s="89">
        <f t="shared" si="23"/>
        <v>14772383.070254819</v>
      </c>
    </row>
    <row r="72" spans="1:18">
      <c r="A72" s="40" t="s">
        <v>152</v>
      </c>
      <c r="B72" s="11" t="s">
        <v>153</v>
      </c>
      <c r="C72" s="86">
        <v>338</v>
      </c>
      <c r="D72" s="34">
        <v>-1.45772595E-2</v>
      </c>
      <c r="E72" s="84">
        <v>1260481.63523502</v>
      </c>
      <c r="F72" s="35"/>
      <c r="G72" s="52" t="s">
        <v>107</v>
      </c>
      <c r="H72" s="39">
        <f t="shared" si="15"/>
        <v>35.799999999999997</v>
      </c>
      <c r="I72" s="70">
        <f t="shared" si="24"/>
        <v>-3.5040431300000001E-2</v>
      </c>
      <c r="J72" s="79">
        <f t="shared" si="21"/>
        <v>43215964.392860487</v>
      </c>
      <c r="K72" s="75" t="s">
        <v>71</v>
      </c>
      <c r="L72" s="39">
        <f t="shared" si="17"/>
        <v>10.3</v>
      </c>
      <c r="M72" s="70">
        <f t="shared" si="18"/>
        <v>-2.8301886799999999E-2</v>
      </c>
      <c r="N72" s="79">
        <f t="shared" si="22"/>
        <v>67073681.59347108</v>
      </c>
      <c r="O72" s="75" t="s">
        <v>176</v>
      </c>
      <c r="P72" s="39">
        <f t="shared" si="19"/>
        <v>297</v>
      </c>
      <c r="Q72" s="70">
        <f t="shared" si="20"/>
        <v>-3.2573289900000003E-2</v>
      </c>
      <c r="R72" s="79">
        <f t="shared" si="23"/>
        <v>1374624.7283647901</v>
      </c>
    </row>
    <row r="73" spans="1:18">
      <c r="A73" s="40" t="s">
        <v>154</v>
      </c>
      <c r="B73" s="11" t="s">
        <v>155</v>
      </c>
      <c r="C73" s="86">
        <v>26.6</v>
      </c>
      <c r="D73" s="34">
        <v>-1.4814814799999999E-2</v>
      </c>
      <c r="E73" s="84">
        <v>6863378.0118465601</v>
      </c>
      <c r="F73" s="35"/>
      <c r="G73" s="52" t="s">
        <v>68</v>
      </c>
      <c r="H73" s="39">
        <f t="shared" si="15"/>
        <v>257</v>
      </c>
      <c r="I73" s="70">
        <f t="shared" si="24"/>
        <v>-3.7453183500000001E-2</v>
      </c>
      <c r="J73" s="79">
        <f t="shared" si="21"/>
        <v>3807770.4547614199</v>
      </c>
      <c r="K73" s="75" t="s">
        <v>198</v>
      </c>
      <c r="L73" s="39">
        <f t="shared" si="17"/>
        <v>6.44</v>
      </c>
      <c r="M73" s="70">
        <f t="shared" si="18"/>
        <v>-2.8657616899999998E-2</v>
      </c>
      <c r="N73" s="79">
        <f t="shared" si="22"/>
        <v>274946286.06644124</v>
      </c>
      <c r="O73" s="75" t="s">
        <v>222</v>
      </c>
      <c r="P73" s="39">
        <f t="shared" si="19"/>
        <v>379</v>
      </c>
      <c r="Q73" s="70">
        <f t="shared" si="20"/>
        <v>-3.3163265300000001E-2</v>
      </c>
      <c r="R73" s="79">
        <f t="shared" si="23"/>
        <v>3822142.9111040598</v>
      </c>
    </row>
    <row r="74" spans="1:18">
      <c r="A74" s="40" t="s">
        <v>90</v>
      </c>
      <c r="B74" s="11" t="s">
        <v>91</v>
      </c>
      <c r="C74" s="86">
        <v>16550</v>
      </c>
      <c r="D74" s="34">
        <v>-1.54669839E-2</v>
      </c>
      <c r="E74" s="84">
        <v>51088.33462224</v>
      </c>
      <c r="F74" s="35"/>
      <c r="G74" s="52" t="s">
        <v>157</v>
      </c>
      <c r="H74" s="39">
        <f t="shared" si="15"/>
        <v>176</v>
      </c>
      <c r="I74" s="70">
        <f t="shared" si="24"/>
        <v>-3.8251366100000003E-2</v>
      </c>
      <c r="J74" s="79">
        <f t="shared" si="21"/>
        <v>10781448.88421982</v>
      </c>
      <c r="K74" s="75" t="s">
        <v>191</v>
      </c>
      <c r="L74" s="39">
        <f t="shared" si="17"/>
        <v>48.8</v>
      </c>
      <c r="M74" s="70">
        <f t="shared" si="18"/>
        <v>-3.1746031700000003E-2</v>
      </c>
      <c r="N74" s="79">
        <f t="shared" si="22"/>
        <v>14155643.677953189</v>
      </c>
      <c r="O74" s="75" t="s">
        <v>68</v>
      </c>
      <c r="P74" s="39">
        <f t="shared" si="19"/>
        <v>257</v>
      </c>
      <c r="Q74" s="70">
        <f t="shared" si="20"/>
        <v>-3.7453183500000001E-2</v>
      </c>
      <c r="R74" s="79">
        <f t="shared" si="23"/>
        <v>3807770.4547614199</v>
      </c>
    </row>
    <row r="75" spans="1:18" ht="17.25" thickBot="1">
      <c r="A75" s="40" t="s">
        <v>211</v>
      </c>
      <c r="B75" s="11" t="s">
        <v>212</v>
      </c>
      <c r="C75" s="86">
        <v>75.7</v>
      </c>
      <c r="D75" s="34">
        <v>-1.5604681400000001E-2</v>
      </c>
      <c r="E75" s="84">
        <v>12621488.410527861</v>
      </c>
      <c r="F75" s="35"/>
      <c r="G75" s="53" t="s">
        <v>113</v>
      </c>
      <c r="H75" s="37">
        <f t="shared" si="15"/>
        <v>1270</v>
      </c>
      <c r="I75" s="72">
        <f t="shared" si="24"/>
        <v>-4.1509433999999998E-2</v>
      </c>
      <c r="J75" s="80">
        <f t="shared" si="21"/>
        <v>1433323.95203954</v>
      </c>
      <c r="K75" s="77" t="s">
        <v>107</v>
      </c>
      <c r="L75" s="37">
        <f t="shared" si="17"/>
        <v>35.799999999999997</v>
      </c>
      <c r="M75" s="72">
        <f t="shared" si="18"/>
        <v>-3.5040431300000001E-2</v>
      </c>
      <c r="N75" s="80">
        <f t="shared" si="22"/>
        <v>43215964.392860487</v>
      </c>
      <c r="O75" s="77" t="s">
        <v>157</v>
      </c>
      <c r="P75" s="37">
        <f t="shared" si="19"/>
        <v>176</v>
      </c>
      <c r="Q75" s="72">
        <f t="shared" si="20"/>
        <v>-3.8251366100000003E-2</v>
      </c>
      <c r="R75" s="80">
        <f t="shared" si="23"/>
        <v>10781448.88421982</v>
      </c>
    </row>
    <row r="76" spans="1:18">
      <c r="A76" s="40" t="s">
        <v>227</v>
      </c>
      <c r="B76" s="11" t="s">
        <v>228</v>
      </c>
      <c r="C76" s="86">
        <v>56.1</v>
      </c>
      <c r="D76" s="34">
        <v>-1.5789473700000001E-2</v>
      </c>
      <c r="E76" s="84">
        <v>12740596.8685163</v>
      </c>
      <c r="F76" s="35"/>
      <c r="G76" s="35"/>
      <c r="H76" s="35"/>
      <c r="I76" s="35"/>
    </row>
    <row r="77" spans="1:18">
      <c r="A77" s="40" t="s">
        <v>237</v>
      </c>
      <c r="B77" s="11" t="s">
        <v>238</v>
      </c>
      <c r="C77" s="86">
        <v>547</v>
      </c>
      <c r="D77" s="34">
        <v>-1.61870504E-2</v>
      </c>
      <c r="E77" s="84">
        <v>774310.28569815995</v>
      </c>
      <c r="F77" s="35"/>
      <c r="G77" s="35"/>
      <c r="H77" s="35"/>
      <c r="I77" s="35"/>
    </row>
    <row r="78" spans="1:18">
      <c r="A78" s="40" t="s">
        <v>162</v>
      </c>
      <c r="B78" s="11" t="s">
        <v>163</v>
      </c>
      <c r="C78" s="86">
        <v>5995</v>
      </c>
      <c r="D78" s="34">
        <v>-1.6406890899999999E-2</v>
      </c>
      <c r="E78" s="84">
        <v>54998.621208609999</v>
      </c>
      <c r="F78" s="35"/>
      <c r="G78" s="35"/>
      <c r="H78" s="35"/>
      <c r="I78" s="35"/>
    </row>
    <row r="79" spans="1:18">
      <c r="A79" s="40" t="s">
        <v>201</v>
      </c>
      <c r="B79" s="11" t="s">
        <v>202</v>
      </c>
      <c r="C79" s="86">
        <v>297</v>
      </c>
      <c r="D79" s="34">
        <v>-1.6556291399999999E-2</v>
      </c>
      <c r="E79" s="84">
        <v>6556105.4830456199</v>
      </c>
      <c r="F79" s="35"/>
      <c r="G79" s="35"/>
      <c r="H79" s="35"/>
      <c r="I79" s="35"/>
    </row>
    <row r="80" spans="1:18">
      <c r="A80" s="40" t="s">
        <v>164</v>
      </c>
      <c r="B80" s="11" t="s">
        <v>165</v>
      </c>
      <c r="C80" s="86">
        <v>936</v>
      </c>
      <c r="D80" s="34">
        <v>-1.6806722699999999E-2</v>
      </c>
      <c r="E80" s="84">
        <v>6971777.5574340001</v>
      </c>
      <c r="F80" s="35"/>
      <c r="G80" s="35"/>
      <c r="H80" s="35"/>
      <c r="I80" s="35"/>
    </row>
    <row r="81" spans="1:9">
      <c r="A81" s="40" t="s">
        <v>150</v>
      </c>
      <c r="B81" s="11" t="s">
        <v>151</v>
      </c>
      <c r="C81" s="86">
        <v>2030</v>
      </c>
      <c r="D81" s="34">
        <v>-1.6949152499999998E-2</v>
      </c>
      <c r="E81" s="84">
        <v>1961979.6351902401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86">
        <v>448</v>
      </c>
      <c r="D82" s="34">
        <v>-1.75438596E-2</v>
      </c>
      <c r="E82" s="84">
        <v>1123128.3964617699</v>
      </c>
      <c r="F82" s="35"/>
      <c r="G82" s="35"/>
      <c r="H82" s="35"/>
      <c r="I82" s="35"/>
    </row>
    <row r="83" spans="1:9">
      <c r="A83" s="40" t="s">
        <v>166</v>
      </c>
      <c r="B83" s="11" t="s">
        <v>167</v>
      </c>
      <c r="C83" s="86">
        <v>167</v>
      </c>
      <c r="D83" s="34">
        <v>-1.76470588E-2</v>
      </c>
      <c r="E83" s="84">
        <v>3975437.2073602299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86">
        <v>65.7</v>
      </c>
      <c r="D84" s="34">
        <v>-1.79372197E-2</v>
      </c>
      <c r="E84" s="84">
        <v>105410120.45403899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86">
        <v>108</v>
      </c>
      <c r="D85" s="34">
        <v>-1.8181818200000002E-2</v>
      </c>
      <c r="E85" s="84">
        <v>1871432.5502202699</v>
      </c>
      <c r="F85" s="35"/>
      <c r="G85" s="35"/>
      <c r="H85" s="35"/>
      <c r="I85" s="35"/>
    </row>
    <row r="86" spans="1:9">
      <c r="A86" s="40" t="s">
        <v>213</v>
      </c>
      <c r="B86" s="11" t="s">
        <v>214</v>
      </c>
      <c r="C86" s="86">
        <v>956</v>
      </c>
      <c r="D86" s="34">
        <v>-1.8480492800000001E-2</v>
      </c>
      <c r="E86" s="84">
        <v>2282934.6539287199</v>
      </c>
      <c r="F86" s="35"/>
      <c r="G86" s="35"/>
      <c r="H86" s="35"/>
      <c r="I86" s="35"/>
    </row>
    <row r="87" spans="1:9">
      <c r="A87" s="40" t="s">
        <v>241</v>
      </c>
      <c r="B87" s="11" t="s">
        <v>242</v>
      </c>
      <c r="C87" s="86">
        <v>420</v>
      </c>
      <c r="D87" s="34">
        <v>-1.8691588799999999E-2</v>
      </c>
      <c r="E87" s="84">
        <v>2641665.2422823198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86">
        <v>205</v>
      </c>
      <c r="D88" s="34">
        <v>-1.9138756E-2</v>
      </c>
      <c r="E88" s="84">
        <v>1844417.4215188499</v>
      </c>
      <c r="F88" s="35"/>
      <c r="G88" s="35"/>
      <c r="H88" s="35"/>
      <c r="I88" s="35"/>
    </row>
    <row r="89" spans="1:9">
      <c r="A89" s="40" t="s">
        <v>325</v>
      </c>
      <c r="B89" s="11" t="s">
        <v>326</v>
      </c>
      <c r="C89" s="86">
        <v>20.5</v>
      </c>
      <c r="D89" s="34">
        <v>-1.9138756E-2</v>
      </c>
      <c r="E89" s="84">
        <v>17275729.957397941</v>
      </c>
      <c r="F89" s="35"/>
      <c r="G89" s="35"/>
      <c r="H89" s="35"/>
      <c r="I89" s="35"/>
    </row>
    <row r="90" spans="1:9">
      <c r="A90" s="40" t="s">
        <v>131</v>
      </c>
      <c r="B90" s="11" t="s">
        <v>132</v>
      </c>
      <c r="C90" s="86">
        <v>45.8</v>
      </c>
      <c r="D90" s="34">
        <v>-1.9271948600000002E-2</v>
      </c>
      <c r="E90" s="84">
        <v>11642699.992852051</v>
      </c>
      <c r="F90" s="35"/>
      <c r="G90" s="35"/>
      <c r="H90" s="35"/>
      <c r="I90" s="35"/>
    </row>
    <row r="91" spans="1:9">
      <c r="A91" s="40" t="s">
        <v>231</v>
      </c>
      <c r="B91" s="11" t="s">
        <v>232</v>
      </c>
      <c r="C91" s="86">
        <v>250</v>
      </c>
      <c r="D91" s="34">
        <v>-1.9607843100000001E-2</v>
      </c>
      <c r="E91" s="84">
        <v>1237263.0651509999</v>
      </c>
      <c r="F91" s="35"/>
      <c r="G91" s="35"/>
      <c r="H91" s="35"/>
      <c r="I91" s="35"/>
    </row>
    <row r="92" spans="1:9">
      <c r="A92" s="40" t="s">
        <v>86</v>
      </c>
      <c r="B92" s="11" t="s">
        <v>87</v>
      </c>
      <c r="C92" s="86">
        <v>55100</v>
      </c>
      <c r="D92" s="34">
        <v>-1.9921735999999999E-2</v>
      </c>
      <c r="E92" s="84">
        <v>5546.92077642</v>
      </c>
      <c r="F92" s="35"/>
      <c r="G92" s="35"/>
      <c r="H92" s="35"/>
      <c r="I92" s="35"/>
    </row>
    <row r="93" spans="1:9">
      <c r="A93" s="40" t="s">
        <v>223</v>
      </c>
      <c r="B93" s="11" t="s">
        <v>224</v>
      </c>
      <c r="C93" s="86">
        <v>18.600000000000001</v>
      </c>
      <c r="D93" s="34">
        <v>-2.10526316E-2</v>
      </c>
      <c r="E93" s="84">
        <v>6086950.2610441903</v>
      </c>
      <c r="F93" s="35"/>
      <c r="G93" s="35"/>
      <c r="H93" s="35"/>
      <c r="I93" s="35"/>
    </row>
    <row r="94" spans="1:9">
      <c r="A94" s="40" t="s">
        <v>351</v>
      </c>
      <c r="B94" s="11" t="s">
        <v>352</v>
      </c>
      <c r="C94" s="86">
        <v>176</v>
      </c>
      <c r="D94" s="34">
        <v>-2.2222222199999999E-2</v>
      </c>
      <c r="E94" s="84">
        <v>3729485.5337845599</v>
      </c>
      <c r="F94" s="35"/>
      <c r="G94" s="35"/>
      <c r="H94" s="35"/>
      <c r="I94" s="35"/>
    </row>
    <row r="95" spans="1:9">
      <c r="A95" s="40" t="s">
        <v>168</v>
      </c>
      <c r="B95" s="11" t="s">
        <v>169</v>
      </c>
      <c r="C95" s="86">
        <v>220</v>
      </c>
      <c r="D95" s="34">
        <v>-2.2222222199999999E-2</v>
      </c>
      <c r="E95" s="84">
        <v>2855205.6691833399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86">
        <v>6</v>
      </c>
      <c r="D96" s="34">
        <v>-2.2801302900000001E-2</v>
      </c>
      <c r="E96" s="84">
        <v>39428458.255845793</v>
      </c>
      <c r="F96" s="35"/>
      <c r="G96" s="35"/>
      <c r="H96" s="35"/>
      <c r="I96" s="35"/>
    </row>
    <row r="97" spans="1:9">
      <c r="A97" s="40" t="s">
        <v>160</v>
      </c>
      <c r="B97" s="11" t="s">
        <v>161</v>
      </c>
      <c r="C97" s="86">
        <v>292</v>
      </c>
      <c r="D97" s="34">
        <v>-2.3411371199999999E-2</v>
      </c>
      <c r="E97" s="84">
        <v>2821748.3341857302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86">
        <v>332</v>
      </c>
      <c r="D98" s="34">
        <v>-2.35294118E-2</v>
      </c>
      <c r="E98" s="84">
        <v>4335940.2372727804</v>
      </c>
      <c r="F98" s="35"/>
      <c r="G98" s="35"/>
      <c r="H98" s="35"/>
      <c r="I98" s="35"/>
    </row>
    <row r="99" spans="1:9">
      <c r="A99" s="40" t="s">
        <v>123</v>
      </c>
      <c r="B99" s="11" t="s">
        <v>124</v>
      </c>
      <c r="C99" s="86">
        <v>28.9</v>
      </c>
      <c r="D99" s="34">
        <v>-2.3648648599999999E-2</v>
      </c>
      <c r="E99" s="84">
        <v>5038408.5201979997</v>
      </c>
      <c r="F99" s="35"/>
      <c r="G99" s="35"/>
      <c r="H99" s="35"/>
      <c r="I99" s="35"/>
    </row>
    <row r="100" spans="1:9">
      <c r="A100" s="40" t="s">
        <v>348</v>
      </c>
      <c r="B100" s="11" t="s">
        <v>349</v>
      </c>
      <c r="C100" s="86">
        <v>635</v>
      </c>
      <c r="D100" s="34">
        <v>-2.4577572999999998E-2</v>
      </c>
      <c r="E100" s="84">
        <v>3759616.5562051702</v>
      </c>
      <c r="F100" s="35"/>
      <c r="G100" s="35"/>
      <c r="H100" s="35"/>
      <c r="I100" s="35"/>
    </row>
    <row r="101" spans="1:9">
      <c r="A101" s="40" t="s">
        <v>179</v>
      </c>
      <c r="B101" s="11" t="s">
        <v>338</v>
      </c>
      <c r="C101" s="86">
        <v>4.3600000000000003</v>
      </c>
      <c r="D101" s="34">
        <v>-2.4608501099999999E-2</v>
      </c>
      <c r="E101" s="84">
        <v>62259128.400258958</v>
      </c>
      <c r="F101" s="35"/>
      <c r="G101" s="35"/>
      <c r="H101" s="35"/>
      <c r="I101" s="35"/>
    </row>
    <row r="102" spans="1:9">
      <c r="A102" s="40" t="s">
        <v>341</v>
      </c>
      <c r="B102" s="11" t="s">
        <v>342</v>
      </c>
      <c r="C102" s="86">
        <v>115</v>
      </c>
      <c r="D102" s="34">
        <v>-2.54237288E-2</v>
      </c>
      <c r="E102" s="84">
        <v>1954530.0614074999</v>
      </c>
      <c r="F102" s="35"/>
      <c r="G102" s="35"/>
      <c r="H102" s="35"/>
      <c r="I102" s="35"/>
    </row>
    <row r="103" spans="1:9">
      <c r="A103" s="40" t="s">
        <v>186</v>
      </c>
      <c r="B103" s="11" t="s">
        <v>187</v>
      </c>
      <c r="C103" s="86">
        <v>786</v>
      </c>
      <c r="D103" s="34">
        <v>-2.60223048E-2</v>
      </c>
      <c r="E103" s="84">
        <v>1355253.0178185101</v>
      </c>
      <c r="F103" s="35"/>
      <c r="G103" s="35"/>
      <c r="H103" s="35"/>
      <c r="I103" s="35"/>
    </row>
    <row r="104" spans="1:9">
      <c r="A104" s="40" t="s">
        <v>170</v>
      </c>
      <c r="B104" s="11" t="s">
        <v>350</v>
      </c>
      <c r="C104" s="86">
        <v>5.97</v>
      </c>
      <c r="D104" s="34">
        <v>-2.6101141899999999E-2</v>
      </c>
      <c r="E104" s="84">
        <v>208926187.76146051</v>
      </c>
      <c r="F104" s="35"/>
      <c r="G104" s="35"/>
      <c r="H104" s="35"/>
      <c r="I104" s="35"/>
    </row>
    <row r="105" spans="1:9">
      <c r="A105" s="40" t="s">
        <v>70</v>
      </c>
      <c r="B105" s="11" t="s">
        <v>71</v>
      </c>
      <c r="C105" s="86">
        <v>10.3</v>
      </c>
      <c r="D105" s="34">
        <v>-2.8301886799999999E-2</v>
      </c>
      <c r="E105" s="84">
        <v>67073681.59347108</v>
      </c>
      <c r="F105" s="35"/>
      <c r="G105" s="35"/>
      <c r="H105" s="35"/>
      <c r="I105" s="35"/>
    </row>
    <row r="106" spans="1:9">
      <c r="A106" s="40" t="s">
        <v>197</v>
      </c>
      <c r="B106" s="11" t="s">
        <v>198</v>
      </c>
      <c r="C106" s="86">
        <v>6.44</v>
      </c>
      <c r="D106" s="34">
        <v>-2.8657616899999998E-2</v>
      </c>
      <c r="E106" s="84">
        <v>274946286.06644124</v>
      </c>
      <c r="F106" s="35"/>
      <c r="G106" s="35"/>
      <c r="H106" s="35"/>
      <c r="I106" s="35"/>
    </row>
    <row r="107" spans="1:9">
      <c r="A107" s="40" t="s">
        <v>203</v>
      </c>
      <c r="B107" s="11" t="s">
        <v>204</v>
      </c>
      <c r="C107" s="86">
        <v>199</v>
      </c>
      <c r="D107" s="34">
        <v>-2.92682927E-2</v>
      </c>
      <c r="E107" s="84">
        <v>14772383.070254819</v>
      </c>
      <c r="F107" s="35"/>
      <c r="G107" s="35"/>
      <c r="H107" s="35"/>
      <c r="I107" s="35"/>
    </row>
    <row r="108" spans="1:9">
      <c r="A108" s="40" t="s">
        <v>190</v>
      </c>
      <c r="B108" s="11" t="s">
        <v>191</v>
      </c>
      <c r="C108" s="86">
        <v>48.8</v>
      </c>
      <c r="D108" s="34">
        <v>-3.1746031700000003E-2</v>
      </c>
      <c r="E108" s="84">
        <v>14155643.677953189</v>
      </c>
      <c r="F108" s="35"/>
      <c r="G108" s="35"/>
      <c r="H108" s="35"/>
      <c r="I108" s="35"/>
    </row>
    <row r="109" spans="1:9">
      <c r="A109" s="40" t="s">
        <v>175</v>
      </c>
      <c r="B109" s="11" t="s">
        <v>176</v>
      </c>
      <c r="C109" s="86">
        <v>297</v>
      </c>
      <c r="D109" s="34">
        <v>-3.2573289900000003E-2</v>
      </c>
      <c r="E109" s="41">
        <v>1374624.7283647901</v>
      </c>
    </row>
    <row r="110" spans="1:9">
      <c r="A110" s="40" t="s">
        <v>221</v>
      </c>
      <c r="B110" s="11" t="s">
        <v>222</v>
      </c>
      <c r="C110" s="86">
        <v>379</v>
      </c>
      <c r="D110" s="34">
        <v>-3.3163265300000001E-2</v>
      </c>
      <c r="E110" s="41">
        <v>3822142.9111040598</v>
      </c>
    </row>
    <row r="111" spans="1:9">
      <c r="A111" s="40" t="s">
        <v>106</v>
      </c>
      <c r="B111" s="11" t="s">
        <v>107</v>
      </c>
      <c r="C111" s="86">
        <v>35.799999999999997</v>
      </c>
      <c r="D111" s="34">
        <v>-3.5040431300000001E-2</v>
      </c>
      <c r="E111" s="41">
        <v>43215964.392860487</v>
      </c>
    </row>
    <row r="112" spans="1:9">
      <c r="A112" s="40" t="s">
        <v>67</v>
      </c>
      <c r="B112" s="11" t="s">
        <v>68</v>
      </c>
      <c r="C112" s="86">
        <v>257</v>
      </c>
      <c r="D112" s="34">
        <v>-3.7453183500000001E-2</v>
      </c>
      <c r="E112" s="41">
        <v>3807770.4547614199</v>
      </c>
    </row>
    <row r="113" spans="1:5">
      <c r="A113" s="40" t="s">
        <v>156</v>
      </c>
      <c r="B113" s="11" t="s">
        <v>157</v>
      </c>
      <c r="C113" s="86">
        <v>176</v>
      </c>
      <c r="D113" s="34">
        <v>-3.8251366100000003E-2</v>
      </c>
      <c r="E113" s="41">
        <v>10781448.88421982</v>
      </c>
    </row>
    <row r="114" spans="1:5">
      <c r="A114" s="40" t="s">
        <v>112</v>
      </c>
      <c r="B114" s="11" t="s">
        <v>113</v>
      </c>
      <c r="C114" s="86">
        <v>1270</v>
      </c>
      <c r="D114" s="34">
        <v>-4.1509433999999998E-2</v>
      </c>
      <c r="E114" s="41">
        <v>1433323.95203954</v>
      </c>
    </row>
    <row r="115" spans="1:5">
      <c r="A115" s="40"/>
      <c r="B115" s="11"/>
      <c r="C115" s="86"/>
      <c r="E115" s="41"/>
    </row>
    <row r="116" spans="1:5">
      <c r="A116" s="40"/>
      <c r="B116" s="11"/>
      <c r="C116" s="86"/>
      <c r="E116" s="41"/>
    </row>
    <row r="117" spans="1:5">
      <c r="A117" s="40"/>
      <c r="B117" s="11"/>
      <c r="C117" s="86"/>
      <c r="E117" s="41"/>
    </row>
    <row r="118" spans="1:5">
      <c r="A118" s="40"/>
      <c r="B118" s="11"/>
      <c r="C118" s="86"/>
      <c r="E118" s="41"/>
    </row>
    <row r="119" spans="1:5">
      <c r="A119" s="40"/>
      <c r="B119" s="11"/>
      <c r="C119" s="86"/>
      <c r="E119" s="41"/>
    </row>
    <row r="120" spans="1:5">
      <c r="A120" s="40"/>
      <c r="B120" s="11"/>
      <c r="C120" s="86"/>
      <c r="E120" s="41"/>
    </row>
    <row r="121" spans="1:5">
      <c r="A121" s="40"/>
      <c r="B121" s="11"/>
      <c r="C121" s="86"/>
      <c r="E121" s="41"/>
    </row>
    <row r="122" spans="1:5">
      <c r="A122" s="40"/>
      <c r="B122" s="11"/>
      <c r="C122" s="86"/>
      <c r="E122" s="41"/>
    </row>
    <row r="123" spans="1:5">
      <c r="A123" s="40"/>
      <c r="B123" s="11"/>
      <c r="C123" s="86"/>
      <c r="E123" s="41"/>
    </row>
    <row r="124" spans="1:5">
      <c r="A124" s="40"/>
      <c r="B124" s="11"/>
      <c r="C124" s="86"/>
      <c r="E124" s="41"/>
    </row>
    <row r="125" spans="1:5">
      <c r="A125" s="40"/>
      <c r="B125" s="11"/>
      <c r="C125" s="86"/>
      <c r="E125" s="41"/>
    </row>
    <row r="126" spans="1:5">
      <c r="A126" s="40"/>
      <c r="B126" s="11"/>
      <c r="C126" s="86"/>
      <c r="E126" s="41"/>
    </row>
    <row r="127" spans="1:5">
      <c r="A127" s="40"/>
      <c r="B127" s="11"/>
      <c r="C127" s="86"/>
      <c r="E127" s="41"/>
    </row>
    <row r="128" spans="1:5">
      <c r="A128" s="40"/>
      <c r="B128" s="11"/>
      <c r="C128" s="86"/>
      <c r="E128" s="41"/>
    </row>
    <row r="129" spans="1:5">
      <c r="A129" s="40"/>
      <c r="B129" s="11"/>
      <c r="C129" s="86"/>
      <c r="E129" s="41"/>
    </row>
    <row r="130" spans="1:5">
      <c r="A130" s="40"/>
      <c r="B130" s="11"/>
      <c r="C130" s="86"/>
      <c r="E130" s="41"/>
    </row>
    <row r="131" spans="1:5">
      <c r="A131" s="40"/>
      <c r="B131" s="11"/>
      <c r="C131" s="86"/>
      <c r="E131" s="41"/>
    </row>
    <row r="132" spans="1:5">
      <c r="A132" s="40"/>
      <c r="B132" s="11"/>
      <c r="C132" s="86"/>
      <c r="E132" s="41"/>
    </row>
    <row r="133" spans="1:5">
      <c r="A133" s="40"/>
      <c r="B133" s="11"/>
      <c r="C133" s="86"/>
      <c r="E133" s="41"/>
    </row>
    <row r="134" spans="1:5">
      <c r="A134" s="40"/>
      <c r="B134" s="11"/>
      <c r="C134" s="86"/>
      <c r="E134" s="41"/>
    </row>
    <row r="135" spans="1:5">
      <c r="A135" s="40"/>
      <c r="B135" s="11"/>
      <c r="C135" s="86"/>
      <c r="E135" s="41"/>
    </row>
    <row r="136" spans="1:5">
      <c r="A136" s="40"/>
      <c r="B136" s="11"/>
      <c r="C136" s="86"/>
      <c r="E136" s="41"/>
    </row>
    <row r="137" spans="1:5">
      <c r="A137" s="40"/>
      <c r="B137" s="11"/>
      <c r="C137" s="86"/>
      <c r="E137" s="41"/>
    </row>
    <row r="138" spans="1:5">
      <c r="A138" s="40"/>
      <c r="B138" s="11"/>
      <c r="C138" s="86"/>
      <c r="E138" s="41"/>
    </row>
    <row r="139" spans="1:5">
      <c r="A139" s="40"/>
      <c r="B139" s="11"/>
      <c r="C139" s="86"/>
      <c r="E139" s="41"/>
    </row>
    <row r="140" spans="1:5">
      <c r="A140" s="40"/>
      <c r="B140" s="11"/>
      <c r="C140" s="86"/>
      <c r="E140" s="41"/>
    </row>
    <row r="141" spans="1:5">
      <c r="A141" s="40"/>
      <c r="B141" s="11"/>
      <c r="C141" s="86"/>
      <c r="E141" s="41"/>
    </row>
    <row r="142" spans="1:5">
      <c r="A142" s="40"/>
      <c r="B142" s="11"/>
      <c r="C142" s="86"/>
      <c r="E142" s="41"/>
    </row>
    <row r="143" spans="1:5">
      <c r="A143" s="40"/>
      <c r="B143" s="11"/>
      <c r="C143" s="86"/>
      <c r="E143" s="41"/>
    </row>
    <row r="144" spans="1:5">
      <c r="A144" s="40"/>
      <c r="B144" s="11"/>
      <c r="C144" s="86"/>
      <c r="E144" s="41"/>
    </row>
    <row r="145" spans="1:5">
      <c r="A145" s="40"/>
      <c r="B145" s="11"/>
      <c r="C145" s="86"/>
      <c r="E145" s="41"/>
    </row>
    <row r="146" spans="1:5">
      <c r="A146" s="40"/>
      <c r="B146" s="11"/>
      <c r="C146" s="86"/>
      <c r="E146" s="41"/>
    </row>
    <row r="147" spans="1:5">
      <c r="A147" s="40"/>
      <c r="B147" s="11"/>
      <c r="C147" s="86"/>
      <c r="E147" s="41"/>
    </row>
    <row r="148" spans="1:5">
      <c r="A148" s="40"/>
      <c r="B148" s="11"/>
      <c r="C148" s="86"/>
      <c r="E148" s="41"/>
    </row>
    <row r="149" spans="1:5">
      <c r="A149" s="40"/>
      <c r="B149" s="11"/>
      <c r="C149" s="86"/>
      <c r="E149" s="41"/>
    </row>
    <row r="150" spans="1:5">
      <c r="A150" s="40"/>
      <c r="B150" s="11"/>
      <c r="C150" s="86"/>
      <c r="E150" s="41"/>
    </row>
    <row r="151" spans="1:5">
      <c r="A151" s="40"/>
      <c r="B151" s="11"/>
      <c r="C151" s="86"/>
      <c r="E151" s="41"/>
    </row>
    <row r="152" spans="1:5">
      <c r="A152" s="40"/>
      <c r="B152" s="11"/>
      <c r="C152" s="86"/>
      <c r="E152" s="41"/>
    </row>
    <row r="153" spans="1:5">
      <c r="A153" s="40"/>
      <c r="B153" s="11"/>
      <c r="C153" s="86"/>
      <c r="E153" s="41"/>
    </row>
    <row r="154" spans="1:5">
      <c r="A154" s="40"/>
      <c r="B154" s="11"/>
      <c r="C154" s="86"/>
      <c r="E154" s="41"/>
    </row>
    <row r="155" spans="1:5">
      <c r="A155" s="40"/>
      <c r="B155" s="11"/>
      <c r="C155" s="86"/>
      <c r="E155" s="41"/>
    </row>
    <row r="156" spans="1:5">
      <c r="A156" s="40"/>
      <c r="B156" s="11"/>
      <c r="C156" s="86"/>
      <c r="E156" s="41"/>
    </row>
    <row r="157" spans="1:5">
      <c r="A157" s="40"/>
      <c r="B157" s="11"/>
      <c r="C157" s="86"/>
      <c r="E157" s="41"/>
    </row>
    <row r="158" spans="1:5">
      <c r="A158" s="40"/>
      <c r="B158" s="11"/>
      <c r="C158" s="86"/>
      <c r="E158" s="41"/>
    </row>
    <row r="159" spans="1:5">
      <c r="A159" s="40"/>
      <c r="B159" s="11"/>
      <c r="C159" s="86"/>
      <c r="E159" s="41"/>
    </row>
    <row r="160" spans="1:5">
      <c r="A160" s="40"/>
      <c r="B160" s="11"/>
      <c r="C160" s="86"/>
      <c r="E160" s="41"/>
    </row>
    <row r="161" spans="1:5">
      <c r="A161" s="40"/>
      <c r="B161" s="11"/>
      <c r="C161" s="86"/>
      <c r="E161" s="41"/>
    </row>
    <row r="162" spans="1:5">
      <c r="A162" s="40"/>
      <c r="B162" s="11"/>
      <c r="C162" s="86"/>
      <c r="E162" s="41"/>
    </row>
    <row r="163" spans="1:5">
      <c r="A163" s="40"/>
      <c r="B163" s="11"/>
      <c r="C163" s="86"/>
      <c r="E163" s="41"/>
    </row>
    <row r="164" spans="1:5">
      <c r="A164" s="40"/>
      <c r="B164" s="11"/>
      <c r="C164" s="86"/>
      <c r="E164" s="41"/>
    </row>
    <row r="165" spans="1:5">
      <c r="A165" s="40"/>
      <c r="B165" s="11"/>
      <c r="C165" s="86"/>
      <c r="E165" s="41"/>
    </row>
    <row r="166" spans="1:5">
      <c r="A166" s="40"/>
      <c r="B166" s="11"/>
      <c r="C166" s="86"/>
      <c r="E166" s="41"/>
    </row>
    <row r="167" spans="1:5">
      <c r="A167" s="40"/>
      <c r="B167" s="11"/>
      <c r="C167" s="86"/>
      <c r="E167" s="41"/>
    </row>
    <row r="168" spans="1:5">
      <c r="A168" s="40"/>
      <c r="B168" s="11"/>
      <c r="C168" s="86"/>
      <c r="E168" s="41"/>
    </row>
    <row r="169" spans="1:5">
      <c r="A169" s="40"/>
      <c r="B169" s="11"/>
      <c r="C169" s="86"/>
      <c r="E169" s="41"/>
    </row>
    <row r="170" spans="1:5">
      <c r="A170" s="40"/>
      <c r="B170" s="11"/>
      <c r="C170" s="86"/>
      <c r="E170" s="41"/>
    </row>
    <row r="171" spans="1:5">
      <c r="A171" s="40"/>
      <c r="B171" s="11"/>
      <c r="C171" s="86"/>
      <c r="E171" s="41"/>
    </row>
    <row r="172" spans="1:5">
      <c r="A172" s="40"/>
      <c r="B172" s="11"/>
      <c r="C172" s="86"/>
      <c r="E172" s="41"/>
    </row>
    <row r="173" spans="1:5">
      <c r="A173" s="40"/>
      <c r="B173" s="11"/>
      <c r="C173" s="86"/>
      <c r="E173" s="41"/>
    </row>
    <row r="174" spans="1:5">
      <c r="A174" s="40"/>
      <c r="B174" s="11"/>
      <c r="C174" s="86"/>
      <c r="E174" s="41"/>
    </row>
    <row r="175" spans="1:5">
      <c r="A175" s="40"/>
      <c r="B175" s="11"/>
      <c r="C175" s="86"/>
      <c r="E175" s="41"/>
    </row>
    <row r="176" spans="1:5">
      <c r="A176" s="40"/>
      <c r="B176" s="11"/>
      <c r="C176" s="86"/>
      <c r="E176" s="41"/>
    </row>
    <row r="177" spans="1:5">
      <c r="A177" s="40"/>
      <c r="B177" s="11"/>
      <c r="C177" s="86"/>
      <c r="E177" s="41"/>
    </row>
    <row r="178" spans="1:5">
      <c r="A178" s="40"/>
      <c r="B178" s="11"/>
      <c r="C178" s="86"/>
      <c r="E178" s="41"/>
    </row>
    <row r="179" spans="1:5">
      <c r="A179" s="40"/>
      <c r="B179" s="11"/>
      <c r="C179" s="86"/>
      <c r="E179" s="41"/>
    </row>
    <row r="180" spans="1:5">
      <c r="A180" s="40"/>
      <c r="B180" s="11"/>
      <c r="C180" s="86"/>
      <c r="E180" s="41"/>
    </row>
    <row r="181" spans="1:5">
      <c r="A181" s="40"/>
      <c r="B181" s="11"/>
      <c r="C181" s="86"/>
      <c r="E181" s="41"/>
    </row>
    <row r="182" spans="1:5">
      <c r="A182" s="40"/>
      <c r="B182" s="11"/>
      <c r="C182" s="86"/>
      <c r="E182" s="41"/>
    </row>
    <row r="183" spans="1:5">
      <c r="A183" s="40"/>
      <c r="B183" s="11"/>
      <c r="C183" s="86"/>
      <c r="E183" s="41"/>
    </row>
    <row r="184" spans="1:5">
      <c r="A184" s="40"/>
      <c r="B184" s="11"/>
      <c r="C184" s="86"/>
      <c r="E184" s="41"/>
    </row>
    <row r="185" spans="1:5">
      <c r="A185" s="40"/>
      <c r="B185" s="11"/>
      <c r="C185" s="86"/>
      <c r="E185" s="41"/>
    </row>
    <row r="186" spans="1:5">
      <c r="A186" s="40"/>
      <c r="B186" s="11"/>
      <c r="C186" s="86"/>
      <c r="E186" s="41"/>
    </row>
    <row r="187" spans="1:5">
      <c r="A187" s="40"/>
      <c r="B187" s="11"/>
      <c r="C187" s="86"/>
      <c r="E187" s="41"/>
    </row>
    <row r="188" spans="1:5">
      <c r="A188" s="40"/>
      <c r="B188" s="11"/>
      <c r="C188" s="86"/>
      <c r="E188" s="41"/>
    </row>
    <row r="189" spans="1:5">
      <c r="A189" s="40"/>
      <c r="B189" s="11"/>
      <c r="C189" s="86"/>
      <c r="E189" s="41"/>
    </row>
    <row r="190" spans="1:5">
      <c r="A190" s="40"/>
      <c r="B190" s="11"/>
      <c r="C190" s="86"/>
      <c r="E190" s="41"/>
    </row>
    <row r="191" spans="1:5">
      <c r="A191" s="40"/>
      <c r="B191" s="11"/>
      <c r="C191" s="86"/>
      <c r="E191" s="41"/>
    </row>
    <row r="192" spans="1:5">
      <c r="A192" s="40"/>
      <c r="B192" s="11"/>
      <c r="C192" s="86"/>
      <c r="E192" s="41"/>
    </row>
    <row r="193" spans="1:5">
      <c r="A193" s="40"/>
      <c r="B193" s="11"/>
      <c r="C193" s="86"/>
      <c r="E193" s="41"/>
    </row>
    <row r="194" spans="1:5">
      <c r="A194" s="40"/>
      <c r="B194" s="11"/>
      <c r="C194" s="86"/>
      <c r="E194" s="41"/>
    </row>
    <row r="195" spans="1:5">
      <c r="A195" s="40"/>
      <c r="B195" s="11"/>
      <c r="C195" s="86"/>
      <c r="E195" s="41"/>
    </row>
    <row r="196" spans="1:5">
      <c r="A196" s="40"/>
      <c r="B196" s="11"/>
      <c r="C196" s="86"/>
      <c r="E196" s="41"/>
    </row>
    <row r="197" spans="1:5">
      <c r="A197" s="40"/>
      <c r="B197" s="11"/>
      <c r="C197" s="86"/>
      <c r="E197" s="41"/>
    </row>
    <row r="198" spans="1:5">
      <c r="A198" s="40"/>
      <c r="B198" s="11"/>
      <c r="C198" s="86"/>
      <c r="E198" s="41"/>
    </row>
    <row r="199" spans="1:5">
      <c r="A199" s="40"/>
      <c r="C199" s="87"/>
      <c r="E199" s="41"/>
    </row>
    <row r="200" spans="1:5" ht="17.25" thickBot="1">
      <c r="A200" s="42"/>
      <c r="B200" s="60"/>
      <c r="C200" s="88"/>
      <c r="D200" s="85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6" workbookViewId="0">
      <selection activeCell="B250" sqref="B250"/>
    </sheetView>
  </sheetViews>
  <sheetFormatPr defaultRowHeight="16.5" customHeight="1"/>
  <cols>
    <col min="1" max="1" width="9" style="106"/>
    <col min="2" max="2" width="11.875" style="106" bestFit="1" customWidth="1"/>
    <col min="3" max="3" width="21.25" style="106" customWidth="1"/>
    <col min="4" max="4" width="16.25" style="106" bestFit="1" customWidth="1"/>
    <col min="5" max="5" width="9" style="106"/>
    <col min="6" max="6" width="14.375" style="106" bestFit="1" customWidth="1"/>
    <col min="7" max="7" width="16.25" style="106" bestFit="1" customWidth="1"/>
    <col min="8" max="8" width="9" style="106"/>
    <col min="9" max="9" width="14.5" style="106" customWidth="1"/>
    <col min="10" max="10" width="16.25" style="106" bestFit="1" customWidth="1"/>
    <col min="11" max="11" width="9" style="106"/>
    <col min="12" max="13" width="16.25" style="106" bestFit="1" customWidth="1"/>
    <col min="14" max="14" width="9" style="106"/>
    <col min="15" max="15" width="15.25" style="106" bestFit="1" customWidth="1"/>
    <col min="16" max="16" width="9" style="106" customWidth="1"/>
    <col min="17" max="19" width="12.125" style="106" customWidth="1"/>
    <col min="20" max="16384" width="9" style="106"/>
  </cols>
  <sheetData>
    <row r="1" spans="1:15" ht="16.5" customHeight="1" thickBot="1">
      <c r="A1" s="138" t="str">
        <f>TEXT(투자전략!$G$1, "[$-ko-KR]yyyy년 mm월") &amp; " 총결산"</f>
        <v>2022년 12월 총결산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40"/>
    </row>
    <row r="2" spans="1:15" ht="16.5" customHeight="1" thickBot="1">
      <c r="A2" s="144" t="s">
        <v>279</v>
      </c>
      <c r="B2" s="145"/>
      <c r="C2" s="145"/>
      <c r="D2" s="136" t="s">
        <v>275</v>
      </c>
      <c r="E2" s="136"/>
      <c r="F2" s="137"/>
      <c r="G2" s="138" t="s">
        <v>276</v>
      </c>
      <c r="H2" s="139"/>
      <c r="I2" s="140"/>
      <c r="J2" s="135" t="s">
        <v>277</v>
      </c>
      <c r="K2" s="136"/>
      <c r="L2" s="136"/>
      <c r="M2" s="136" t="s">
        <v>278</v>
      </c>
      <c r="N2" s="136"/>
      <c r="O2" s="137"/>
    </row>
    <row r="3" spans="1:15" ht="16.5" customHeight="1">
      <c r="A3" s="215">
        <v>1</v>
      </c>
      <c r="B3" s="14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146"/>
      <c r="D3" s="144" t="s">
        <v>280</v>
      </c>
      <c r="E3" s="145"/>
      <c r="F3" s="146"/>
      <c r="G3" s="144" t="s">
        <v>287</v>
      </c>
      <c r="H3" s="145"/>
      <c r="I3" s="146"/>
      <c r="J3" s="144" t="s">
        <v>294</v>
      </c>
      <c r="K3" s="145"/>
      <c r="L3" s="146"/>
      <c r="M3" s="144" t="s">
        <v>301</v>
      </c>
      <c r="N3" s="145"/>
      <c r="O3" s="146"/>
    </row>
    <row r="4" spans="1:15" ht="16.5" customHeight="1" thickBot="1">
      <c r="A4" s="216"/>
      <c r="B4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152"/>
      <c r="D4" s="150" t="str">
        <f ca="1" xml:space="preserve"> TEXT($F$92, "#,##0") &amp; " KRW (" &amp; TEXT($E$92, "0.00%)")</f>
        <v>-420,737 KRW (-14.02%)</v>
      </c>
      <c r="E4" s="151"/>
      <c r="F4" s="152"/>
      <c r="G4" s="150" t="str">
        <f ca="1" xml:space="preserve"> TEXT($I$92, "#,##0") &amp; " KRW (" &amp; TEXT($H$92, "0.00%)")</f>
        <v>-321,478 KRW (-10.72%)</v>
      </c>
      <c r="H4" s="151"/>
      <c r="I4" s="152"/>
      <c r="J4" s="150" t="str">
        <f ca="1" xml:space="preserve"> TEXT($L$92, "#,##0") &amp; " KRW (" &amp; TEXT($K$92, "0.00%)")</f>
        <v>-280,283 KRW (-9.34%)</v>
      </c>
      <c r="K4" s="151"/>
      <c r="L4" s="152"/>
      <c r="M4" s="150" t="str">
        <f ca="1" xml:space="preserve"> TEXT($O$92, "#,##0") &amp; " KRW (" &amp; TEXT($N$92, "0.00%)")</f>
        <v>-541,301 KRW (-18.04%)</v>
      </c>
      <c r="N4" s="151"/>
      <c r="O4" s="152"/>
    </row>
    <row r="5" spans="1:15" ht="16.5" customHeight="1">
      <c r="A5" s="215">
        <v>2</v>
      </c>
      <c r="B5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146"/>
      <c r="D5" s="144" t="s">
        <v>281</v>
      </c>
      <c r="E5" s="145"/>
      <c r="F5" s="146"/>
      <c r="G5" s="144" t="s">
        <v>288</v>
      </c>
      <c r="H5" s="145"/>
      <c r="I5" s="146"/>
      <c r="J5" s="144" t="s">
        <v>295</v>
      </c>
      <c r="K5" s="145"/>
      <c r="L5" s="146"/>
      <c r="M5" s="144" t="s">
        <v>302</v>
      </c>
      <c r="N5" s="145"/>
      <c r="O5" s="146"/>
    </row>
    <row r="6" spans="1:15" ht="16.5" customHeight="1" thickBot="1">
      <c r="A6" s="216"/>
      <c r="B6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152"/>
      <c r="D6" s="150" t="str">
        <f ca="1" xml:space="preserve"> TEXT($F$130, "#,##0") &amp; " KRW (" &amp; TEXT($E$130, "0.00%)")</f>
        <v>-545,312 KRW (-18.18%)</v>
      </c>
      <c r="E6" s="151"/>
      <c r="F6" s="152"/>
      <c r="G6" s="150" t="str">
        <f ca="1" xml:space="preserve"> TEXT($I$130, "#,##0") &amp; " KRW (" &amp; TEXT($H$130, "0.00%)")</f>
        <v>-480,231 KRW (-16.01%)</v>
      </c>
      <c r="H6" s="151"/>
      <c r="I6" s="152"/>
      <c r="J6" s="150" t="str">
        <f ca="1" xml:space="preserve"> TEXT($L$130, "#,##0") &amp; " KRW (" &amp; TEXT($K$130, "0.00%)")</f>
        <v>-439,592 KRW (-14.65%)</v>
      </c>
      <c r="K6" s="151"/>
      <c r="L6" s="152"/>
      <c r="M6" s="150" t="str">
        <f ca="1" xml:space="preserve"> TEXT($O$130, "#,##0") &amp; " KRW (" &amp; TEXT($N$130, "0.00%)")</f>
        <v>-673,821 KRW (-22.46%)</v>
      </c>
      <c r="N6" s="151"/>
      <c r="O6" s="152"/>
    </row>
    <row r="7" spans="1:15" ht="16.5" customHeight="1">
      <c r="A7" s="215">
        <v>3</v>
      </c>
      <c r="B7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146"/>
      <c r="D7" s="144" t="s">
        <v>282</v>
      </c>
      <c r="E7" s="145"/>
      <c r="F7" s="146"/>
      <c r="G7" s="144" t="s">
        <v>289</v>
      </c>
      <c r="H7" s="145"/>
      <c r="I7" s="146"/>
      <c r="J7" s="144" t="s">
        <v>296</v>
      </c>
      <c r="K7" s="145"/>
      <c r="L7" s="146"/>
      <c r="M7" s="144" t="s">
        <v>303</v>
      </c>
      <c r="N7" s="145"/>
      <c r="O7" s="146"/>
    </row>
    <row r="8" spans="1:15" ht="16.5" customHeight="1" thickBot="1">
      <c r="A8" s="216"/>
      <c r="B8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152"/>
      <c r="D8" s="150" t="str">
        <f ca="1" xml:space="preserve"> TEXT($F$206, "#,##0") &amp; " KRW (" &amp; TEXT($E$206, "0.00%)")</f>
        <v>-230,864 KRW (-7.70%)</v>
      </c>
      <c r="E8" s="151"/>
      <c r="F8" s="152"/>
      <c r="G8" s="150" t="str">
        <f ca="1" xml:space="preserve"> TEXT($I$206, "#,##0") &amp; " KRW (" &amp; TEXT($H$206, "0.00%)")</f>
        <v>-202,727 KRW (-6.76%)</v>
      </c>
      <c r="H8" s="151"/>
      <c r="I8" s="152"/>
      <c r="J8" s="150" t="str">
        <f ca="1" xml:space="preserve"> TEXT($L$206, "#,##0") &amp; " KRW (" &amp; TEXT($K$206, "0.00%)")</f>
        <v>-114,151 KRW (-3.81%)</v>
      </c>
      <c r="K8" s="151"/>
      <c r="L8" s="152"/>
      <c r="M8" s="150" t="str">
        <f ca="1" xml:space="preserve"> TEXT($O$206, "#,##0") &amp; " KRW (" &amp; TEXT($N$206, "0.00%)")</f>
        <v>-304,517 KRW (-10.15%)</v>
      </c>
      <c r="N8" s="151"/>
      <c r="O8" s="152"/>
    </row>
    <row r="9" spans="1:15" ht="16.5" customHeight="1">
      <c r="A9" s="215">
        <v>4</v>
      </c>
      <c r="B9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146"/>
      <c r="D9" s="144" t="s">
        <v>283</v>
      </c>
      <c r="E9" s="145"/>
      <c r="F9" s="146"/>
      <c r="G9" s="144" t="s">
        <v>290</v>
      </c>
      <c r="H9" s="145"/>
      <c r="I9" s="146"/>
      <c r="J9" s="144" t="s">
        <v>297</v>
      </c>
      <c r="K9" s="145"/>
      <c r="L9" s="146"/>
      <c r="M9" s="144" t="s">
        <v>304</v>
      </c>
      <c r="N9" s="145"/>
      <c r="O9" s="146"/>
    </row>
    <row r="10" spans="1:15" ht="16.5" customHeight="1" thickBot="1">
      <c r="A10" s="216"/>
      <c r="B10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152"/>
      <c r="D10" s="150" t="str">
        <f ca="1" xml:space="preserve"> TEXT($F$244, "#,##0") &amp; " KRW (" &amp; TEXT($E$244, "0.00%)")</f>
        <v>-442,549 KRW (-14.75%)</v>
      </c>
      <c r="E10" s="151"/>
      <c r="F10" s="152"/>
      <c r="G10" s="150" t="str">
        <f ca="1" xml:space="preserve"> TEXT($I$244, "#,##0") &amp; " KRW (" &amp; TEXT($H$244, "0.00%)")</f>
        <v>-346,473 KRW (-11.55%)</v>
      </c>
      <c r="H10" s="151"/>
      <c r="I10" s="152"/>
      <c r="J10" s="150" t="str">
        <f ca="1" xml:space="preserve"> TEXT($L$244, "#,##0") &amp; " KRW (" &amp; TEXT($K$244, "0.00%)")</f>
        <v>-276,207 KRW (-9.21%)</v>
      </c>
      <c r="K10" s="151"/>
      <c r="L10" s="152"/>
      <c r="M10" s="150" t="str">
        <f ca="1" xml:space="preserve"> TEXT($O$244, "#,##0") &amp; " KRW (" &amp; TEXT($N$244, "0.00%)")</f>
        <v>-572,292 KRW (-19.08%)</v>
      </c>
      <c r="N10" s="151"/>
      <c r="O10" s="152"/>
    </row>
    <row r="11" spans="1:15" ht="16.5" customHeight="1">
      <c r="A11" s="215">
        <v>5</v>
      </c>
      <c r="B11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Bottom20</v>
      </c>
      <c r="C11" s="146"/>
      <c r="D11" s="144" t="s">
        <v>284</v>
      </c>
      <c r="E11" s="145"/>
      <c r="F11" s="146"/>
      <c r="G11" s="144" t="s">
        <v>291</v>
      </c>
      <c r="H11" s="145"/>
      <c r="I11" s="146"/>
      <c r="J11" s="144" t="s">
        <v>298</v>
      </c>
      <c r="K11" s="145"/>
      <c r="L11" s="146"/>
      <c r="M11" s="144" t="s">
        <v>305</v>
      </c>
      <c r="N11" s="145"/>
      <c r="O11" s="146"/>
    </row>
    <row r="12" spans="1:15" ht="16.5" customHeight="1" thickBot="1">
      <c r="A12" s="216"/>
      <c r="B12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-114,151 KRW (-3.81%)</v>
      </c>
      <c r="C12" s="152"/>
      <c r="D12" s="150" t="str">
        <f ca="1" xml:space="preserve"> TEXT($F$168, "#,##0") &amp; " KRW (" &amp; TEXT($E$168, "0.00%)")</f>
        <v>-583,123 KRW (-19.44%)</v>
      </c>
      <c r="E12" s="151"/>
      <c r="F12" s="152"/>
      <c r="G12" s="150" t="str">
        <f ca="1" xml:space="preserve"> TEXT($I$168, "#,##0") &amp; " KRW (" &amp; TEXT($H$168, "0.00%)")</f>
        <v>-546,257 KRW (-18.21%)</v>
      </c>
      <c r="H12" s="151"/>
      <c r="I12" s="152"/>
      <c r="J12" s="150" t="str">
        <f ca="1" xml:space="preserve"> TEXT($L$168, "#,##0") &amp; " KRW (" &amp; TEXT($K$168, "0.00%)")</f>
        <v>-518,402 KRW (-17.28%)</v>
      </c>
      <c r="K12" s="151"/>
      <c r="L12" s="152"/>
      <c r="M12" s="150" t="str">
        <f ca="1" xml:space="preserve"> TEXT($O$168, "#,##0") &amp; " KRW (" &amp; TEXT($N$168, "0.00%)")</f>
        <v>-816,748 KRW (-27.22%)</v>
      </c>
      <c r="N12" s="151"/>
      <c r="O12" s="152"/>
    </row>
    <row r="13" spans="1:15" ht="16.5" customHeight="1">
      <c r="A13" s="215">
        <v>6</v>
      </c>
      <c r="B13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Bottom20</v>
      </c>
      <c r="C13" s="146"/>
      <c r="D13" s="144" t="s">
        <v>285</v>
      </c>
      <c r="E13" s="145"/>
      <c r="F13" s="146"/>
      <c r="G13" s="144" t="s">
        <v>292</v>
      </c>
      <c r="H13" s="145"/>
      <c r="I13" s="146"/>
      <c r="J13" s="144" t="s">
        <v>299</v>
      </c>
      <c r="K13" s="145"/>
      <c r="L13" s="146"/>
      <c r="M13" s="144" t="s">
        <v>306</v>
      </c>
      <c r="N13" s="145"/>
      <c r="O13" s="146"/>
    </row>
    <row r="14" spans="1:15" ht="16.5" customHeight="1" thickBot="1">
      <c r="A14" s="216"/>
      <c r="B14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-202,727 KRW (-6.76%)</v>
      </c>
      <c r="C14" s="152"/>
      <c r="D14" s="150" t="str">
        <f ca="1" xml:space="preserve"> TEXT($F$282, "#,##0") &amp; " KRW (" &amp; TEXT($E$282, "0.00%)")</f>
        <v>-502,722 KRW (-16.76%)</v>
      </c>
      <c r="E14" s="151"/>
      <c r="F14" s="152"/>
      <c r="G14" s="150" t="str">
        <f ca="1" xml:space="preserve"> TEXT($I$282, "#,##0") &amp; " KRW (" &amp; TEXT($H$282, "0.00%)")</f>
        <v>-424,733 KRW (-14.16%)</v>
      </c>
      <c r="H14" s="151"/>
      <c r="I14" s="152"/>
      <c r="J14" s="150" t="str">
        <f ca="1" xml:space="preserve"> TEXT($L$282, "#,##0") &amp; " KRW (" &amp; TEXT($K$282, "0.00%)")</f>
        <v>-479,167 KRW (-15.97%)</v>
      </c>
      <c r="K14" s="151"/>
      <c r="L14" s="152"/>
      <c r="M14" s="150" t="str">
        <f ca="1" xml:space="preserve"> TEXT($O$282, "#,##0") &amp; " KRW (" &amp; TEXT($N$282, "0.00%)")</f>
        <v>-729,589 KRW (-24.32%)</v>
      </c>
      <c r="N14" s="151"/>
      <c r="O14" s="152"/>
    </row>
    <row r="15" spans="1:15" ht="16.5" customHeight="1">
      <c r="A15" s="215">
        <v>7</v>
      </c>
      <c r="B15" s="1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Bottom20</v>
      </c>
      <c r="C15" s="146"/>
      <c r="D15" s="144" t="s">
        <v>286</v>
      </c>
      <c r="E15" s="145"/>
      <c r="F15" s="146"/>
      <c r="G15" s="144" t="s">
        <v>293</v>
      </c>
      <c r="H15" s="145"/>
      <c r="I15" s="146"/>
      <c r="J15" s="144" t="s">
        <v>300</v>
      </c>
      <c r="K15" s="145"/>
      <c r="L15" s="146"/>
      <c r="M15" s="144" t="s">
        <v>307</v>
      </c>
      <c r="N15" s="145"/>
      <c r="O15" s="146"/>
    </row>
    <row r="16" spans="1:15" ht="16.5" customHeight="1" thickBot="1">
      <c r="A16" s="216"/>
      <c r="B16" s="1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-230,864 KRW (-7.70%)</v>
      </c>
      <c r="C16" s="152"/>
      <c r="D16" s="150" t="str">
        <f ca="1" xml:space="preserve"> TEXT($F$54, "#,##0") &amp; " KRW (" &amp; TEXT($E$54, "0.00%)")</f>
        <v>0 KRW (0.00%)</v>
      </c>
      <c r="E16" s="151"/>
      <c r="F16" s="152"/>
      <c r="G16" s="150" t="str">
        <f ca="1" xml:space="preserve"> TEXT($I$54, "#,##0") &amp; " KRW (" &amp; TEXT($H$54, "0.00%)")</f>
        <v>0 KRW (0.00%)</v>
      </c>
      <c r="H16" s="151"/>
      <c r="I16" s="152"/>
      <c r="J16" s="150" t="str">
        <f ca="1" xml:space="preserve"> TEXT($L$54, "#,##0") &amp; " KRW (" &amp; TEXT($K$54, "0.00%)")</f>
        <v>0 KRW (0.00%)</v>
      </c>
      <c r="K16" s="151"/>
      <c r="L16" s="152"/>
      <c r="M16" s="150" t="str">
        <f ca="1" xml:space="preserve"> TEXT($O$54, "#,##0") &amp; " KRW (" &amp; TEXT($N$54, "0.00%)")</f>
        <v>0 KRW (0.00%)</v>
      </c>
      <c r="N16" s="151"/>
      <c r="O16" s="152"/>
    </row>
    <row r="18" spans="1:15" ht="16.5" customHeight="1" thickBot="1"/>
    <row r="19" spans="1:15" ht="16.5" customHeight="1" thickBot="1">
      <c r="A19" s="135" t="str">
        <f>TEXT(투자전략!$G$1, "[$-ko-KR]yyyy년 mm월 ") &amp; "실거래 월말결산"</f>
        <v>2022년 12월 실거래 월말결산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7"/>
    </row>
    <row r="20" spans="1:15" ht="16.5" customHeight="1" thickBot="1">
      <c r="A20" s="196" t="s">
        <v>274</v>
      </c>
      <c r="B20" s="150" t="s">
        <v>272</v>
      </c>
      <c r="C20" s="152"/>
      <c r="D20" s="150" t="s">
        <v>264</v>
      </c>
      <c r="E20" s="151"/>
      <c r="F20" s="152"/>
      <c r="G20" s="150" t="s">
        <v>265</v>
      </c>
      <c r="H20" s="151"/>
      <c r="I20" s="152"/>
      <c r="J20" s="150" t="s">
        <v>266</v>
      </c>
      <c r="K20" s="151"/>
      <c r="L20" s="152"/>
      <c r="M20" s="150" t="s">
        <v>267</v>
      </c>
      <c r="N20" s="151"/>
      <c r="O20" s="152"/>
    </row>
    <row r="21" spans="1:15" ht="16.5" customHeight="1" thickBot="1">
      <c r="A21" s="200"/>
      <c r="B21" s="46" t="s">
        <v>262</v>
      </c>
      <c r="C21" s="46" t="s">
        <v>42</v>
      </c>
      <c r="D21" s="105" t="s">
        <v>263</v>
      </c>
      <c r="E21" s="106" t="s">
        <v>40</v>
      </c>
      <c r="F21" s="81" t="s">
        <v>41</v>
      </c>
      <c r="G21" s="105" t="s">
        <v>263</v>
      </c>
      <c r="H21" s="106" t="s">
        <v>40</v>
      </c>
      <c r="I21" s="81" t="s">
        <v>41</v>
      </c>
      <c r="J21" s="105" t="s">
        <v>263</v>
      </c>
      <c r="K21" s="106" t="s">
        <v>40</v>
      </c>
      <c r="L21" s="81" t="s">
        <v>41</v>
      </c>
      <c r="M21" s="105" t="s">
        <v>263</v>
      </c>
      <c r="N21" s="106" t="s">
        <v>40</v>
      </c>
      <c r="O21" s="81" t="s">
        <v>41</v>
      </c>
    </row>
    <row r="22" spans="1:15" ht="16.5" customHeight="1">
      <c r="A22" s="46">
        <v>1</v>
      </c>
      <c r="B22" s="126" t="str">
        <f>HYPERLINK("#'" &amp; TEXT(투자전략!$G$1+0, "[$-ko-KR]yyyy.mm.dd") &amp; "'!A13:O37", TEXT(투자전략!$G$1+0, "[$-ko-KR]yyyy.mm.dd"))</f>
        <v>2022.12.01</v>
      </c>
      <c r="C22" s="117">
        <f ca="1">IFERROR(COUNTA(INDIRECT($B22&amp;"!A17:A36")) * INDIRECT($B22&amp;"!B37"), "")</f>
        <v>0</v>
      </c>
      <c r="D22" s="125">
        <f ca="1">IFERROR($C22 * (1 + E22), "")</f>
        <v>0</v>
      </c>
      <c r="E22" s="69">
        <f ca="1">IFERROR(INDIRECT($B22&amp;"!E37"), "")</f>
        <v>0</v>
      </c>
      <c r="F22" s="124">
        <f ca="1">IFERROR(INDIRECT($B22&amp;"!F37"), "")</f>
        <v>0</v>
      </c>
      <c r="G22" s="125">
        <f ca="1">IFERROR($C22 * (1 + H22), "")</f>
        <v>0</v>
      </c>
      <c r="H22" s="69">
        <f ca="1">IFERROR(INDIRECT($B22&amp;"!H37"), "")</f>
        <v>0</v>
      </c>
      <c r="I22" s="124">
        <f ca="1">IFERROR(INDIRECT($B22&amp;"!I37"), "")</f>
        <v>0</v>
      </c>
      <c r="J22" s="125">
        <f ca="1">IFERROR($C22 * (1 + K22), "")</f>
        <v>0</v>
      </c>
      <c r="K22" s="69">
        <f ca="1">IFERROR(INDIRECT($B22&amp;"!K37"), "")</f>
        <v>0</v>
      </c>
      <c r="L22" s="124">
        <f ca="1">IFERROR(INDIRECT($B22&amp;"!L37"), "")</f>
        <v>0</v>
      </c>
      <c r="M22" s="125">
        <f ca="1">IFERROR($C22 * (1 + N22), "")</f>
        <v>0</v>
      </c>
      <c r="N22" s="69">
        <f ca="1">IFERROR(INDIRECT($B22&amp;"!N37"), "")</f>
        <v>0</v>
      </c>
      <c r="O22" s="124">
        <f ca="1">IFERROR(INDIRECT($B22&amp;"!O37"), "")</f>
        <v>0</v>
      </c>
    </row>
    <row r="23" spans="1:15" ht="16.5" customHeight="1">
      <c r="A23" s="47">
        <v>2</v>
      </c>
      <c r="B23" s="127" t="str">
        <f>HYPERLINK("#'" &amp; TEXT(투자전략!$G$1+1, "[$-ko-KR]yyyy.mm.dd") &amp; "'!A13:O37", TEXT(투자전략!$G$1+1, "[$-ko-KR]yyyy.mm.dd"))</f>
        <v>2022.12.02</v>
      </c>
      <c r="C23" s="118">
        <f t="shared" ref="C23:C52" ca="1" si="0">IFERROR(COUNTA(INDIRECT($B23&amp;"!A17:A36")) * INDIRECT($B23&amp;"!B37"), "")</f>
        <v>0</v>
      </c>
      <c r="D23" s="122">
        <f t="shared" ref="D23:D52" ca="1" si="1">IFERROR($C23 * (1 + E23), "")</f>
        <v>0</v>
      </c>
      <c r="E23" s="70">
        <f t="shared" ref="E23:E52" ca="1" si="2">IFERROR(INDIRECT($B23&amp;"!E37"), "")</f>
        <v>0</v>
      </c>
      <c r="F23" s="120">
        <f t="shared" ref="F23:F52" ca="1" si="3">IFERROR(INDIRECT($B23&amp;"!F37"), "")</f>
        <v>0</v>
      </c>
      <c r="G23" s="122">
        <f t="shared" ref="G23:G52" ca="1" si="4">IFERROR($C23 * (1 + H23), "")</f>
        <v>0</v>
      </c>
      <c r="H23" s="70">
        <f t="shared" ref="H23:H52" ca="1" si="5">IFERROR(INDIRECT($B23&amp;"!H37"), "")</f>
        <v>0</v>
      </c>
      <c r="I23" s="120">
        <f t="shared" ref="I23:I52" ca="1" si="6">IFERROR(INDIRECT($B23&amp;"!I37"), "")</f>
        <v>0</v>
      </c>
      <c r="J23" s="122">
        <f t="shared" ref="J23:J52" ca="1" si="7">IFERROR($C23 * (1 + K23), "")</f>
        <v>0</v>
      </c>
      <c r="K23" s="70">
        <f t="shared" ref="K23:K52" ca="1" si="8">IFERROR(INDIRECT($B23&amp;"!K37"), "")</f>
        <v>0</v>
      </c>
      <c r="L23" s="120">
        <f t="shared" ref="L23:L52" ca="1" si="9">IFERROR(INDIRECT($B23&amp;"!L37"), "")</f>
        <v>0</v>
      </c>
      <c r="M23" s="122">
        <f t="shared" ref="M23:M52" ca="1" si="10">IFERROR($C23 * (1 + N23), "")</f>
        <v>0</v>
      </c>
      <c r="N23" s="70">
        <f t="shared" ref="N23:N52" ca="1" si="11">IFERROR(INDIRECT($B23&amp;"!N37"), "")</f>
        <v>0</v>
      </c>
      <c r="O23" s="120">
        <f t="shared" ref="O23:O52" ca="1" si="12">IFERROR(INDIRECT($B23&amp;"!O37"), "")</f>
        <v>0</v>
      </c>
    </row>
    <row r="24" spans="1:15" ht="16.5" customHeight="1">
      <c r="A24" s="47">
        <v>3</v>
      </c>
      <c r="B24" s="127" t="str">
        <f>HYPERLINK("#'" &amp; TEXT(투자전략!$G$1+2, "[$-ko-KR]yyyy.mm.dd") &amp; "'!A13:O37", TEXT(투자전략!$G$1+2, "[$-ko-KR]yyyy.mm.dd"))</f>
        <v>2022.12.03</v>
      </c>
      <c r="C24" s="118">
        <f t="shared" ca="1" si="0"/>
        <v>0</v>
      </c>
      <c r="D24" s="122">
        <f t="shared" ca="1" si="1"/>
        <v>0</v>
      </c>
      <c r="E24" s="70">
        <f t="shared" ca="1" si="2"/>
        <v>0</v>
      </c>
      <c r="F24" s="120">
        <f t="shared" ca="1" si="3"/>
        <v>0</v>
      </c>
      <c r="G24" s="122">
        <f t="shared" ca="1" si="4"/>
        <v>0</v>
      </c>
      <c r="H24" s="70">
        <f t="shared" ca="1" si="5"/>
        <v>0</v>
      </c>
      <c r="I24" s="120">
        <f t="shared" ca="1" si="6"/>
        <v>0</v>
      </c>
      <c r="J24" s="122">
        <f t="shared" ca="1" si="7"/>
        <v>0</v>
      </c>
      <c r="K24" s="70">
        <f t="shared" ca="1" si="8"/>
        <v>0</v>
      </c>
      <c r="L24" s="120">
        <f t="shared" ca="1" si="9"/>
        <v>0</v>
      </c>
      <c r="M24" s="122">
        <f t="shared" ca="1" si="10"/>
        <v>0</v>
      </c>
      <c r="N24" s="70">
        <f t="shared" ca="1" si="11"/>
        <v>0</v>
      </c>
      <c r="O24" s="120">
        <f t="shared" ca="1" si="12"/>
        <v>0</v>
      </c>
    </row>
    <row r="25" spans="1:15" ht="16.5" customHeight="1">
      <c r="A25" s="47">
        <v>4</v>
      </c>
      <c r="B25" s="127" t="str">
        <f>HYPERLINK("#'" &amp; TEXT(투자전략!$G$1+3, "[$-ko-KR]yyyy.mm.dd") &amp; "'!A13:O37", TEXT(투자전략!$G$1+3, "[$-ko-KR]yyyy.mm.dd"))</f>
        <v>2022.12.04</v>
      </c>
      <c r="C25" s="118">
        <f t="shared" ca="1" si="0"/>
        <v>0</v>
      </c>
      <c r="D25" s="122">
        <f t="shared" ca="1" si="1"/>
        <v>0</v>
      </c>
      <c r="E25" s="70">
        <f t="shared" ca="1" si="2"/>
        <v>0</v>
      </c>
      <c r="F25" s="120">
        <f t="shared" ca="1" si="3"/>
        <v>0</v>
      </c>
      <c r="G25" s="122">
        <f t="shared" ca="1" si="4"/>
        <v>0</v>
      </c>
      <c r="H25" s="70">
        <f t="shared" ca="1" si="5"/>
        <v>0</v>
      </c>
      <c r="I25" s="120">
        <f t="shared" ca="1" si="6"/>
        <v>0</v>
      </c>
      <c r="J25" s="122">
        <f t="shared" ca="1" si="7"/>
        <v>0</v>
      </c>
      <c r="K25" s="70">
        <f t="shared" ca="1" si="8"/>
        <v>0</v>
      </c>
      <c r="L25" s="120">
        <f t="shared" ca="1" si="9"/>
        <v>0</v>
      </c>
      <c r="M25" s="122">
        <f t="shared" ca="1" si="10"/>
        <v>0</v>
      </c>
      <c r="N25" s="70">
        <f t="shared" ca="1" si="11"/>
        <v>0</v>
      </c>
      <c r="O25" s="120">
        <f t="shared" ca="1" si="12"/>
        <v>0</v>
      </c>
    </row>
    <row r="26" spans="1:15" ht="16.5" customHeight="1">
      <c r="A26" s="47">
        <v>5</v>
      </c>
      <c r="B26" s="127" t="str">
        <f>HYPERLINK("#'" &amp; TEXT(투자전략!$G$1+4, "[$-ko-KR]yyyy.mm.dd") &amp; "'!A13:O37", TEXT(투자전략!$G$1+4, "[$-ko-KR]yyyy.mm.dd"))</f>
        <v>2022.12.05</v>
      </c>
      <c r="C26" s="118">
        <f t="shared" ca="1" si="0"/>
        <v>0</v>
      </c>
      <c r="D26" s="122">
        <f t="shared" ca="1" si="1"/>
        <v>0</v>
      </c>
      <c r="E26" s="70">
        <f t="shared" ca="1" si="2"/>
        <v>0</v>
      </c>
      <c r="F26" s="120">
        <f t="shared" ca="1" si="3"/>
        <v>0</v>
      </c>
      <c r="G26" s="122">
        <f t="shared" ca="1" si="4"/>
        <v>0</v>
      </c>
      <c r="H26" s="70">
        <f t="shared" ca="1" si="5"/>
        <v>0</v>
      </c>
      <c r="I26" s="120">
        <f t="shared" ca="1" si="6"/>
        <v>0</v>
      </c>
      <c r="J26" s="122">
        <f t="shared" ca="1" si="7"/>
        <v>0</v>
      </c>
      <c r="K26" s="70">
        <f t="shared" ca="1" si="8"/>
        <v>0</v>
      </c>
      <c r="L26" s="120">
        <f t="shared" ca="1" si="9"/>
        <v>0</v>
      </c>
      <c r="M26" s="122">
        <f t="shared" ca="1" si="10"/>
        <v>0</v>
      </c>
      <c r="N26" s="70">
        <f t="shared" ca="1" si="11"/>
        <v>0</v>
      </c>
      <c r="O26" s="120">
        <f t="shared" ca="1" si="12"/>
        <v>0</v>
      </c>
    </row>
    <row r="27" spans="1:15" ht="16.5" customHeight="1">
      <c r="A27" s="47">
        <v>6</v>
      </c>
      <c r="B27" s="127" t="str">
        <f>HYPERLINK("#'" &amp; TEXT(투자전략!$G$1+5, "[$-ko-KR]yyyy.mm.dd") &amp; "'!A13:O37", TEXT(투자전략!$G$1+5, "[$-ko-KR]yyyy.mm.dd"))</f>
        <v>2022.12.06</v>
      </c>
      <c r="C27" s="118">
        <f t="shared" ca="1" si="0"/>
        <v>0</v>
      </c>
      <c r="D27" s="122">
        <f t="shared" ca="1" si="1"/>
        <v>0</v>
      </c>
      <c r="E27" s="70">
        <f t="shared" ca="1" si="2"/>
        <v>0</v>
      </c>
      <c r="F27" s="120">
        <f t="shared" ca="1" si="3"/>
        <v>0</v>
      </c>
      <c r="G27" s="122">
        <f t="shared" ca="1" si="4"/>
        <v>0</v>
      </c>
      <c r="H27" s="70">
        <f t="shared" ca="1" si="5"/>
        <v>0</v>
      </c>
      <c r="I27" s="120">
        <f t="shared" ca="1" si="6"/>
        <v>0</v>
      </c>
      <c r="J27" s="122">
        <f t="shared" ca="1" si="7"/>
        <v>0</v>
      </c>
      <c r="K27" s="70">
        <f t="shared" ca="1" si="8"/>
        <v>0</v>
      </c>
      <c r="L27" s="120">
        <f t="shared" ca="1" si="9"/>
        <v>0</v>
      </c>
      <c r="M27" s="122">
        <f t="shared" ca="1" si="10"/>
        <v>0</v>
      </c>
      <c r="N27" s="70">
        <f t="shared" ca="1" si="11"/>
        <v>0</v>
      </c>
      <c r="O27" s="120">
        <f t="shared" ca="1" si="12"/>
        <v>0</v>
      </c>
    </row>
    <row r="28" spans="1:15" ht="16.5" customHeight="1" thickBot="1">
      <c r="A28" s="48">
        <v>7</v>
      </c>
      <c r="B28" s="128" t="str">
        <f>HYPERLINK("#'" &amp; TEXT(투자전략!$G$1+6, "[$-ko-KR]yyyy.mm.dd") &amp; "'!A13:O37", TEXT(투자전략!$G$1+6, "[$-ko-KR]yyyy.mm.dd"))</f>
        <v>2022.12.07</v>
      </c>
      <c r="C28" s="119">
        <f t="shared" ca="1" si="0"/>
        <v>0</v>
      </c>
      <c r="D28" s="123">
        <f t="shared" ca="1" si="1"/>
        <v>0</v>
      </c>
      <c r="E28" s="72">
        <f t="shared" ca="1" si="2"/>
        <v>0</v>
      </c>
      <c r="F28" s="121">
        <f t="shared" ca="1" si="3"/>
        <v>0</v>
      </c>
      <c r="G28" s="123">
        <f t="shared" ca="1" si="4"/>
        <v>0</v>
      </c>
      <c r="H28" s="72">
        <f t="shared" ca="1" si="5"/>
        <v>0</v>
      </c>
      <c r="I28" s="121">
        <f t="shared" ca="1" si="6"/>
        <v>0</v>
      </c>
      <c r="J28" s="123">
        <f t="shared" ca="1" si="7"/>
        <v>0</v>
      </c>
      <c r="K28" s="72">
        <f t="shared" ca="1" si="8"/>
        <v>0</v>
      </c>
      <c r="L28" s="121">
        <f t="shared" ca="1" si="9"/>
        <v>0</v>
      </c>
      <c r="M28" s="123">
        <f t="shared" ca="1" si="10"/>
        <v>0</v>
      </c>
      <c r="N28" s="72">
        <f t="shared" ca="1" si="11"/>
        <v>0</v>
      </c>
      <c r="O28" s="121">
        <f t="shared" ca="1" si="12"/>
        <v>0</v>
      </c>
    </row>
    <row r="29" spans="1:15" ht="16.5" customHeight="1">
      <c r="A29" s="46">
        <v>8</v>
      </c>
      <c r="B29" s="126" t="str">
        <f>HYPERLINK("#'" &amp; TEXT(투자전략!$G$1+7, "[$-ko-KR]yyyy.mm.dd") &amp; "'!A13:O37", TEXT(투자전략!$G$1+7, "[$-ko-KR]yyyy.mm.dd"))</f>
        <v>2022.12.08</v>
      </c>
      <c r="C29" s="117">
        <f t="shared" ca="1" si="0"/>
        <v>0</v>
      </c>
      <c r="D29" s="125">
        <f t="shared" ca="1" si="1"/>
        <v>0</v>
      </c>
      <c r="E29" s="69">
        <f t="shared" ca="1" si="2"/>
        <v>0</v>
      </c>
      <c r="F29" s="124">
        <f t="shared" ca="1" si="3"/>
        <v>0</v>
      </c>
      <c r="G29" s="125">
        <f t="shared" ca="1" si="4"/>
        <v>0</v>
      </c>
      <c r="H29" s="69">
        <f t="shared" ca="1" si="5"/>
        <v>0</v>
      </c>
      <c r="I29" s="124">
        <f t="shared" ca="1" si="6"/>
        <v>0</v>
      </c>
      <c r="J29" s="125">
        <f t="shared" ca="1" si="7"/>
        <v>0</v>
      </c>
      <c r="K29" s="69">
        <f t="shared" ca="1" si="8"/>
        <v>0</v>
      </c>
      <c r="L29" s="124">
        <f t="shared" ca="1" si="9"/>
        <v>0</v>
      </c>
      <c r="M29" s="125">
        <f t="shared" ca="1" si="10"/>
        <v>0</v>
      </c>
      <c r="N29" s="69">
        <f t="shared" ca="1" si="11"/>
        <v>0</v>
      </c>
      <c r="O29" s="124">
        <f t="shared" ca="1" si="12"/>
        <v>0</v>
      </c>
    </row>
    <row r="30" spans="1:15" ht="16.5" customHeight="1">
      <c r="A30" s="47">
        <v>9</v>
      </c>
      <c r="B30" s="127" t="str">
        <f>HYPERLINK("#'" &amp; TEXT(투자전략!$G$1+8, "[$-ko-KR]yyyy.mm.dd") &amp; "'!A13:O37", TEXT(투자전략!$G$1+8, "[$-ko-KR]yyyy.mm.dd"))</f>
        <v>2022.12.09</v>
      </c>
      <c r="C30" s="118">
        <f t="shared" ca="1" si="0"/>
        <v>0</v>
      </c>
      <c r="D30" s="122">
        <f t="shared" ca="1" si="1"/>
        <v>0</v>
      </c>
      <c r="E30" s="70">
        <f t="shared" ca="1" si="2"/>
        <v>0</v>
      </c>
      <c r="F30" s="120">
        <f t="shared" ca="1" si="3"/>
        <v>0</v>
      </c>
      <c r="G30" s="122">
        <f t="shared" ca="1" si="4"/>
        <v>0</v>
      </c>
      <c r="H30" s="70">
        <f t="shared" ca="1" si="5"/>
        <v>0</v>
      </c>
      <c r="I30" s="120">
        <f t="shared" ca="1" si="6"/>
        <v>0</v>
      </c>
      <c r="J30" s="122">
        <f t="shared" ca="1" si="7"/>
        <v>0</v>
      </c>
      <c r="K30" s="70">
        <f t="shared" ca="1" si="8"/>
        <v>0</v>
      </c>
      <c r="L30" s="120">
        <f t="shared" ca="1" si="9"/>
        <v>0</v>
      </c>
      <c r="M30" s="122">
        <f t="shared" ca="1" si="10"/>
        <v>0</v>
      </c>
      <c r="N30" s="70">
        <f t="shared" ca="1" si="11"/>
        <v>0</v>
      </c>
      <c r="O30" s="120">
        <f t="shared" ca="1" si="12"/>
        <v>0</v>
      </c>
    </row>
    <row r="31" spans="1:15" ht="16.5" customHeight="1">
      <c r="A31" s="47">
        <v>10</v>
      </c>
      <c r="B31" s="127" t="str">
        <f>HYPERLINK("#'" &amp; TEXT(투자전략!$G$1+9, "[$-ko-KR]yyyy.mm.dd") &amp; "'!A13:O37", TEXT(투자전략!$G$1+9, "[$-ko-KR]yyyy.mm.dd"))</f>
        <v>2022.12.10</v>
      </c>
      <c r="C31" s="118">
        <f t="shared" ca="1" si="0"/>
        <v>0</v>
      </c>
      <c r="D31" s="122">
        <f t="shared" ca="1" si="1"/>
        <v>0</v>
      </c>
      <c r="E31" s="70">
        <f t="shared" ca="1" si="2"/>
        <v>0</v>
      </c>
      <c r="F31" s="120">
        <f t="shared" ca="1" si="3"/>
        <v>0</v>
      </c>
      <c r="G31" s="122">
        <f t="shared" ca="1" si="4"/>
        <v>0</v>
      </c>
      <c r="H31" s="70">
        <f t="shared" ca="1" si="5"/>
        <v>0</v>
      </c>
      <c r="I31" s="120">
        <f t="shared" ca="1" si="6"/>
        <v>0</v>
      </c>
      <c r="J31" s="122">
        <f t="shared" ca="1" si="7"/>
        <v>0</v>
      </c>
      <c r="K31" s="70">
        <f t="shared" ca="1" si="8"/>
        <v>0</v>
      </c>
      <c r="L31" s="120">
        <f t="shared" ca="1" si="9"/>
        <v>0</v>
      </c>
      <c r="M31" s="122">
        <f t="shared" ca="1" si="10"/>
        <v>0</v>
      </c>
      <c r="N31" s="70">
        <f t="shared" ca="1" si="11"/>
        <v>0</v>
      </c>
      <c r="O31" s="120">
        <f t="shared" ca="1" si="12"/>
        <v>0</v>
      </c>
    </row>
    <row r="32" spans="1:15" ht="16.5" customHeight="1">
      <c r="A32" s="47">
        <v>11</v>
      </c>
      <c r="B32" s="127" t="str">
        <f>HYPERLINK("#'" &amp; TEXT(투자전략!$G$1+10, "[$-ko-KR]yyyy.mm.dd") &amp; "'!A13:O37", TEXT(투자전략!$G$1+10, "[$-ko-KR]yyyy.mm.dd"))</f>
        <v>2022.12.11</v>
      </c>
      <c r="C32" s="118">
        <f t="shared" ca="1" si="0"/>
        <v>0</v>
      </c>
      <c r="D32" s="122">
        <f t="shared" ca="1" si="1"/>
        <v>0</v>
      </c>
      <c r="E32" s="70">
        <f t="shared" ca="1" si="2"/>
        <v>0</v>
      </c>
      <c r="F32" s="120">
        <f t="shared" ca="1" si="3"/>
        <v>0</v>
      </c>
      <c r="G32" s="122">
        <f t="shared" ca="1" si="4"/>
        <v>0</v>
      </c>
      <c r="H32" s="70">
        <f t="shared" ca="1" si="5"/>
        <v>0</v>
      </c>
      <c r="I32" s="120">
        <f t="shared" ca="1" si="6"/>
        <v>0</v>
      </c>
      <c r="J32" s="122">
        <f t="shared" ca="1" si="7"/>
        <v>0</v>
      </c>
      <c r="K32" s="70">
        <f t="shared" ca="1" si="8"/>
        <v>0</v>
      </c>
      <c r="L32" s="120">
        <f t="shared" ca="1" si="9"/>
        <v>0</v>
      </c>
      <c r="M32" s="122">
        <f t="shared" ca="1" si="10"/>
        <v>0</v>
      </c>
      <c r="N32" s="70">
        <f t="shared" ca="1" si="11"/>
        <v>0</v>
      </c>
      <c r="O32" s="120">
        <f t="shared" ca="1" si="12"/>
        <v>0</v>
      </c>
    </row>
    <row r="33" spans="1:15" ht="16.5" customHeight="1">
      <c r="A33" s="47">
        <v>12</v>
      </c>
      <c r="B33" s="127" t="str">
        <f>HYPERLINK("#'" &amp; TEXT(투자전략!$G$1+11, "[$-ko-KR]yyyy.mm.dd") &amp; "'!A13:O37", TEXT(투자전략!$G$1+11, "[$-ko-KR]yyyy.mm.dd"))</f>
        <v>2022.12.12</v>
      </c>
      <c r="C33" s="118">
        <f t="shared" ca="1" si="0"/>
        <v>0</v>
      </c>
      <c r="D33" s="122">
        <f t="shared" ca="1" si="1"/>
        <v>0</v>
      </c>
      <c r="E33" s="70">
        <f t="shared" ca="1" si="2"/>
        <v>0</v>
      </c>
      <c r="F33" s="120">
        <f t="shared" ca="1" si="3"/>
        <v>0</v>
      </c>
      <c r="G33" s="122">
        <f t="shared" ca="1" si="4"/>
        <v>0</v>
      </c>
      <c r="H33" s="70">
        <f t="shared" ca="1" si="5"/>
        <v>0</v>
      </c>
      <c r="I33" s="120">
        <f t="shared" ca="1" si="6"/>
        <v>0</v>
      </c>
      <c r="J33" s="122">
        <f t="shared" ca="1" si="7"/>
        <v>0</v>
      </c>
      <c r="K33" s="70">
        <f t="shared" ca="1" si="8"/>
        <v>0</v>
      </c>
      <c r="L33" s="120">
        <f t="shared" ca="1" si="9"/>
        <v>0</v>
      </c>
      <c r="M33" s="122">
        <f t="shared" ca="1" si="10"/>
        <v>0</v>
      </c>
      <c r="N33" s="70">
        <f t="shared" ca="1" si="11"/>
        <v>0</v>
      </c>
      <c r="O33" s="120">
        <f t="shared" ca="1" si="12"/>
        <v>0</v>
      </c>
    </row>
    <row r="34" spans="1:15" ht="16.5" customHeight="1">
      <c r="A34" s="47">
        <v>13</v>
      </c>
      <c r="B34" s="127" t="str">
        <f>HYPERLINK("#'" &amp; TEXT(투자전략!$G$1+12, "[$-ko-KR]yyyy.mm.dd") &amp; "'!A13:O37", TEXT(투자전략!$G$1+12, "[$-ko-KR]yyyy.mm.dd"))</f>
        <v>2022.12.13</v>
      </c>
      <c r="C34" s="118">
        <f t="shared" ca="1" si="0"/>
        <v>0</v>
      </c>
      <c r="D34" s="122">
        <f t="shared" ca="1" si="1"/>
        <v>0</v>
      </c>
      <c r="E34" s="70">
        <f t="shared" ca="1" si="2"/>
        <v>0</v>
      </c>
      <c r="F34" s="120">
        <f t="shared" ca="1" si="3"/>
        <v>0</v>
      </c>
      <c r="G34" s="122">
        <f t="shared" ca="1" si="4"/>
        <v>0</v>
      </c>
      <c r="H34" s="70">
        <f t="shared" ca="1" si="5"/>
        <v>0</v>
      </c>
      <c r="I34" s="120">
        <f t="shared" ca="1" si="6"/>
        <v>0</v>
      </c>
      <c r="J34" s="122">
        <f t="shared" ca="1" si="7"/>
        <v>0</v>
      </c>
      <c r="K34" s="70">
        <f t="shared" ca="1" si="8"/>
        <v>0</v>
      </c>
      <c r="L34" s="120">
        <f t="shared" ca="1" si="9"/>
        <v>0</v>
      </c>
      <c r="M34" s="122">
        <f t="shared" ca="1" si="10"/>
        <v>0</v>
      </c>
      <c r="N34" s="70">
        <f t="shared" ca="1" si="11"/>
        <v>0</v>
      </c>
      <c r="O34" s="120">
        <f t="shared" ca="1" si="12"/>
        <v>0</v>
      </c>
    </row>
    <row r="35" spans="1:15" ht="16.5" customHeight="1" thickBot="1">
      <c r="A35" s="48">
        <v>14</v>
      </c>
      <c r="B35" s="128" t="str">
        <f>HYPERLINK("#'" &amp; TEXT(투자전략!$G$1+13, "[$-ko-KR]yyyy.mm.dd") &amp; "'!A13:O37", TEXT(투자전략!$G$1+13, "[$-ko-KR]yyyy.mm.dd"))</f>
        <v>2022.12.14</v>
      </c>
      <c r="C35" s="119">
        <f t="shared" ca="1" si="0"/>
        <v>0</v>
      </c>
      <c r="D35" s="123">
        <f t="shared" ca="1" si="1"/>
        <v>0</v>
      </c>
      <c r="E35" s="72">
        <f t="shared" ca="1" si="2"/>
        <v>0</v>
      </c>
      <c r="F35" s="121">
        <f t="shared" ca="1" si="3"/>
        <v>0</v>
      </c>
      <c r="G35" s="123">
        <f t="shared" ca="1" si="4"/>
        <v>0</v>
      </c>
      <c r="H35" s="72">
        <f t="shared" ca="1" si="5"/>
        <v>0</v>
      </c>
      <c r="I35" s="121">
        <f t="shared" ca="1" si="6"/>
        <v>0</v>
      </c>
      <c r="J35" s="123">
        <f t="shared" ca="1" si="7"/>
        <v>0</v>
      </c>
      <c r="K35" s="72">
        <f t="shared" ca="1" si="8"/>
        <v>0</v>
      </c>
      <c r="L35" s="121">
        <f t="shared" ca="1" si="9"/>
        <v>0</v>
      </c>
      <c r="M35" s="123">
        <f t="shared" ca="1" si="10"/>
        <v>0</v>
      </c>
      <c r="N35" s="72">
        <f t="shared" ca="1" si="11"/>
        <v>0</v>
      </c>
      <c r="O35" s="121">
        <f t="shared" ca="1" si="12"/>
        <v>0</v>
      </c>
    </row>
    <row r="36" spans="1:15" ht="16.5" customHeight="1">
      <c r="A36" s="46">
        <v>15</v>
      </c>
      <c r="B36" s="126" t="str">
        <f>HYPERLINK("#'" &amp; TEXT(투자전략!$G$1+14, "[$-ko-KR]yyyy.mm.dd") &amp; "'!A13:O37", TEXT(투자전략!$G$1+14, "[$-ko-KR]yyyy.mm.dd"))</f>
        <v>2022.12.15</v>
      </c>
      <c r="C36" s="117">
        <f t="shared" ca="1" si="0"/>
        <v>0</v>
      </c>
      <c r="D36" s="125">
        <f t="shared" ca="1" si="1"/>
        <v>0</v>
      </c>
      <c r="E36" s="69">
        <f t="shared" ca="1" si="2"/>
        <v>0</v>
      </c>
      <c r="F36" s="124">
        <f t="shared" ca="1" si="3"/>
        <v>0</v>
      </c>
      <c r="G36" s="125">
        <f t="shared" ca="1" si="4"/>
        <v>0</v>
      </c>
      <c r="H36" s="69">
        <f t="shared" ca="1" si="5"/>
        <v>0</v>
      </c>
      <c r="I36" s="124">
        <f t="shared" ca="1" si="6"/>
        <v>0</v>
      </c>
      <c r="J36" s="125">
        <f t="shared" ca="1" si="7"/>
        <v>0</v>
      </c>
      <c r="K36" s="69">
        <f t="shared" ca="1" si="8"/>
        <v>0</v>
      </c>
      <c r="L36" s="124">
        <f t="shared" ca="1" si="9"/>
        <v>0</v>
      </c>
      <c r="M36" s="125">
        <f t="shared" ca="1" si="10"/>
        <v>0</v>
      </c>
      <c r="N36" s="69">
        <f t="shared" ca="1" si="11"/>
        <v>0</v>
      </c>
      <c r="O36" s="124">
        <f t="shared" ca="1" si="12"/>
        <v>0</v>
      </c>
    </row>
    <row r="37" spans="1:15" ht="16.5" customHeight="1">
      <c r="A37" s="47">
        <v>16</v>
      </c>
      <c r="B37" s="127" t="str">
        <f>HYPERLINK("#'" &amp; TEXT(투자전략!$G$1+15, "[$-ko-KR]yyyy.mm.dd") &amp; "'!A13:O37", TEXT(투자전략!$G$1+15, "[$-ko-KR]yyyy.mm.dd"))</f>
        <v>2022.12.16</v>
      </c>
      <c r="C37" s="118">
        <f t="shared" ca="1" si="0"/>
        <v>0</v>
      </c>
      <c r="D37" s="122">
        <f t="shared" ca="1" si="1"/>
        <v>0</v>
      </c>
      <c r="E37" s="70">
        <f t="shared" ca="1" si="2"/>
        <v>0</v>
      </c>
      <c r="F37" s="120">
        <f t="shared" ca="1" si="3"/>
        <v>0</v>
      </c>
      <c r="G37" s="122">
        <f t="shared" ca="1" si="4"/>
        <v>0</v>
      </c>
      <c r="H37" s="70">
        <f t="shared" ca="1" si="5"/>
        <v>0</v>
      </c>
      <c r="I37" s="120">
        <f t="shared" ca="1" si="6"/>
        <v>0</v>
      </c>
      <c r="J37" s="122">
        <f t="shared" ca="1" si="7"/>
        <v>0</v>
      </c>
      <c r="K37" s="70">
        <f t="shared" ca="1" si="8"/>
        <v>0</v>
      </c>
      <c r="L37" s="120">
        <f t="shared" ca="1" si="9"/>
        <v>0</v>
      </c>
      <c r="M37" s="122">
        <f t="shared" ca="1" si="10"/>
        <v>0</v>
      </c>
      <c r="N37" s="70">
        <f t="shared" ca="1" si="11"/>
        <v>0</v>
      </c>
      <c r="O37" s="120">
        <f t="shared" ca="1" si="12"/>
        <v>0</v>
      </c>
    </row>
    <row r="38" spans="1:15" ht="16.5" customHeight="1">
      <c r="A38" s="47">
        <v>17</v>
      </c>
      <c r="B38" s="127" t="str">
        <f>HYPERLINK("#'" &amp; TEXT(투자전략!$G$1+16, "[$-ko-KR]yyyy.mm.dd") &amp; "'!A13:O37", TEXT(투자전략!$G$1+16, "[$-ko-KR]yyyy.mm.dd"))</f>
        <v>2022.12.17</v>
      </c>
      <c r="C38" s="118">
        <f t="shared" ca="1" si="0"/>
        <v>0</v>
      </c>
      <c r="D38" s="122">
        <f t="shared" ca="1" si="1"/>
        <v>0</v>
      </c>
      <c r="E38" s="70">
        <f t="shared" ca="1" si="2"/>
        <v>0</v>
      </c>
      <c r="F38" s="120">
        <f t="shared" ca="1" si="3"/>
        <v>0</v>
      </c>
      <c r="G38" s="122">
        <f t="shared" ca="1" si="4"/>
        <v>0</v>
      </c>
      <c r="H38" s="70">
        <f t="shared" ca="1" si="5"/>
        <v>0</v>
      </c>
      <c r="I38" s="120">
        <f t="shared" ca="1" si="6"/>
        <v>0</v>
      </c>
      <c r="J38" s="122">
        <f t="shared" ca="1" si="7"/>
        <v>0</v>
      </c>
      <c r="K38" s="70">
        <f t="shared" ca="1" si="8"/>
        <v>0</v>
      </c>
      <c r="L38" s="120">
        <f t="shared" ca="1" si="9"/>
        <v>0</v>
      </c>
      <c r="M38" s="122">
        <f t="shared" ca="1" si="10"/>
        <v>0</v>
      </c>
      <c r="N38" s="70">
        <f t="shared" ca="1" si="11"/>
        <v>0</v>
      </c>
      <c r="O38" s="120">
        <f t="shared" ca="1" si="12"/>
        <v>0</v>
      </c>
    </row>
    <row r="39" spans="1:15" ht="16.5" customHeight="1">
      <c r="A39" s="47">
        <v>18</v>
      </c>
      <c r="B39" s="127" t="str">
        <f>HYPERLINK("#'" &amp; TEXT(투자전략!$G$1+17, "[$-ko-KR]yyyy.mm.dd") &amp; "'!A13:O37", TEXT(투자전략!$G$1+17, "[$-ko-KR]yyyy.mm.dd"))</f>
        <v>2022.12.18</v>
      </c>
      <c r="C39" s="118">
        <f t="shared" ca="1" si="0"/>
        <v>0</v>
      </c>
      <c r="D39" s="122">
        <f t="shared" ca="1" si="1"/>
        <v>0</v>
      </c>
      <c r="E39" s="70">
        <f t="shared" ca="1" si="2"/>
        <v>0</v>
      </c>
      <c r="F39" s="120">
        <f t="shared" ca="1" si="3"/>
        <v>0</v>
      </c>
      <c r="G39" s="122">
        <f t="shared" ca="1" si="4"/>
        <v>0</v>
      </c>
      <c r="H39" s="70">
        <f t="shared" ca="1" si="5"/>
        <v>0</v>
      </c>
      <c r="I39" s="120">
        <f t="shared" ca="1" si="6"/>
        <v>0</v>
      </c>
      <c r="J39" s="122">
        <f t="shared" ca="1" si="7"/>
        <v>0</v>
      </c>
      <c r="K39" s="70">
        <f t="shared" ca="1" si="8"/>
        <v>0</v>
      </c>
      <c r="L39" s="120">
        <f t="shared" ca="1" si="9"/>
        <v>0</v>
      </c>
      <c r="M39" s="122">
        <f t="shared" ca="1" si="10"/>
        <v>0</v>
      </c>
      <c r="N39" s="70">
        <f t="shared" ca="1" si="11"/>
        <v>0</v>
      </c>
      <c r="O39" s="120">
        <f t="shared" ca="1" si="12"/>
        <v>0</v>
      </c>
    </row>
    <row r="40" spans="1:15" ht="16.5" customHeight="1">
      <c r="A40" s="47">
        <v>19</v>
      </c>
      <c r="B40" s="127" t="str">
        <f>HYPERLINK("#'" &amp; TEXT(투자전략!$G$1+18, "[$-ko-KR]yyyy.mm.dd") &amp; "'!A13:O37", TEXT(투자전략!$G$1+18, "[$-ko-KR]yyyy.mm.dd"))</f>
        <v>2022.12.19</v>
      </c>
      <c r="C40" s="118">
        <f t="shared" ca="1" si="0"/>
        <v>0</v>
      </c>
      <c r="D40" s="122">
        <f t="shared" ca="1" si="1"/>
        <v>0</v>
      </c>
      <c r="E40" s="70">
        <f t="shared" ca="1" si="2"/>
        <v>0</v>
      </c>
      <c r="F40" s="120">
        <f t="shared" ca="1" si="3"/>
        <v>0</v>
      </c>
      <c r="G40" s="122">
        <f t="shared" ca="1" si="4"/>
        <v>0</v>
      </c>
      <c r="H40" s="70">
        <f t="shared" ca="1" si="5"/>
        <v>0</v>
      </c>
      <c r="I40" s="120">
        <f t="shared" ca="1" si="6"/>
        <v>0</v>
      </c>
      <c r="J40" s="122">
        <f t="shared" ca="1" si="7"/>
        <v>0</v>
      </c>
      <c r="K40" s="70">
        <f t="shared" ca="1" si="8"/>
        <v>0</v>
      </c>
      <c r="L40" s="120">
        <f t="shared" ca="1" si="9"/>
        <v>0</v>
      </c>
      <c r="M40" s="122">
        <f t="shared" ca="1" si="10"/>
        <v>0</v>
      </c>
      <c r="N40" s="70">
        <f t="shared" ca="1" si="11"/>
        <v>0</v>
      </c>
      <c r="O40" s="120">
        <f t="shared" ca="1" si="12"/>
        <v>0</v>
      </c>
    </row>
    <row r="41" spans="1:15" ht="16.5" customHeight="1">
      <c r="A41" s="47">
        <v>20</v>
      </c>
      <c r="B41" s="127" t="str">
        <f>HYPERLINK("#'" &amp; TEXT(투자전략!$G$1+19, "[$-ko-KR]yyyy.mm.dd") &amp; "'!A13:O37", TEXT(투자전략!$G$1+19, "[$-ko-KR]yyyy.mm.dd"))</f>
        <v>2022.12.20</v>
      </c>
      <c r="C41" s="118">
        <f t="shared" ca="1" si="0"/>
        <v>0</v>
      </c>
      <c r="D41" s="122">
        <f t="shared" ca="1" si="1"/>
        <v>0</v>
      </c>
      <c r="E41" s="70">
        <f t="shared" ca="1" si="2"/>
        <v>0</v>
      </c>
      <c r="F41" s="120">
        <f t="shared" ca="1" si="3"/>
        <v>0</v>
      </c>
      <c r="G41" s="122">
        <f t="shared" ca="1" si="4"/>
        <v>0</v>
      </c>
      <c r="H41" s="70">
        <f t="shared" ca="1" si="5"/>
        <v>0</v>
      </c>
      <c r="I41" s="120">
        <f t="shared" ca="1" si="6"/>
        <v>0</v>
      </c>
      <c r="J41" s="122">
        <f t="shared" ca="1" si="7"/>
        <v>0</v>
      </c>
      <c r="K41" s="70">
        <f t="shared" ca="1" si="8"/>
        <v>0</v>
      </c>
      <c r="L41" s="120">
        <f t="shared" ca="1" si="9"/>
        <v>0</v>
      </c>
      <c r="M41" s="122">
        <f t="shared" ca="1" si="10"/>
        <v>0</v>
      </c>
      <c r="N41" s="70">
        <f t="shared" ca="1" si="11"/>
        <v>0</v>
      </c>
      <c r="O41" s="120">
        <f t="shared" ca="1" si="12"/>
        <v>0</v>
      </c>
    </row>
    <row r="42" spans="1:15" ht="16.5" customHeight="1" thickBot="1">
      <c r="A42" s="48">
        <v>21</v>
      </c>
      <c r="B42" s="128" t="str">
        <f>HYPERLINK("#'" &amp; TEXT(투자전략!$G$1+20, "[$-ko-KR]yyyy.mm.dd") &amp; "'!A13:O37", TEXT(투자전략!$G$1+20, "[$-ko-KR]yyyy.mm.dd"))</f>
        <v>2022.12.21</v>
      </c>
      <c r="C42" s="119">
        <f t="shared" ca="1" si="0"/>
        <v>0</v>
      </c>
      <c r="D42" s="123">
        <f t="shared" ca="1" si="1"/>
        <v>0</v>
      </c>
      <c r="E42" s="72">
        <f t="shared" ca="1" si="2"/>
        <v>0</v>
      </c>
      <c r="F42" s="121">
        <f t="shared" ca="1" si="3"/>
        <v>0</v>
      </c>
      <c r="G42" s="123">
        <f t="shared" ca="1" si="4"/>
        <v>0</v>
      </c>
      <c r="H42" s="72">
        <f t="shared" ca="1" si="5"/>
        <v>0</v>
      </c>
      <c r="I42" s="121">
        <f t="shared" ca="1" si="6"/>
        <v>0</v>
      </c>
      <c r="J42" s="123">
        <f t="shared" ca="1" si="7"/>
        <v>0</v>
      </c>
      <c r="K42" s="72">
        <f t="shared" ca="1" si="8"/>
        <v>0</v>
      </c>
      <c r="L42" s="121">
        <f t="shared" ca="1" si="9"/>
        <v>0</v>
      </c>
      <c r="M42" s="123">
        <f t="shared" ca="1" si="10"/>
        <v>0</v>
      </c>
      <c r="N42" s="72">
        <f t="shared" ca="1" si="11"/>
        <v>0</v>
      </c>
      <c r="O42" s="121">
        <f t="shared" ca="1" si="12"/>
        <v>0</v>
      </c>
    </row>
    <row r="43" spans="1:15" ht="16.5" customHeight="1">
      <c r="A43" s="46">
        <v>22</v>
      </c>
      <c r="B43" s="126" t="str">
        <f>HYPERLINK("#'" &amp; TEXT(투자전략!$G$1+21, "[$-ko-KR]yyyy.mm.dd") &amp; "'!A13:O37", TEXT(투자전략!$G$1+21, "[$-ko-KR]yyyy.mm.dd"))</f>
        <v>2022.12.22</v>
      </c>
      <c r="C43" s="117">
        <f t="shared" ca="1" si="0"/>
        <v>0</v>
      </c>
      <c r="D43" s="125">
        <f t="shared" ca="1" si="1"/>
        <v>0</v>
      </c>
      <c r="E43" s="69">
        <f t="shared" ca="1" si="2"/>
        <v>0</v>
      </c>
      <c r="F43" s="124">
        <f t="shared" ca="1" si="3"/>
        <v>0</v>
      </c>
      <c r="G43" s="125">
        <f t="shared" ca="1" si="4"/>
        <v>0</v>
      </c>
      <c r="H43" s="69">
        <f t="shared" ca="1" si="5"/>
        <v>0</v>
      </c>
      <c r="I43" s="124">
        <f t="shared" ca="1" si="6"/>
        <v>0</v>
      </c>
      <c r="J43" s="125">
        <f t="shared" ca="1" si="7"/>
        <v>0</v>
      </c>
      <c r="K43" s="69">
        <f t="shared" ca="1" si="8"/>
        <v>0</v>
      </c>
      <c r="L43" s="124">
        <f t="shared" ca="1" si="9"/>
        <v>0</v>
      </c>
      <c r="M43" s="125">
        <f t="shared" ca="1" si="10"/>
        <v>0</v>
      </c>
      <c r="N43" s="69">
        <f t="shared" ca="1" si="11"/>
        <v>0</v>
      </c>
      <c r="O43" s="124">
        <f t="shared" ca="1" si="12"/>
        <v>0</v>
      </c>
    </row>
    <row r="44" spans="1:15" ht="16.5" customHeight="1">
      <c r="A44" s="47">
        <v>23</v>
      </c>
      <c r="B44" s="127" t="str">
        <f>HYPERLINK("#'" &amp; TEXT(투자전략!$G$1+22, "[$-ko-KR]yyyy.mm.dd") &amp; "'!A13:O37", TEXT(투자전략!$G$1+22, "[$-ko-KR]yyyy.mm.dd"))</f>
        <v>2022.12.23</v>
      </c>
      <c r="C44" s="118">
        <f t="shared" ca="1" si="0"/>
        <v>0</v>
      </c>
      <c r="D44" s="122">
        <f t="shared" ca="1" si="1"/>
        <v>0</v>
      </c>
      <c r="E44" s="70">
        <f t="shared" ca="1" si="2"/>
        <v>0</v>
      </c>
      <c r="F44" s="120">
        <f t="shared" ca="1" si="3"/>
        <v>0</v>
      </c>
      <c r="G44" s="122">
        <f t="shared" ca="1" si="4"/>
        <v>0</v>
      </c>
      <c r="H44" s="70">
        <f t="shared" ca="1" si="5"/>
        <v>0</v>
      </c>
      <c r="I44" s="120">
        <f t="shared" ca="1" si="6"/>
        <v>0</v>
      </c>
      <c r="J44" s="122">
        <f t="shared" ca="1" si="7"/>
        <v>0</v>
      </c>
      <c r="K44" s="70">
        <f t="shared" ca="1" si="8"/>
        <v>0</v>
      </c>
      <c r="L44" s="120">
        <f t="shared" ca="1" si="9"/>
        <v>0</v>
      </c>
      <c r="M44" s="122">
        <f t="shared" ca="1" si="10"/>
        <v>0</v>
      </c>
      <c r="N44" s="70">
        <f t="shared" ca="1" si="11"/>
        <v>0</v>
      </c>
      <c r="O44" s="120">
        <f t="shared" ca="1" si="12"/>
        <v>0</v>
      </c>
    </row>
    <row r="45" spans="1:15" ht="16.5" customHeight="1">
      <c r="A45" s="47">
        <v>24</v>
      </c>
      <c r="B45" s="127" t="str">
        <f>HYPERLINK("#'" &amp; TEXT(투자전략!$G$1+23, "[$-ko-KR]yyyy.mm.dd") &amp; "'!A13:O37", TEXT(투자전략!$G$1+23, "[$-ko-KR]yyyy.mm.dd"))</f>
        <v>2022.12.24</v>
      </c>
      <c r="C45" s="118">
        <f t="shared" ca="1" si="0"/>
        <v>0</v>
      </c>
      <c r="D45" s="122">
        <f t="shared" ca="1" si="1"/>
        <v>0</v>
      </c>
      <c r="E45" s="70">
        <f t="shared" ca="1" si="2"/>
        <v>0</v>
      </c>
      <c r="F45" s="120">
        <f t="shared" ca="1" si="3"/>
        <v>0</v>
      </c>
      <c r="G45" s="122">
        <f t="shared" ca="1" si="4"/>
        <v>0</v>
      </c>
      <c r="H45" s="70">
        <f t="shared" ca="1" si="5"/>
        <v>0</v>
      </c>
      <c r="I45" s="120">
        <f t="shared" ca="1" si="6"/>
        <v>0</v>
      </c>
      <c r="J45" s="122">
        <f t="shared" ca="1" si="7"/>
        <v>0</v>
      </c>
      <c r="K45" s="70">
        <f t="shared" ca="1" si="8"/>
        <v>0</v>
      </c>
      <c r="L45" s="120">
        <f t="shared" ca="1" si="9"/>
        <v>0</v>
      </c>
      <c r="M45" s="122">
        <f t="shared" ca="1" si="10"/>
        <v>0</v>
      </c>
      <c r="N45" s="70">
        <f t="shared" ca="1" si="11"/>
        <v>0</v>
      </c>
      <c r="O45" s="120">
        <f t="shared" ca="1" si="12"/>
        <v>0</v>
      </c>
    </row>
    <row r="46" spans="1:15" ht="16.5" customHeight="1">
      <c r="A46" s="47">
        <v>25</v>
      </c>
      <c r="B46" s="127" t="str">
        <f>HYPERLINK("#'" &amp; TEXT(투자전략!$G$1+24, "[$-ko-KR]yyyy.mm.dd") &amp; "'!A13:O37", TEXT(투자전략!$G$1+24, "[$-ko-KR]yyyy.mm.dd"))</f>
        <v>2022.12.25</v>
      </c>
      <c r="C46" s="118">
        <f t="shared" ca="1" si="0"/>
        <v>0</v>
      </c>
      <c r="D46" s="122">
        <f t="shared" ca="1" si="1"/>
        <v>0</v>
      </c>
      <c r="E46" s="70">
        <f t="shared" ca="1" si="2"/>
        <v>0</v>
      </c>
      <c r="F46" s="120">
        <f t="shared" ca="1" si="3"/>
        <v>0</v>
      </c>
      <c r="G46" s="122">
        <f t="shared" ca="1" si="4"/>
        <v>0</v>
      </c>
      <c r="H46" s="70">
        <f t="shared" ca="1" si="5"/>
        <v>0</v>
      </c>
      <c r="I46" s="120">
        <f t="shared" ca="1" si="6"/>
        <v>0</v>
      </c>
      <c r="J46" s="122">
        <f t="shared" ca="1" si="7"/>
        <v>0</v>
      </c>
      <c r="K46" s="70">
        <f t="shared" ca="1" si="8"/>
        <v>0</v>
      </c>
      <c r="L46" s="120">
        <f t="shared" ca="1" si="9"/>
        <v>0</v>
      </c>
      <c r="M46" s="122">
        <f t="shared" ca="1" si="10"/>
        <v>0</v>
      </c>
      <c r="N46" s="70">
        <f t="shared" ca="1" si="11"/>
        <v>0</v>
      </c>
      <c r="O46" s="120">
        <f t="shared" ca="1" si="12"/>
        <v>0</v>
      </c>
    </row>
    <row r="47" spans="1:15" ht="16.5" customHeight="1">
      <c r="A47" s="47">
        <v>26</v>
      </c>
      <c r="B47" s="127" t="str">
        <f>HYPERLINK("#'" &amp; TEXT(투자전략!$G$1+25, "[$-ko-KR]yyyy.mm.dd") &amp; "'!A13:O37", TEXT(투자전략!$G$1+25, "[$-ko-KR]yyyy.mm.dd"))</f>
        <v>2022.12.26</v>
      </c>
      <c r="C47" s="118">
        <f t="shared" ca="1" si="0"/>
        <v>0</v>
      </c>
      <c r="D47" s="122">
        <f t="shared" ca="1" si="1"/>
        <v>0</v>
      </c>
      <c r="E47" s="70">
        <f t="shared" ca="1" si="2"/>
        <v>0</v>
      </c>
      <c r="F47" s="120">
        <f t="shared" ca="1" si="3"/>
        <v>0</v>
      </c>
      <c r="G47" s="122">
        <f t="shared" ca="1" si="4"/>
        <v>0</v>
      </c>
      <c r="H47" s="70">
        <f t="shared" ca="1" si="5"/>
        <v>0</v>
      </c>
      <c r="I47" s="120">
        <f t="shared" ca="1" si="6"/>
        <v>0</v>
      </c>
      <c r="J47" s="122">
        <f t="shared" ca="1" si="7"/>
        <v>0</v>
      </c>
      <c r="K47" s="70">
        <f t="shared" ca="1" si="8"/>
        <v>0</v>
      </c>
      <c r="L47" s="120">
        <f t="shared" ca="1" si="9"/>
        <v>0</v>
      </c>
      <c r="M47" s="122">
        <f t="shared" ca="1" si="10"/>
        <v>0</v>
      </c>
      <c r="N47" s="70">
        <f t="shared" ca="1" si="11"/>
        <v>0</v>
      </c>
      <c r="O47" s="120">
        <f t="shared" ca="1" si="12"/>
        <v>0</v>
      </c>
    </row>
    <row r="48" spans="1:15" ht="16.5" customHeight="1">
      <c r="A48" s="47">
        <v>27</v>
      </c>
      <c r="B48" s="127" t="str">
        <f>HYPERLINK("#'" &amp; TEXT(투자전략!$G$1+26, "[$-ko-KR]yyyy.mm.dd") &amp; "'!A13:O37", TEXT(투자전략!$G$1+26, "[$-ko-KR]yyyy.mm.dd"))</f>
        <v>2022.12.27</v>
      </c>
      <c r="C48" s="118" t="str">
        <f t="shared" ca="1" si="0"/>
        <v/>
      </c>
      <c r="D48" s="122" t="str">
        <f t="shared" ca="1" si="1"/>
        <v/>
      </c>
      <c r="E48" s="70" t="str">
        <f t="shared" ca="1" si="2"/>
        <v/>
      </c>
      <c r="F48" s="120" t="str">
        <f t="shared" ca="1" si="3"/>
        <v/>
      </c>
      <c r="G48" s="122" t="str">
        <f t="shared" ca="1" si="4"/>
        <v/>
      </c>
      <c r="H48" s="70" t="str">
        <f t="shared" ca="1" si="5"/>
        <v/>
      </c>
      <c r="I48" s="120" t="str">
        <f t="shared" ca="1" si="6"/>
        <v/>
      </c>
      <c r="J48" s="122" t="str">
        <f t="shared" ca="1" si="7"/>
        <v/>
      </c>
      <c r="K48" s="70" t="str">
        <f t="shared" ca="1" si="8"/>
        <v/>
      </c>
      <c r="L48" s="120" t="str">
        <f t="shared" ca="1" si="9"/>
        <v/>
      </c>
      <c r="M48" s="122" t="str">
        <f t="shared" ca="1" si="10"/>
        <v/>
      </c>
      <c r="N48" s="70" t="str">
        <f t="shared" ca="1" si="11"/>
        <v/>
      </c>
      <c r="O48" s="120" t="str">
        <f t="shared" ca="1" si="12"/>
        <v/>
      </c>
    </row>
    <row r="49" spans="1:15" ht="16.5" customHeight="1" thickBot="1">
      <c r="A49" s="48">
        <v>28</v>
      </c>
      <c r="B49" s="128" t="str">
        <f>HYPERLINK("#'" &amp; TEXT(투자전략!$G$1+27, "[$-ko-KR]yyyy.mm.dd") &amp; "'!A13:O37", TEXT(투자전략!$G$1+27, "[$-ko-KR]yyyy.mm.dd"))</f>
        <v>2022.12.28</v>
      </c>
      <c r="C49" s="119" t="str">
        <f t="shared" ca="1" si="0"/>
        <v/>
      </c>
      <c r="D49" s="123" t="str">
        <f t="shared" ca="1" si="1"/>
        <v/>
      </c>
      <c r="E49" s="72" t="str">
        <f t="shared" ca="1" si="2"/>
        <v/>
      </c>
      <c r="F49" s="121" t="str">
        <f t="shared" ca="1" si="3"/>
        <v/>
      </c>
      <c r="G49" s="123" t="str">
        <f t="shared" ca="1" si="4"/>
        <v/>
      </c>
      <c r="H49" s="72" t="str">
        <f t="shared" ca="1" si="5"/>
        <v/>
      </c>
      <c r="I49" s="121" t="str">
        <f t="shared" ca="1" si="6"/>
        <v/>
      </c>
      <c r="J49" s="123" t="str">
        <f t="shared" ca="1" si="7"/>
        <v/>
      </c>
      <c r="K49" s="72" t="str">
        <f t="shared" ca="1" si="8"/>
        <v/>
      </c>
      <c r="L49" s="121" t="str">
        <f t="shared" ca="1" si="9"/>
        <v/>
      </c>
      <c r="M49" s="123" t="str">
        <f t="shared" ca="1" si="10"/>
        <v/>
      </c>
      <c r="N49" s="72" t="str">
        <f t="shared" ca="1" si="11"/>
        <v/>
      </c>
      <c r="O49" s="121" t="str">
        <f t="shared" ca="1" si="12"/>
        <v/>
      </c>
    </row>
    <row r="50" spans="1:15" ht="16.5" customHeight="1">
      <c r="A50" s="105">
        <v>29</v>
      </c>
      <c r="B50" s="126" t="str">
        <f>HYPERLINK("#'" &amp; TEXT(투자전략!$G$1+28, "[$-ko-KR]yyyy.mm.dd") &amp; "'!A13:O37", TEXT(투자전략!$G$1+28, "[$-ko-KR]yyyy.mm.dd"))</f>
        <v>2022.12.29</v>
      </c>
      <c r="C50" s="118" t="str">
        <f t="shared" ca="1" si="0"/>
        <v/>
      </c>
      <c r="D50" s="122" t="str">
        <f t="shared" ca="1" si="1"/>
        <v/>
      </c>
      <c r="E50" s="70" t="str">
        <f t="shared" ca="1" si="2"/>
        <v/>
      </c>
      <c r="F50" s="120" t="str">
        <f t="shared" ca="1" si="3"/>
        <v/>
      </c>
      <c r="G50" s="122" t="str">
        <f t="shared" ca="1" si="4"/>
        <v/>
      </c>
      <c r="H50" s="70" t="str">
        <f t="shared" ca="1" si="5"/>
        <v/>
      </c>
      <c r="I50" s="120" t="str">
        <f t="shared" ca="1" si="6"/>
        <v/>
      </c>
      <c r="J50" s="122" t="str">
        <f t="shared" ca="1" si="7"/>
        <v/>
      </c>
      <c r="K50" s="70" t="str">
        <f t="shared" ca="1" si="8"/>
        <v/>
      </c>
      <c r="L50" s="120" t="str">
        <f t="shared" ca="1" si="9"/>
        <v/>
      </c>
      <c r="M50" s="122" t="str">
        <f t="shared" ca="1" si="10"/>
        <v/>
      </c>
      <c r="N50" s="70" t="str">
        <f t="shared" ca="1" si="11"/>
        <v/>
      </c>
      <c r="O50" s="120" t="str">
        <f t="shared" ca="1" si="12"/>
        <v/>
      </c>
    </row>
    <row r="51" spans="1:15" ht="16.5" customHeight="1">
      <c r="A51" s="105">
        <v>30</v>
      </c>
      <c r="B51" s="127" t="str">
        <f>HYPERLINK("#'" &amp; TEXT(투자전략!$G$1+29, "[$-ko-KR]yyyy.mm.dd") &amp; "'!A13:O37", TEXT(투자전략!$G$1+29, "[$-ko-KR]yyyy.mm.dd"))</f>
        <v>2022.12.30</v>
      </c>
      <c r="C51" s="118" t="str">
        <f t="shared" ca="1" si="0"/>
        <v/>
      </c>
      <c r="D51" s="122" t="str">
        <f t="shared" ca="1" si="1"/>
        <v/>
      </c>
      <c r="E51" s="70" t="str">
        <f t="shared" ca="1" si="2"/>
        <v/>
      </c>
      <c r="F51" s="120" t="str">
        <f t="shared" ca="1" si="3"/>
        <v/>
      </c>
      <c r="G51" s="122" t="str">
        <f t="shared" ca="1" si="4"/>
        <v/>
      </c>
      <c r="H51" s="70" t="str">
        <f t="shared" ca="1" si="5"/>
        <v/>
      </c>
      <c r="I51" s="120" t="str">
        <f t="shared" ca="1" si="6"/>
        <v/>
      </c>
      <c r="J51" s="122" t="str">
        <f t="shared" ca="1" si="7"/>
        <v/>
      </c>
      <c r="K51" s="70" t="str">
        <f t="shared" ca="1" si="8"/>
        <v/>
      </c>
      <c r="L51" s="120" t="str">
        <f t="shared" ca="1" si="9"/>
        <v/>
      </c>
      <c r="M51" s="122" t="str">
        <f t="shared" ca="1" si="10"/>
        <v/>
      </c>
      <c r="N51" s="70" t="str">
        <f t="shared" ca="1" si="11"/>
        <v/>
      </c>
      <c r="O51" s="120" t="str">
        <f t="shared" ca="1" si="12"/>
        <v/>
      </c>
    </row>
    <row r="52" spans="1:15" ht="16.5" customHeight="1" thickBot="1">
      <c r="A52" s="105">
        <v>31</v>
      </c>
      <c r="B52" s="127" t="str">
        <f>HYPERLINK("#'" &amp; TEXT(투자전략!$G$1+30, "[$-ko-KR]yyyy.mm.dd") &amp; "'!A13:O37", TEXT(투자전략!$G$1+30, "[$-ko-KR]yyyy.mm.dd"))</f>
        <v>2022.12.31</v>
      </c>
      <c r="C52" s="118" t="str">
        <f t="shared" ca="1" si="0"/>
        <v/>
      </c>
      <c r="D52" s="122" t="str">
        <f t="shared" ca="1" si="1"/>
        <v/>
      </c>
      <c r="E52" s="70" t="str">
        <f t="shared" ca="1" si="2"/>
        <v/>
      </c>
      <c r="F52" s="120" t="str">
        <f t="shared" ca="1" si="3"/>
        <v/>
      </c>
      <c r="G52" s="122" t="str">
        <f t="shared" ca="1" si="4"/>
        <v/>
      </c>
      <c r="H52" s="70" t="str">
        <f t="shared" ca="1" si="5"/>
        <v/>
      </c>
      <c r="I52" s="120" t="str">
        <f t="shared" ca="1" si="6"/>
        <v/>
      </c>
      <c r="J52" s="122" t="str">
        <f t="shared" ca="1" si="7"/>
        <v/>
      </c>
      <c r="K52" s="70" t="str">
        <f t="shared" ca="1" si="8"/>
        <v/>
      </c>
      <c r="L52" s="120" t="str">
        <f t="shared" ca="1" si="9"/>
        <v/>
      </c>
      <c r="M52" s="122" t="str">
        <f t="shared" ca="1" si="10"/>
        <v/>
      </c>
      <c r="N52" s="70" t="str">
        <f t="shared" ca="1" si="11"/>
        <v/>
      </c>
      <c r="O52" s="120" t="str">
        <f t="shared" ca="1" si="12"/>
        <v/>
      </c>
    </row>
    <row r="53" spans="1:15" ht="16.5" customHeight="1" thickBot="1">
      <c r="A53" s="144" t="s">
        <v>273</v>
      </c>
      <c r="B53" s="146"/>
      <c r="C53" s="116" t="s">
        <v>268</v>
      </c>
      <c r="D53" s="9" t="s">
        <v>269</v>
      </c>
      <c r="E53" s="63" t="s">
        <v>270</v>
      </c>
      <c r="F53" s="64" t="s">
        <v>271</v>
      </c>
      <c r="G53" s="9" t="s">
        <v>269</v>
      </c>
      <c r="H53" s="63" t="s">
        <v>270</v>
      </c>
      <c r="I53" s="64" t="s">
        <v>271</v>
      </c>
      <c r="J53" s="9" t="s">
        <v>269</v>
      </c>
      <c r="K53" s="63" t="s">
        <v>270</v>
      </c>
      <c r="L53" s="64" t="s">
        <v>271</v>
      </c>
      <c r="M53" s="9" t="s">
        <v>269</v>
      </c>
      <c r="N53" s="63" t="s">
        <v>270</v>
      </c>
      <c r="O53" s="64" t="s">
        <v>271</v>
      </c>
    </row>
    <row r="54" spans="1:15" ht="16.5" customHeight="1" thickBot="1">
      <c r="A54" s="150"/>
      <c r="B54" s="152"/>
      <c r="C54" s="119">
        <f ca="1">SUM(C22:C52)</f>
        <v>0</v>
      </c>
      <c r="D54" s="123">
        <f ca="1">SUM(D22:D52)</f>
        <v>0</v>
      </c>
      <c r="E54" s="72">
        <f ca="1">IFERROR(F54 / (SUM($C22:$C52) / COUNT($C22:$C52)), 0)</f>
        <v>0</v>
      </c>
      <c r="F54" s="121">
        <f ca="1">SUM(F22:F52)</f>
        <v>0</v>
      </c>
      <c r="G54" s="123">
        <f ca="1">SUM(G22:G52)</f>
        <v>0</v>
      </c>
      <c r="H54" s="72">
        <f ca="1">IFERROR(I54 / (SUM($C22:$C52) / COUNT($C22:$C52)), 0)</f>
        <v>0</v>
      </c>
      <c r="I54" s="121">
        <f ca="1">SUM(I22:I52)</f>
        <v>0</v>
      </c>
      <c r="J54" s="123">
        <f ca="1">SUM(J22:J52)</f>
        <v>0</v>
      </c>
      <c r="K54" s="72">
        <f ca="1">IFERROR(L54 / (SUM($C22:$C52) / COUNT($C22:$C52)), 0)</f>
        <v>0</v>
      </c>
      <c r="L54" s="121">
        <f ca="1">SUM(L22:L52)</f>
        <v>0</v>
      </c>
      <c r="M54" s="123">
        <f ca="1">SUM(M22:M52)</f>
        <v>0</v>
      </c>
      <c r="N54" s="72">
        <f ca="1">IFERROR(O54 / (SUM($C22:$C52) / COUNT($C22:$C52)), 0)</f>
        <v>0</v>
      </c>
      <c r="O54" s="121">
        <f ca="1">SUM(O22:O52)</f>
        <v>0</v>
      </c>
    </row>
    <row r="56" spans="1:15" ht="16.5" customHeight="1" thickBot="1"/>
    <row r="57" spans="1:15" ht="16.5" customHeight="1" thickBot="1">
      <c r="A57" s="135" t="str">
        <f>TEXT(투자전략!$G$1, "[$-ko-KR]yyyy년 mm월 ") &amp; "[엽전코인] 전일대비 상승률 Top20 월말결산"</f>
        <v>2022년 12월 [엽전코인] 전일대비 상승률 Top20 월말결산</v>
      </c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7"/>
    </row>
    <row r="58" spans="1:15" ht="16.5" customHeight="1" thickBot="1">
      <c r="A58" s="196" t="s">
        <v>274</v>
      </c>
      <c r="B58" s="150" t="s">
        <v>272</v>
      </c>
      <c r="C58" s="152"/>
      <c r="D58" s="150" t="s">
        <v>264</v>
      </c>
      <c r="E58" s="151"/>
      <c r="F58" s="152"/>
      <c r="G58" s="150" t="s">
        <v>265</v>
      </c>
      <c r="H58" s="151"/>
      <c r="I58" s="152"/>
      <c r="J58" s="150" t="s">
        <v>266</v>
      </c>
      <c r="K58" s="151"/>
      <c r="L58" s="152"/>
      <c r="M58" s="150" t="s">
        <v>267</v>
      </c>
      <c r="N58" s="151"/>
      <c r="O58" s="152"/>
    </row>
    <row r="59" spans="1:15" ht="16.5" customHeight="1" thickBot="1">
      <c r="A59" s="200"/>
      <c r="B59" s="46" t="s">
        <v>262</v>
      </c>
      <c r="C59" s="46" t="s">
        <v>42</v>
      </c>
      <c r="D59" s="105" t="s">
        <v>263</v>
      </c>
      <c r="E59" s="106" t="s">
        <v>40</v>
      </c>
      <c r="F59" s="81" t="s">
        <v>41</v>
      </c>
      <c r="G59" s="105" t="s">
        <v>263</v>
      </c>
      <c r="H59" s="106" t="s">
        <v>40</v>
      </c>
      <c r="I59" s="81" t="s">
        <v>41</v>
      </c>
      <c r="J59" s="105" t="s">
        <v>263</v>
      </c>
      <c r="K59" s="106" t="s">
        <v>40</v>
      </c>
      <c r="L59" s="81" t="s">
        <v>41</v>
      </c>
      <c r="M59" s="105" t="s">
        <v>263</v>
      </c>
      <c r="N59" s="106" t="s">
        <v>40</v>
      </c>
      <c r="O59" s="81" t="s">
        <v>41</v>
      </c>
    </row>
    <row r="60" spans="1:15" ht="16.5" customHeight="1">
      <c r="A60" s="46">
        <v>1</v>
      </c>
      <c r="B60" s="129" t="str">
        <f>HYPERLINK("#'" &amp; TEXT(투자전략!$G$1+0, "[$-ko-KR]yyyy.mm.dd") &amp; "'!A40:O64", TEXT(투자전략!$G$1+0, "[$-ko-KR]yyyy.mm.dd"))</f>
        <v>2022.12.01</v>
      </c>
      <c r="C60" s="117">
        <f ca="1">IFERROR(COUNTA(INDIRECT($B60&amp;"!A44:A63")) * INDIRECT($B60&amp;"!B64"), "")</f>
        <v>3000000</v>
      </c>
      <c r="D60" s="125">
        <f ca="1">IFERROR($C60 * (1 + E60), "")</f>
        <v>3037130.6826164196</v>
      </c>
      <c r="E60" s="69">
        <f ca="1">IFERROR(INDIRECT($B60&amp;"!E64"), "")</f>
        <v>1.237689420547316E-2</v>
      </c>
      <c r="F60" s="124">
        <f ca="1">IFERROR(INDIRECT($B60&amp;"!F64"), "")</f>
        <v>37130.682616419486</v>
      </c>
      <c r="G60" s="125">
        <f ca="1">IFERROR($C60 * (1 + H60), "")</f>
        <v>3037130.6826164196</v>
      </c>
      <c r="H60" s="69">
        <f ca="1">IFERROR(INDIRECT($B60&amp;"!H64"), "")</f>
        <v>1.237689420547316E-2</v>
      </c>
      <c r="I60" s="124">
        <f ca="1">IFERROR(INDIRECT($B60&amp;"!I64"), "")</f>
        <v>37130.682616419486</v>
      </c>
      <c r="J60" s="125">
        <f ca="1">IFERROR($C60 * (1 + K60), "")</f>
        <v>3037130.6826164196</v>
      </c>
      <c r="K60" s="69">
        <f ca="1">IFERROR(INDIRECT($B60&amp;"!K64"), "")</f>
        <v>1.237689420547316E-2</v>
      </c>
      <c r="L60" s="124">
        <f ca="1">IFERROR(INDIRECT($B60&amp;"!L64"), "")</f>
        <v>37130.682616419486</v>
      </c>
      <c r="M60" s="125">
        <f ca="1">IFERROR($C60 * (1 + N60), "")</f>
        <v>2983669.8017455223</v>
      </c>
      <c r="N60" s="69">
        <f ca="1">IFERROR(INDIRECT($B60&amp;"!N64"), "")</f>
        <v>-5.4433994181591798E-3</v>
      </c>
      <c r="O60" s="124">
        <f ca="1">IFERROR(INDIRECT($B60&amp;"!O64"), "")</f>
        <v>-16330.198254477542</v>
      </c>
    </row>
    <row r="61" spans="1:15" ht="16.5" customHeight="1">
      <c r="A61" s="47">
        <v>2</v>
      </c>
      <c r="B61" s="130" t="str">
        <f>HYPERLINK("#'" &amp; TEXT(투자전략!$G$1+1, "[$-ko-KR]yyyy.mm.dd") &amp; "'!A40:O64", TEXT(투자전략!$G$1+1, "[$-ko-KR]yyyy.mm.dd"))</f>
        <v>2022.12.02</v>
      </c>
      <c r="C61" s="118">
        <f t="shared" ref="C61:C90" ca="1" si="13">IFERROR(COUNTA(INDIRECT($B61&amp;"!A44:A63")) * INDIRECT($B61&amp;"!B64"), "")</f>
        <v>3000000</v>
      </c>
      <c r="D61" s="122">
        <f t="shared" ref="D61:D90" ca="1" si="14">IFERROR($C61 * (1 + E61), "")</f>
        <v>2959001.7839964526</v>
      </c>
      <c r="E61" s="70">
        <f t="shared" ref="E61:E90" ca="1" si="15">IFERROR(INDIRECT($B61&amp;"!E64"), "")</f>
        <v>-1.366607200118245E-2</v>
      </c>
      <c r="F61" s="120">
        <f t="shared" ref="F61:F90" ca="1" si="16">IFERROR(INDIRECT($B61&amp;"!F64"), "")</f>
        <v>-40998.216003547357</v>
      </c>
      <c r="G61" s="122">
        <f t="shared" ref="G61:G90" ca="1" si="17">IFERROR($C61 * (1 + H61), "")</f>
        <v>3006816.2530704034</v>
      </c>
      <c r="H61" s="70">
        <f t="shared" ref="H61:H90" ca="1" si="18">IFERROR(INDIRECT($B61&amp;"!H64"), "")</f>
        <v>2.2720843568012593E-3</v>
      </c>
      <c r="I61" s="120">
        <f t="shared" ref="I61:I90" ca="1" si="19">IFERROR(INDIRECT($B61&amp;"!I64"), "")</f>
        <v>6816.2530704037799</v>
      </c>
      <c r="J61" s="122">
        <f t="shared" ref="J61:J90" ca="1" si="20">IFERROR($C61 * (1 + K61), "")</f>
        <v>3031743.7902616966</v>
      </c>
      <c r="K61" s="70">
        <f t="shared" ref="K61:K90" ca="1" si="21">IFERROR(INDIRECT($B61&amp;"!K64"), "")</f>
        <v>1.0581263420565456E-2</v>
      </c>
      <c r="L61" s="120">
        <f t="shared" ref="L61:L90" ca="1" si="22">IFERROR(INDIRECT($B61&amp;"!L64"), "")</f>
        <v>31743.790261696369</v>
      </c>
      <c r="M61" s="122">
        <f t="shared" ref="M61:M90" ca="1" si="23">IFERROR($C61 * (1 + N61), "")</f>
        <v>3005462.0776491323</v>
      </c>
      <c r="N61" s="70">
        <f t="shared" ref="N61:N90" ca="1" si="24">IFERROR(INDIRECT($B61&amp;"!N64"), "")</f>
        <v>1.8206925497109162E-3</v>
      </c>
      <c r="O61" s="120">
        <f t="shared" ref="O61:O90" ca="1" si="25">IFERROR(INDIRECT($B61&amp;"!O64"), "")</f>
        <v>5462.0776491327433</v>
      </c>
    </row>
    <row r="62" spans="1:15" ht="16.5" customHeight="1">
      <c r="A62" s="47">
        <v>3</v>
      </c>
      <c r="B62" s="130" t="str">
        <f>HYPERLINK("#'" &amp; TEXT(투자전략!$G$1+2, "[$-ko-KR]yyyy.mm.dd") &amp; "'!A40:O64", TEXT(투자전략!$G$1+2, "[$-ko-KR]yyyy.mm.dd"))</f>
        <v>2022.12.03</v>
      </c>
      <c r="C62" s="118">
        <f t="shared" ca="1" si="13"/>
        <v>3000000</v>
      </c>
      <c r="D62" s="122">
        <f t="shared" ca="1" si="14"/>
        <v>3033633.4603389204</v>
      </c>
      <c r="E62" s="70">
        <f t="shared" ca="1" si="15"/>
        <v>1.1211153446306917E-2</v>
      </c>
      <c r="F62" s="120">
        <f t="shared" ca="1" si="16"/>
        <v>33633.460338920755</v>
      </c>
      <c r="G62" s="122">
        <f t="shared" ca="1" si="17"/>
        <v>3053368.1934132385</v>
      </c>
      <c r="H62" s="70">
        <f t="shared" ca="1" si="18"/>
        <v>1.7789397804412806E-2</v>
      </c>
      <c r="I62" s="120">
        <f t="shared" ca="1" si="19"/>
        <v>53368.193413238419</v>
      </c>
      <c r="J62" s="122">
        <f t="shared" ca="1" si="20"/>
        <v>3051894.3947773804</v>
      </c>
      <c r="K62" s="70">
        <f t="shared" ca="1" si="21"/>
        <v>1.72981315924601E-2</v>
      </c>
      <c r="L62" s="120">
        <f t="shared" ca="1" si="22"/>
        <v>51894.39477738033</v>
      </c>
      <c r="M62" s="122">
        <f t="shared" ca="1" si="23"/>
        <v>3036790.8017383264</v>
      </c>
      <c r="N62" s="70">
        <f t="shared" ca="1" si="24"/>
        <v>1.2263600579442153E-2</v>
      </c>
      <c r="O62" s="120">
        <f t="shared" ca="1" si="25"/>
        <v>36790.80173832646</v>
      </c>
    </row>
    <row r="63" spans="1:15" ht="16.5" customHeight="1">
      <c r="A63" s="47">
        <v>4</v>
      </c>
      <c r="B63" s="130" t="str">
        <f>HYPERLINK("#'" &amp; TEXT(투자전략!$G$1+3, "[$-ko-KR]yyyy.mm.dd") &amp; "'!A40:O64", TEXT(투자전략!$G$1+3, "[$-ko-KR]yyyy.mm.dd"))</f>
        <v>2022.12.04</v>
      </c>
      <c r="C63" s="118">
        <f t="shared" ca="1" si="13"/>
        <v>3000000</v>
      </c>
      <c r="D63" s="122">
        <f t="shared" ca="1" si="14"/>
        <v>2965676.2983112042</v>
      </c>
      <c r="E63" s="70">
        <f t="shared" ca="1" si="15"/>
        <v>-1.1441233896265283E-2</v>
      </c>
      <c r="F63" s="120">
        <f t="shared" ca="1" si="16"/>
        <v>-34323.701688795845</v>
      </c>
      <c r="G63" s="122">
        <f t="shared" ca="1" si="17"/>
        <v>2988297.4280551095</v>
      </c>
      <c r="H63" s="70">
        <f t="shared" ca="1" si="18"/>
        <v>-3.9008573149635259E-3</v>
      </c>
      <c r="I63" s="120">
        <f t="shared" ca="1" si="19"/>
        <v>-11702.571944890578</v>
      </c>
      <c r="J63" s="122">
        <f t="shared" ca="1" si="20"/>
        <v>2958495.0238022585</v>
      </c>
      <c r="K63" s="70">
        <f t="shared" ca="1" si="21"/>
        <v>-1.3834992065913798E-2</v>
      </c>
      <c r="L63" s="120">
        <f t="shared" ca="1" si="22"/>
        <v>-41504.976197741387</v>
      </c>
      <c r="M63" s="122">
        <f t="shared" ca="1" si="23"/>
        <v>2978105.483813738</v>
      </c>
      <c r="N63" s="70">
        <f t="shared" ca="1" si="24"/>
        <v>-7.2981720620873599E-3</v>
      </c>
      <c r="O63" s="120">
        <f t="shared" ca="1" si="25"/>
        <v>-21894.516186262077</v>
      </c>
    </row>
    <row r="64" spans="1:15" ht="16.5" customHeight="1">
      <c r="A64" s="47">
        <v>5</v>
      </c>
      <c r="B64" s="130" t="str">
        <f>HYPERLINK("#'" &amp; TEXT(투자전략!$G$1+4, "[$-ko-KR]yyyy.mm.dd") &amp; "'!A40:O64", TEXT(투자전략!$G$1+4, "[$-ko-KR]yyyy.mm.dd"))</f>
        <v>2022.12.05</v>
      </c>
      <c r="C64" s="118">
        <f t="shared" ca="1" si="13"/>
        <v>3000000</v>
      </c>
      <c r="D64" s="122">
        <f t="shared" ca="1" si="14"/>
        <v>3015175.6660501454</v>
      </c>
      <c r="E64" s="70">
        <f t="shared" ca="1" si="15"/>
        <v>5.0585553500483334E-3</v>
      </c>
      <c r="F64" s="120">
        <f t="shared" ca="1" si="16"/>
        <v>15175.666050144999</v>
      </c>
      <c r="G64" s="122">
        <f t="shared" ca="1" si="17"/>
        <v>3004247.9242905504</v>
      </c>
      <c r="H64" s="70">
        <f t="shared" ca="1" si="18"/>
        <v>1.4159747635167433E-3</v>
      </c>
      <c r="I64" s="120">
        <f t="shared" ca="1" si="19"/>
        <v>4247.9242905502315</v>
      </c>
      <c r="J64" s="122">
        <f t="shared" ca="1" si="20"/>
        <v>3024837.5666597658</v>
      </c>
      <c r="K64" s="70">
        <f t="shared" ca="1" si="21"/>
        <v>8.2791888865885888E-3</v>
      </c>
      <c r="L64" s="120">
        <f t="shared" ca="1" si="22"/>
        <v>24837.566659765766</v>
      </c>
      <c r="M64" s="122">
        <f t="shared" ca="1" si="23"/>
        <v>3010958.6486501726</v>
      </c>
      <c r="N64" s="70">
        <f t="shared" ca="1" si="24"/>
        <v>3.6528828833908475E-3</v>
      </c>
      <c r="O64" s="120">
        <f t="shared" ca="1" si="25"/>
        <v>10958.648650172545</v>
      </c>
    </row>
    <row r="65" spans="1:15" ht="16.5" customHeight="1">
      <c r="A65" s="47">
        <v>6</v>
      </c>
      <c r="B65" s="130" t="str">
        <f>HYPERLINK("#'" &amp; TEXT(투자전략!$G$1+5, "[$-ko-KR]yyyy.mm.dd") &amp; "'!A40:O64", TEXT(투자전략!$G$1+5, "[$-ko-KR]yyyy.mm.dd"))</f>
        <v>2022.12.06</v>
      </c>
      <c r="C65" s="118">
        <f t="shared" ca="1" si="13"/>
        <v>3000000</v>
      </c>
      <c r="D65" s="122">
        <f t="shared" ca="1" si="14"/>
        <v>2976682.4615442557</v>
      </c>
      <c r="E65" s="70">
        <f t="shared" ca="1" si="15"/>
        <v>-7.7725128185814575E-3</v>
      </c>
      <c r="F65" s="120">
        <f t="shared" ca="1" si="16"/>
        <v>-23317.538455744369</v>
      </c>
      <c r="G65" s="122">
        <f t="shared" ca="1" si="17"/>
        <v>2973945.8372953916</v>
      </c>
      <c r="H65" s="70">
        <f t="shared" ca="1" si="18"/>
        <v>-8.6847209015361061E-3</v>
      </c>
      <c r="I65" s="120">
        <f t="shared" ca="1" si="19"/>
        <v>-26054.162704608312</v>
      </c>
      <c r="J65" s="122">
        <f t="shared" ca="1" si="20"/>
        <v>2975646.7030999209</v>
      </c>
      <c r="K65" s="70">
        <f t="shared" ca="1" si="21"/>
        <v>-8.1177656333597387E-3</v>
      </c>
      <c r="L65" s="120">
        <f t="shared" ca="1" si="22"/>
        <v>-24353.296900079218</v>
      </c>
      <c r="M65" s="122">
        <f t="shared" ca="1" si="23"/>
        <v>2975929.6003993978</v>
      </c>
      <c r="N65" s="70">
        <f t="shared" ca="1" si="24"/>
        <v>-8.0234665335341283E-3</v>
      </c>
      <c r="O65" s="120">
        <f t="shared" ca="1" si="25"/>
        <v>-24070.399600602374</v>
      </c>
    </row>
    <row r="66" spans="1:15" ht="16.5" customHeight="1" thickBot="1">
      <c r="A66" s="48">
        <v>7</v>
      </c>
      <c r="B66" s="131" t="str">
        <f>HYPERLINK("#'" &amp; TEXT(투자전략!$G$1+6, "[$-ko-KR]yyyy.mm.dd") &amp; "'!A40:O64", TEXT(투자전략!$G$1+6, "[$-ko-KR]yyyy.mm.dd"))</f>
        <v>2022.12.07</v>
      </c>
      <c r="C66" s="118">
        <f t="shared" ca="1" si="13"/>
        <v>3000000</v>
      </c>
      <c r="D66" s="122">
        <f t="shared" ca="1" si="14"/>
        <v>2995629.1784888548</v>
      </c>
      <c r="E66" s="70">
        <f t="shared" ca="1" si="15"/>
        <v>-1.4569405037151832E-3</v>
      </c>
      <c r="F66" s="120">
        <f t="shared" ca="1" si="16"/>
        <v>-4370.821511145552</v>
      </c>
      <c r="G66" s="122">
        <f t="shared" ca="1" si="17"/>
        <v>2903824.2935638251</v>
      </c>
      <c r="H66" s="70">
        <f t="shared" ca="1" si="18"/>
        <v>-3.2058568812058291E-2</v>
      </c>
      <c r="I66" s="120">
        <f t="shared" ca="1" si="19"/>
        <v>-96175.706436174863</v>
      </c>
      <c r="J66" s="122">
        <f t="shared" ca="1" si="20"/>
        <v>2946051.904522832</v>
      </c>
      <c r="K66" s="70">
        <f t="shared" ca="1" si="21"/>
        <v>-1.798269849238928E-2</v>
      </c>
      <c r="L66" s="120">
        <f t="shared" ca="1" si="22"/>
        <v>-53948.095477167852</v>
      </c>
      <c r="M66" s="122">
        <f t="shared" ca="1" si="23"/>
        <v>2914110.5529334829</v>
      </c>
      <c r="N66" s="70">
        <f t="shared" ca="1" si="24"/>
        <v>-2.8629815688839044E-2</v>
      </c>
      <c r="O66" s="120">
        <f t="shared" ca="1" si="25"/>
        <v>-85889.44706651711</v>
      </c>
    </row>
    <row r="67" spans="1:15" ht="16.5" customHeight="1">
      <c r="A67" s="46">
        <v>8</v>
      </c>
      <c r="B67" s="129" t="str">
        <f>HYPERLINK("#'" &amp; TEXT(투자전략!$G$1+7, "[$-ko-KR]yyyy.mm.dd") &amp; "'!A40:O64", TEXT(투자전략!$G$1+7, "[$-ko-KR]yyyy.mm.dd"))</f>
        <v>2022.12.08</v>
      </c>
      <c r="C67" s="117">
        <f t="shared" ca="1" si="13"/>
        <v>3000000</v>
      </c>
      <c r="D67" s="125">
        <f t="shared" ca="1" si="14"/>
        <v>2987987.393247386</v>
      </c>
      <c r="E67" s="69">
        <f t="shared" ca="1" si="15"/>
        <v>-4.0042022508713125E-3</v>
      </c>
      <c r="F67" s="124">
        <f t="shared" ca="1" si="16"/>
        <v>-12012.606752613943</v>
      </c>
      <c r="G67" s="125">
        <f t="shared" ca="1" si="17"/>
        <v>3033744.5155435516</v>
      </c>
      <c r="H67" s="69">
        <f t="shared" ca="1" si="18"/>
        <v>1.1248171847850572E-2</v>
      </c>
      <c r="I67" s="124">
        <f t="shared" ca="1" si="19"/>
        <v>33744.515543551715</v>
      </c>
      <c r="J67" s="125">
        <f t="shared" ca="1" si="20"/>
        <v>2999924.0428353134</v>
      </c>
      <c r="K67" s="69">
        <f t="shared" ca="1" si="21"/>
        <v>-2.5319054895529565E-5</v>
      </c>
      <c r="L67" s="124">
        <f t="shared" ca="1" si="22"/>
        <v>-75.957164686590886</v>
      </c>
      <c r="M67" s="125">
        <f t="shared" ca="1" si="23"/>
        <v>3007186.5678235376</v>
      </c>
      <c r="N67" s="69">
        <f t="shared" ca="1" si="24"/>
        <v>2.395522607845744E-3</v>
      </c>
      <c r="O67" s="124">
        <f t="shared" ca="1" si="25"/>
        <v>7186.5678235372316</v>
      </c>
    </row>
    <row r="68" spans="1:15" ht="16.5" customHeight="1">
      <c r="A68" s="47">
        <v>9</v>
      </c>
      <c r="B68" s="130" t="str">
        <f>HYPERLINK("#'" &amp; TEXT(투자전략!$G$1+8, "[$-ko-KR]yyyy.mm.dd") &amp; "'!A40:O64", TEXT(투자전략!$G$1+8, "[$-ko-KR]yyyy.mm.dd"))</f>
        <v>2022.12.09</v>
      </c>
      <c r="C68" s="118">
        <f t="shared" ca="1" si="13"/>
        <v>3000000</v>
      </c>
      <c r="D68" s="122">
        <f t="shared" ca="1" si="14"/>
        <v>3049341.2569079017</v>
      </c>
      <c r="E68" s="70">
        <f t="shared" ca="1" si="15"/>
        <v>1.6447085635967314E-2</v>
      </c>
      <c r="F68" s="120">
        <f t="shared" ca="1" si="16"/>
        <v>49341.256907901945</v>
      </c>
      <c r="G68" s="122">
        <f t="shared" ca="1" si="17"/>
        <v>3118942.7150360746</v>
      </c>
      <c r="H68" s="70">
        <f t="shared" ca="1" si="18"/>
        <v>3.9647571678691457E-2</v>
      </c>
      <c r="I68" s="120">
        <f t="shared" ca="1" si="19"/>
        <v>118942.71503607438</v>
      </c>
      <c r="J68" s="122">
        <f t="shared" ca="1" si="20"/>
        <v>3118942.7150360746</v>
      </c>
      <c r="K68" s="70">
        <f t="shared" ca="1" si="21"/>
        <v>3.9647571678691457E-2</v>
      </c>
      <c r="L68" s="120">
        <f t="shared" ca="1" si="22"/>
        <v>118942.71503607438</v>
      </c>
      <c r="M68" s="122">
        <f t="shared" ca="1" si="23"/>
        <v>3107029.1699203295</v>
      </c>
      <c r="N68" s="70">
        <f t="shared" ca="1" si="24"/>
        <v>3.5676389973443148E-2</v>
      </c>
      <c r="O68" s="120">
        <f t="shared" ca="1" si="25"/>
        <v>107029.16992032944</v>
      </c>
    </row>
    <row r="69" spans="1:15" ht="16.5" customHeight="1">
      <c r="A69" s="47">
        <v>10</v>
      </c>
      <c r="B69" s="130" t="str">
        <f>HYPERLINK("#'" &amp; TEXT(투자전략!$G$1+9, "[$-ko-KR]yyyy.mm.dd") &amp; "'!A40:O64", TEXT(투자전략!$G$1+9, "[$-ko-KR]yyyy.mm.dd"))</f>
        <v>2022.12.10</v>
      </c>
      <c r="C69" s="118">
        <f t="shared" ca="1" si="13"/>
        <v>3000000</v>
      </c>
      <c r="D69" s="122">
        <f t="shared" ca="1" si="14"/>
        <v>3026394.3813237101</v>
      </c>
      <c r="E69" s="70">
        <f t="shared" ca="1" si="15"/>
        <v>8.7981271079033019E-3</v>
      </c>
      <c r="F69" s="120">
        <f t="shared" ca="1" si="16"/>
        <v>26394.381323709902</v>
      </c>
      <c r="G69" s="122">
        <f t="shared" ca="1" si="17"/>
        <v>2977383.3740190146</v>
      </c>
      <c r="H69" s="70">
        <f t="shared" ca="1" si="18"/>
        <v>-7.5388753269950469E-3</v>
      </c>
      <c r="I69" s="120">
        <f t="shared" ca="1" si="19"/>
        <v>-22616.625980985147</v>
      </c>
      <c r="J69" s="122">
        <f t="shared" ca="1" si="20"/>
        <v>2977383.3740190146</v>
      </c>
      <c r="K69" s="70">
        <f t="shared" ca="1" si="21"/>
        <v>-7.5388753269950469E-3</v>
      </c>
      <c r="L69" s="120">
        <f t="shared" ca="1" si="22"/>
        <v>-22616.625980985147</v>
      </c>
      <c r="M69" s="122">
        <f t="shared" ca="1" si="23"/>
        <v>2981787.4662153842</v>
      </c>
      <c r="N69" s="70">
        <f t="shared" ca="1" si="24"/>
        <v>-6.0708445948719266E-3</v>
      </c>
      <c r="O69" s="120">
        <f t="shared" ca="1" si="25"/>
        <v>-18212.533784615789</v>
      </c>
    </row>
    <row r="70" spans="1:15" ht="16.5" customHeight="1">
      <c r="A70" s="47">
        <v>11</v>
      </c>
      <c r="B70" s="130" t="str">
        <f>HYPERLINK("#'" &amp; TEXT(투자전략!$G$1+10, "[$-ko-KR]yyyy.mm.dd") &amp; "'!A40:O64", TEXT(투자전략!$G$1+10, "[$-ko-KR]yyyy.mm.dd"))</f>
        <v>2022.12.11</v>
      </c>
      <c r="C70" s="118">
        <f t="shared" ca="1" si="13"/>
        <v>3000000</v>
      </c>
      <c r="D70" s="122">
        <f t="shared" ca="1" si="14"/>
        <v>2990565.5844213157</v>
      </c>
      <c r="E70" s="70">
        <f t="shared" ca="1" si="15"/>
        <v>-3.144805192894764E-3</v>
      </c>
      <c r="F70" s="120">
        <f t="shared" ca="1" si="16"/>
        <v>-9434.4155786842875</v>
      </c>
      <c r="G70" s="122">
        <f t="shared" ca="1" si="17"/>
        <v>2973890.4603454331</v>
      </c>
      <c r="H70" s="70">
        <f t="shared" ca="1" si="18"/>
        <v>-8.7031798848557201E-3</v>
      </c>
      <c r="I70" s="120">
        <f t="shared" ca="1" si="19"/>
        <v>-26109.539654567157</v>
      </c>
      <c r="J70" s="122">
        <f t="shared" ca="1" si="20"/>
        <v>2973890.4603454331</v>
      </c>
      <c r="K70" s="70">
        <f t="shared" ca="1" si="21"/>
        <v>-8.7031798848557201E-3</v>
      </c>
      <c r="L70" s="120">
        <f t="shared" ca="1" si="22"/>
        <v>-26109.539654567157</v>
      </c>
      <c r="M70" s="122">
        <f t="shared" ca="1" si="23"/>
        <v>2964748.6328577204</v>
      </c>
      <c r="N70" s="70">
        <f t="shared" ca="1" si="24"/>
        <v>-1.175045571409316E-2</v>
      </c>
      <c r="O70" s="120">
        <f t="shared" ca="1" si="25"/>
        <v>-35251.367142279494</v>
      </c>
    </row>
    <row r="71" spans="1:15" ht="16.5" customHeight="1">
      <c r="A71" s="47">
        <v>12</v>
      </c>
      <c r="B71" s="130" t="str">
        <f>HYPERLINK("#'" &amp; TEXT(투자전략!$G$1+11, "[$-ko-KR]yyyy.mm.dd") &amp; "'!A40:O64", TEXT(투자전략!$G$1+11, "[$-ko-KR]yyyy.mm.dd"))</f>
        <v>2022.12.12</v>
      </c>
      <c r="C71" s="118">
        <f t="shared" ca="1" si="13"/>
        <v>3000000</v>
      </c>
      <c r="D71" s="122">
        <f t="shared" ca="1" si="14"/>
        <v>2909453.3040405805</v>
      </c>
      <c r="E71" s="70">
        <f t="shared" ca="1" si="15"/>
        <v>-3.0182231986473147E-2</v>
      </c>
      <c r="F71" s="120">
        <f t="shared" ca="1" si="16"/>
        <v>-90546.695959419463</v>
      </c>
      <c r="G71" s="122">
        <f t="shared" ca="1" si="17"/>
        <v>2909453.3040405805</v>
      </c>
      <c r="H71" s="70">
        <f t="shared" ca="1" si="18"/>
        <v>-3.0182231986473147E-2</v>
      </c>
      <c r="I71" s="120">
        <f t="shared" ca="1" si="19"/>
        <v>-90546.695959419463</v>
      </c>
      <c r="J71" s="122">
        <f t="shared" ca="1" si="20"/>
        <v>2909453.3040405805</v>
      </c>
      <c r="K71" s="70">
        <f t="shared" ca="1" si="21"/>
        <v>-3.0182231986473147E-2</v>
      </c>
      <c r="L71" s="120">
        <f t="shared" ca="1" si="22"/>
        <v>-90546.695959419463</v>
      </c>
      <c r="M71" s="122">
        <f t="shared" ca="1" si="23"/>
        <v>2902325.8792298813</v>
      </c>
      <c r="N71" s="70">
        <f t="shared" ca="1" si="24"/>
        <v>-3.2558040256706118E-2</v>
      </c>
      <c r="O71" s="120">
        <f t="shared" ca="1" si="25"/>
        <v>-97674.120770118359</v>
      </c>
    </row>
    <row r="72" spans="1:15" ht="16.5" customHeight="1">
      <c r="A72" s="47">
        <v>13</v>
      </c>
      <c r="B72" s="130" t="str">
        <f>HYPERLINK("#'" &amp; TEXT(투자전략!$G$1+12, "[$-ko-KR]yyyy.mm.dd") &amp; "'!A40:O64", TEXT(투자전략!$G$1+12, "[$-ko-KR]yyyy.mm.dd"))</f>
        <v>2022.12.13</v>
      </c>
      <c r="C72" s="118">
        <f t="shared" ca="1" si="13"/>
        <v>3000000</v>
      </c>
      <c r="D72" s="122">
        <f t="shared" ca="1" si="14"/>
        <v>2955538.1125536342</v>
      </c>
      <c r="E72" s="70">
        <f t="shared" ca="1" si="15"/>
        <v>-1.4820629148788516E-2</v>
      </c>
      <c r="F72" s="120">
        <f t="shared" ca="1" si="16"/>
        <v>-44461.887446365552</v>
      </c>
      <c r="G72" s="122">
        <f t="shared" ca="1" si="17"/>
        <v>3083429.0683373227</v>
      </c>
      <c r="H72" s="70">
        <f t="shared" ca="1" si="18"/>
        <v>2.7809689445774111E-2</v>
      </c>
      <c r="I72" s="120">
        <f t="shared" ca="1" si="19"/>
        <v>83429.068337322358</v>
      </c>
      <c r="J72" s="122">
        <f t="shared" ca="1" si="20"/>
        <v>3083429.0683373227</v>
      </c>
      <c r="K72" s="70">
        <f t="shared" ca="1" si="21"/>
        <v>2.7809689445774111E-2</v>
      </c>
      <c r="L72" s="120">
        <f t="shared" ca="1" si="22"/>
        <v>83429.068337322358</v>
      </c>
      <c r="M72" s="122">
        <f t="shared" ca="1" si="23"/>
        <v>3065890.4156780029</v>
      </c>
      <c r="N72" s="70">
        <f t="shared" ca="1" si="24"/>
        <v>2.1963471892667549E-2</v>
      </c>
      <c r="O72" s="120">
        <f t="shared" ca="1" si="25"/>
        <v>65890.415678002653</v>
      </c>
    </row>
    <row r="73" spans="1:15" ht="16.5" customHeight="1" thickBot="1">
      <c r="A73" s="48">
        <v>14</v>
      </c>
      <c r="B73" s="131" t="str">
        <f>HYPERLINK("#'" &amp; TEXT(투자전략!$G$1+13, "[$-ko-KR]yyyy.mm.dd") &amp; "'!A40:O64", TEXT(투자전략!$G$1+13, "[$-ko-KR]yyyy.mm.dd"))</f>
        <v>2022.12.14</v>
      </c>
      <c r="C73" s="119">
        <f t="shared" ca="1" si="13"/>
        <v>3000000</v>
      </c>
      <c r="D73" s="123">
        <f t="shared" ca="1" si="14"/>
        <v>2977888.1665835083</v>
      </c>
      <c r="E73" s="72">
        <f t="shared" ca="1" si="15"/>
        <v>-7.3706111388306666E-3</v>
      </c>
      <c r="F73" s="121">
        <f t="shared" ca="1" si="16"/>
        <v>-22111.833416491998</v>
      </c>
      <c r="G73" s="123">
        <f t="shared" ca="1" si="17"/>
        <v>2984424.9745325493</v>
      </c>
      <c r="H73" s="72">
        <f t="shared" ca="1" si="18"/>
        <v>-5.191675155817017E-3</v>
      </c>
      <c r="I73" s="121">
        <f t="shared" ca="1" si="19"/>
        <v>-15575.025467451052</v>
      </c>
      <c r="J73" s="123">
        <f t="shared" ca="1" si="20"/>
        <v>2984424.9745325493</v>
      </c>
      <c r="K73" s="72">
        <f t="shared" ca="1" si="21"/>
        <v>-5.191675155817017E-3</v>
      </c>
      <c r="L73" s="121">
        <f t="shared" ca="1" si="22"/>
        <v>-15575.025467451052</v>
      </c>
      <c r="M73" s="123">
        <f t="shared" ca="1" si="23"/>
        <v>2988680.5767852529</v>
      </c>
      <c r="N73" s="72">
        <f t="shared" ca="1" si="24"/>
        <v>-3.7731410715823692E-3</v>
      </c>
      <c r="O73" s="121">
        <f t="shared" ca="1" si="25"/>
        <v>-11319.423214747103</v>
      </c>
    </row>
    <row r="74" spans="1:15" ht="16.5" customHeight="1">
      <c r="A74" s="46">
        <v>15</v>
      </c>
      <c r="B74" s="129" t="str">
        <f>HYPERLINK("#'" &amp; TEXT(투자전략!$G$1+14, "[$-ko-KR]yyyy.mm.dd") &amp; "'!A40:O64", TEXT(투자전략!$G$1+14, "[$-ko-KR]yyyy.mm.dd"))</f>
        <v>2022.12.15</v>
      </c>
      <c r="C74" s="118">
        <f t="shared" ca="1" si="13"/>
        <v>3000000</v>
      </c>
      <c r="D74" s="122">
        <f t="shared" ca="1" si="14"/>
        <v>2929508.6824093796</v>
      </c>
      <c r="E74" s="70">
        <f t="shared" ca="1" si="15"/>
        <v>-2.3497105863540136E-2</v>
      </c>
      <c r="F74" s="120">
        <f t="shared" ca="1" si="16"/>
        <v>-70491.317590620427</v>
      </c>
      <c r="G74" s="122">
        <f t="shared" ca="1" si="17"/>
        <v>2929508.6824093796</v>
      </c>
      <c r="H74" s="70">
        <f t="shared" ca="1" si="18"/>
        <v>-2.3497105863540136E-2</v>
      </c>
      <c r="I74" s="120">
        <f t="shared" ca="1" si="19"/>
        <v>-70491.317590620427</v>
      </c>
      <c r="J74" s="122">
        <f t="shared" ca="1" si="20"/>
        <v>2929508.6824093796</v>
      </c>
      <c r="K74" s="70">
        <f t="shared" ca="1" si="21"/>
        <v>-2.3497105863540136E-2</v>
      </c>
      <c r="L74" s="120">
        <f t="shared" ca="1" si="22"/>
        <v>-70491.317590620427</v>
      </c>
      <c r="M74" s="122">
        <f t="shared" ca="1" si="23"/>
        <v>2929508.6824093796</v>
      </c>
      <c r="N74" s="70">
        <f t="shared" ca="1" si="24"/>
        <v>-2.3497105863540136E-2</v>
      </c>
      <c r="O74" s="120">
        <f t="shared" ca="1" si="25"/>
        <v>-70491.317590620427</v>
      </c>
    </row>
    <row r="75" spans="1:15" ht="16.5" customHeight="1">
      <c r="A75" s="47">
        <v>16</v>
      </c>
      <c r="B75" s="130" t="str">
        <f>HYPERLINK("#'" &amp; TEXT(투자전략!$G$1+15, "[$-ko-KR]yyyy.mm.dd") &amp; "'!A40:O64", TEXT(투자전략!$G$1+15, "[$-ko-KR]yyyy.mm.dd"))</f>
        <v>2022.12.16</v>
      </c>
      <c r="C75" s="118">
        <f t="shared" ca="1" si="13"/>
        <v>3000000</v>
      </c>
      <c r="D75" s="122">
        <f t="shared" ca="1" si="14"/>
        <v>2981063.4867464439</v>
      </c>
      <c r="E75" s="70">
        <f t="shared" ca="1" si="15"/>
        <v>-6.3121710845187324E-3</v>
      </c>
      <c r="F75" s="120">
        <f t="shared" ca="1" si="16"/>
        <v>-18936.513253556193</v>
      </c>
      <c r="G75" s="122">
        <f t="shared" ca="1" si="17"/>
        <v>2899800.4676026865</v>
      </c>
      <c r="H75" s="70">
        <f t="shared" ca="1" si="18"/>
        <v>-3.339984413243776E-2</v>
      </c>
      <c r="I75" s="120">
        <f t="shared" ca="1" si="19"/>
        <v>-100199.53239731331</v>
      </c>
      <c r="J75" s="122">
        <f t="shared" ca="1" si="20"/>
        <v>2900441.2854019948</v>
      </c>
      <c r="K75" s="70">
        <f t="shared" ca="1" si="21"/>
        <v>-3.3186238199335083E-2</v>
      </c>
      <c r="L75" s="120">
        <f t="shared" ca="1" si="22"/>
        <v>-99558.714598005288</v>
      </c>
      <c r="M75" s="122">
        <f t="shared" ca="1" si="23"/>
        <v>2895417.1798743438</v>
      </c>
      <c r="N75" s="70">
        <f t="shared" ca="1" si="24"/>
        <v>-3.4860940041885488E-2</v>
      </c>
      <c r="O75" s="120">
        <f t="shared" ca="1" si="25"/>
        <v>-104582.82012565646</v>
      </c>
    </row>
    <row r="76" spans="1:15" ht="16.5" customHeight="1">
      <c r="A76" s="47">
        <v>17</v>
      </c>
      <c r="B76" s="130" t="str">
        <f>HYPERLINK("#'" &amp; TEXT(투자전략!$G$1+16, "[$-ko-KR]yyyy.mm.dd") &amp; "'!A40:O64", TEXT(투자전략!$G$1+16, "[$-ko-KR]yyyy.mm.dd"))</f>
        <v>2022.12.17</v>
      </c>
      <c r="C76" s="118">
        <f t="shared" ca="1" si="13"/>
        <v>3000000</v>
      </c>
      <c r="D76" s="122">
        <f t="shared" ca="1" si="14"/>
        <v>2790545.6960130013</v>
      </c>
      <c r="E76" s="70">
        <f t="shared" ca="1" si="15"/>
        <v>-6.9818101328999599E-2</v>
      </c>
      <c r="F76" s="120">
        <f t="shared" ca="1" si="16"/>
        <v>-209454.30398699877</v>
      </c>
      <c r="G76" s="122">
        <f t="shared" ca="1" si="17"/>
        <v>2790545.6960130013</v>
      </c>
      <c r="H76" s="70">
        <f t="shared" ca="1" si="18"/>
        <v>-6.9818101328999599E-2</v>
      </c>
      <c r="I76" s="120">
        <f t="shared" ca="1" si="19"/>
        <v>-209454.30398699877</v>
      </c>
      <c r="J76" s="122">
        <f t="shared" ca="1" si="20"/>
        <v>2790545.6960130013</v>
      </c>
      <c r="K76" s="70">
        <f t="shared" ca="1" si="21"/>
        <v>-6.9818101328999599E-2</v>
      </c>
      <c r="L76" s="120">
        <f t="shared" ca="1" si="22"/>
        <v>-209454.30398699877</v>
      </c>
      <c r="M76" s="122">
        <f t="shared" ca="1" si="23"/>
        <v>2789620.0225726827</v>
      </c>
      <c r="N76" s="70">
        <f t="shared" ca="1" si="24"/>
        <v>-7.0126659142439124E-2</v>
      </c>
      <c r="O76" s="120">
        <f t="shared" ca="1" si="25"/>
        <v>-210379.9774273173</v>
      </c>
    </row>
    <row r="77" spans="1:15" ht="16.5" customHeight="1">
      <c r="A77" s="47">
        <v>18</v>
      </c>
      <c r="B77" s="130" t="str">
        <f>HYPERLINK("#'" &amp; TEXT(투자전략!$G$1+17, "[$-ko-KR]yyyy.mm.dd") &amp; "'!A40:O64", TEXT(투자전략!$G$1+17, "[$-ko-KR]yyyy.mm.dd"))</f>
        <v>2022.12.18</v>
      </c>
      <c r="C77" s="118">
        <f t="shared" ca="1" si="13"/>
        <v>3000000</v>
      </c>
      <c r="D77" s="122">
        <f t="shared" ca="1" si="14"/>
        <v>3023239.7576762429</v>
      </c>
      <c r="E77" s="70">
        <f t="shared" ca="1" si="15"/>
        <v>7.7465858920809216E-3</v>
      </c>
      <c r="F77" s="120">
        <f t="shared" ca="1" si="16"/>
        <v>23239.757676242771</v>
      </c>
      <c r="G77" s="122">
        <f t="shared" ca="1" si="17"/>
        <v>3023239.7576762429</v>
      </c>
      <c r="H77" s="70">
        <f t="shared" ca="1" si="18"/>
        <v>7.7465858920809216E-3</v>
      </c>
      <c r="I77" s="120">
        <f t="shared" ca="1" si="19"/>
        <v>23239.757676242771</v>
      </c>
      <c r="J77" s="122">
        <f t="shared" ca="1" si="20"/>
        <v>3033168.1260034116</v>
      </c>
      <c r="K77" s="70">
        <f t="shared" ca="1" si="21"/>
        <v>1.1056042001137231E-2</v>
      </c>
      <c r="L77" s="120">
        <f t="shared" ca="1" si="22"/>
        <v>33168.126003411693</v>
      </c>
      <c r="M77" s="122">
        <f t="shared" ca="1" si="23"/>
        <v>3015214.0723482994</v>
      </c>
      <c r="N77" s="70">
        <f t="shared" ca="1" si="24"/>
        <v>5.0713574494332713E-3</v>
      </c>
      <c r="O77" s="120">
        <f t="shared" ca="1" si="25"/>
        <v>15214.072348299811</v>
      </c>
    </row>
    <row r="78" spans="1:15" ht="16.5" customHeight="1">
      <c r="A78" s="47">
        <v>19</v>
      </c>
      <c r="B78" s="130" t="str">
        <f>HYPERLINK("#'" &amp; TEXT(투자전략!$G$1+18, "[$-ko-KR]yyyy.mm.dd") &amp; "'!A40:O64", TEXT(투자전략!$G$1+18, "[$-ko-KR]yyyy.mm.dd"))</f>
        <v>2022.12.19</v>
      </c>
      <c r="C78" s="118">
        <f t="shared" ca="1" si="13"/>
        <v>3000000</v>
      </c>
      <c r="D78" s="122">
        <f t="shared" ca="1" si="14"/>
        <v>2959047.0660990938</v>
      </c>
      <c r="E78" s="70">
        <f t="shared" ca="1" si="15"/>
        <v>-1.3650977966968717E-2</v>
      </c>
      <c r="F78" s="120">
        <f t="shared" ca="1" si="16"/>
        <v>-40952.933900906159</v>
      </c>
      <c r="G78" s="122">
        <f t="shared" ca="1" si="17"/>
        <v>2959971.6960500148</v>
      </c>
      <c r="H78" s="70">
        <f t="shared" ca="1" si="18"/>
        <v>-1.3342767983328507E-2</v>
      </c>
      <c r="I78" s="120">
        <f t="shared" ca="1" si="19"/>
        <v>-40028.303949985515</v>
      </c>
      <c r="J78" s="122">
        <f t="shared" ca="1" si="20"/>
        <v>2966200.1673122686</v>
      </c>
      <c r="K78" s="70">
        <f t="shared" ca="1" si="21"/>
        <v>-1.1266610895910516E-2</v>
      </c>
      <c r="L78" s="120">
        <f t="shared" ca="1" si="22"/>
        <v>-33799.832687731556</v>
      </c>
      <c r="M78" s="122">
        <f t="shared" ca="1" si="23"/>
        <v>2948489.7111999602</v>
      </c>
      <c r="N78" s="70">
        <f t="shared" ca="1" si="24"/>
        <v>-1.7170096266679816E-2</v>
      </c>
      <c r="O78" s="120">
        <f t="shared" ca="1" si="25"/>
        <v>-51510.288800039467</v>
      </c>
    </row>
    <row r="79" spans="1:15" ht="16.5" customHeight="1">
      <c r="A79" s="47">
        <v>20</v>
      </c>
      <c r="B79" s="130" t="str">
        <f>HYPERLINK("#'" &amp; TEXT(투자전략!$G$1+19, "[$-ko-KR]yyyy.mm.dd") &amp; "'!A40:O64", TEXT(투자전략!$G$1+19, "[$-ko-KR]yyyy.mm.dd"))</f>
        <v>2022.12.20</v>
      </c>
      <c r="C79" s="118">
        <f t="shared" ca="1" si="13"/>
        <v>3000000</v>
      </c>
      <c r="D79" s="122">
        <f t="shared" ca="1" si="14"/>
        <v>2972976.7954938714</v>
      </c>
      <c r="E79" s="70">
        <f t="shared" ca="1" si="15"/>
        <v>-9.0077348353762542E-3</v>
      </c>
      <c r="F79" s="120">
        <f t="shared" ca="1" si="16"/>
        <v>-27023.204506128757</v>
      </c>
      <c r="G79" s="122">
        <f t="shared" ca="1" si="17"/>
        <v>2972976.7954938714</v>
      </c>
      <c r="H79" s="70">
        <f t="shared" ca="1" si="18"/>
        <v>-9.0077348353762542E-3</v>
      </c>
      <c r="I79" s="120">
        <f t="shared" ca="1" si="19"/>
        <v>-27023.204506128757</v>
      </c>
      <c r="J79" s="122">
        <f t="shared" ca="1" si="20"/>
        <v>2972700.9923395952</v>
      </c>
      <c r="K79" s="70">
        <f t="shared" ca="1" si="21"/>
        <v>-9.0996692201349323E-3</v>
      </c>
      <c r="L79" s="120">
        <f t="shared" ca="1" si="22"/>
        <v>-27299.007660404779</v>
      </c>
      <c r="M79" s="122">
        <f t="shared" ca="1" si="23"/>
        <v>2961880.5338556073</v>
      </c>
      <c r="N79" s="70">
        <f t="shared" ca="1" si="24"/>
        <v>-1.270648871479765E-2</v>
      </c>
      <c r="O79" s="120">
        <f t="shared" ca="1" si="25"/>
        <v>-38119.466144392951</v>
      </c>
    </row>
    <row r="80" spans="1:15" ht="16.5" customHeight="1" thickBot="1">
      <c r="A80" s="48">
        <v>21</v>
      </c>
      <c r="B80" s="131" t="str">
        <f>HYPERLINK("#'" &amp; TEXT(투자전략!$G$1+20, "[$-ko-KR]yyyy.mm.dd") &amp; "'!A40:O64", TEXT(투자전략!$G$1+20, "[$-ko-KR]yyyy.mm.dd"))</f>
        <v>2022.12.21</v>
      </c>
      <c r="C80" s="118">
        <f t="shared" ca="1" si="13"/>
        <v>3000000</v>
      </c>
      <c r="D80" s="122">
        <f t="shared" ca="1" si="14"/>
        <v>3052247.9444457237</v>
      </c>
      <c r="E80" s="70">
        <f t="shared" ca="1" si="15"/>
        <v>1.7415981481907948E-2</v>
      </c>
      <c r="F80" s="120">
        <f t="shared" ca="1" si="16"/>
        <v>52247.944445723835</v>
      </c>
      <c r="G80" s="122">
        <f t="shared" ca="1" si="17"/>
        <v>3060586.8797476487</v>
      </c>
      <c r="H80" s="70">
        <f t="shared" ca="1" si="18"/>
        <v>2.0195626582549604E-2</v>
      </c>
      <c r="I80" s="120">
        <f t="shared" ca="1" si="19"/>
        <v>60586.879747648796</v>
      </c>
      <c r="J80" s="122">
        <f t="shared" ca="1" si="20"/>
        <v>3060586.8797476487</v>
      </c>
      <c r="K80" s="70">
        <f t="shared" ca="1" si="21"/>
        <v>2.0195626582549604E-2</v>
      </c>
      <c r="L80" s="120">
        <f t="shared" ca="1" si="22"/>
        <v>60586.879747648796</v>
      </c>
      <c r="M80" s="122">
        <f t="shared" ca="1" si="23"/>
        <v>3038595.9342896268</v>
      </c>
      <c r="N80" s="70">
        <f t="shared" ca="1" si="24"/>
        <v>1.2865311429875617E-2</v>
      </c>
      <c r="O80" s="120">
        <f t="shared" ca="1" si="25"/>
        <v>38595.934289626857</v>
      </c>
    </row>
    <row r="81" spans="1:15" ht="16.5" customHeight="1">
      <c r="A81" s="46">
        <v>22</v>
      </c>
      <c r="B81" s="129" t="str">
        <f>HYPERLINK("#'" &amp; TEXT(투자전략!$G$1+21, "[$-ko-KR]yyyy.mm.dd") &amp; "'!A40:O64", TEXT(투자전략!$G$1+21, "[$-ko-KR]yyyy.mm.dd"))</f>
        <v>2022.12.22</v>
      </c>
      <c r="C81" s="117">
        <f t="shared" ca="1" si="13"/>
        <v>3000000</v>
      </c>
      <c r="D81" s="125">
        <f t="shared" ca="1" si="14"/>
        <v>2985318.2198074339</v>
      </c>
      <c r="E81" s="69">
        <f t="shared" ca="1" si="15"/>
        <v>-4.8939267308552737E-3</v>
      </c>
      <c r="F81" s="124">
        <f t="shared" ca="1" si="16"/>
        <v>-14681.780192565815</v>
      </c>
      <c r="G81" s="125">
        <f t="shared" ca="1" si="17"/>
        <v>2964533.3431614921</v>
      </c>
      <c r="H81" s="69">
        <f t="shared" ca="1" si="18"/>
        <v>-1.1822218946169338E-2</v>
      </c>
      <c r="I81" s="124">
        <f t="shared" ca="1" si="19"/>
        <v>-35466.65683850801</v>
      </c>
      <c r="J81" s="125">
        <f t="shared" ca="1" si="20"/>
        <v>2964533.3431614921</v>
      </c>
      <c r="K81" s="69">
        <f t="shared" ca="1" si="21"/>
        <v>-1.1822218946169338E-2</v>
      </c>
      <c r="L81" s="124">
        <f t="shared" ca="1" si="22"/>
        <v>-35466.65683850801</v>
      </c>
      <c r="M81" s="125">
        <f t="shared" ca="1" si="23"/>
        <v>2929395.8745279573</v>
      </c>
      <c r="N81" s="69">
        <f t="shared" ca="1" si="24"/>
        <v>-2.3534708490680983E-2</v>
      </c>
      <c r="O81" s="124">
        <f t="shared" ca="1" si="25"/>
        <v>-70604.125472042986</v>
      </c>
    </row>
    <row r="82" spans="1:15" ht="16.5" customHeight="1">
      <c r="A82" s="47">
        <v>23</v>
      </c>
      <c r="B82" s="130" t="str">
        <f>HYPERLINK("#'" &amp; TEXT(투자전략!$G$1+22, "[$-ko-KR]yyyy.mm.dd") &amp; "'!A40:O64", TEXT(투자전략!$G$1+22, "[$-ko-KR]yyyy.mm.dd"))</f>
        <v>2022.12.23</v>
      </c>
      <c r="C82" s="118">
        <f t="shared" ca="1" si="13"/>
        <v>3000000</v>
      </c>
      <c r="D82" s="122">
        <f t="shared" ca="1" si="14"/>
        <v>3030709.3490934973</v>
      </c>
      <c r="E82" s="70">
        <f t="shared" ca="1" si="15"/>
        <v>1.0236449697832443E-2</v>
      </c>
      <c r="F82" s="120">
        <f t="shared" ca="1" si="16"/>
        <v>30709.349093497327</v>
      </c>
      <c r="G82" s="122">
        <f t="shared" ca="1" si="17"/>
        <v>3041011.0159543674</v>
      </c>
      <c r="H82" s="70">
        <f t="shared" ca="1" si="18"/>
        <v>1.3670338651455916E-2</v>
      </c>
      <c r="I82" s="120">
        <f t="shared" ca="1" si="19"/>
        <v>41011.015954367744</v>
      </c>
      <c r="J82" s="122">
        <f t="shared" ca="1" si="20"/>
        <v>3041011.0159543674</v>
      </c>
      <c r="K82" s="70">
        <f t="shared" ca="1" si="21"/>
        <v>1.3670338651455916E-2</v>
      </c>
      <c r="L82" s="120">
        <f t="shared" ca="1" si="22"/>
        <v>41011.015954367744</v>
      </c>
      <c r="M82" s="122">
        <f t="shared" ca="1" si="23"/>
        <v>3059930.7145560626</v>
      </c>
      <c r="N82" s="70">
        <f t="shared" ca="1" si="24"/>
        <v>1.9976904852020808E-2</v>
      </c>
      <c r="O82" s="120">
        <f t="shared" ca="1" si="25"/>
        <v>59930.714556062405</v>
      </c>
    </row>
    <row r="83" spans="1:15" ht="16.5" customHeight="1">
      <c r="A83" s="47">
        <v>24</v>
      </c>
      <c r="B83" s="130" t="str">
        <f>HYPERLINK("#'" &amp; TEXT(투자전략!$G$1+23, "[$-ko-KR]yyyy.mm.dd") &amp; "'!A40:O64", TEXT(투자전략!$G$1+23, "[$-ko-KR]yyyy.mm.dd"))</f>
        <v>2022.12.24</v>
      </c>
      <c r="C83" s="118">
        <f t="shared" ca="1" si="13"/>
        <v>3000000</v>
      </c>
      <c r="D83" s="122">
        <f t="shared" ca="1" si="14"/>
        <v>3033188.0665482655</v>
      </c>
      <c r="E83" s="70">
        <f t="shared" ca="1" si="15"/>
        <v>1.1062688849421959E-2</v>
      </c>
      <c r="F83" s="120">
        <f t="shared" ca="1" si="16"/>
        <v>33188.066548265881</v>
      </c>
      <c r="G83" s="122">
        <f t="shared" ca="1" si="17"/>
        <v>3033188.0665482655</v>
      </c>
      <c r="H83" s="70">
        <f t="shared" ca="1" si="18"/>
        <v>1.1062688849421959E-2</v>
      </c>
      <c r="I83" s="120">
        <f t="shared" ca="1" si="19"/>
        <v>33188.066548265881</v>
      </c>
      <c r="J83" s="122">
        <f t="shared" ca="1" si="20"/>
        <v>3033188.0665482655</v>
      </c>
      <c r="K83" s="70">
        <f t="shared" ca="1" si="21"/>
        <v>1.1062688849421959E-2</v>
      </c>
      <c r="L83" s="120">
        <f t="shared" ca="1" si="22"/>
        <v>33188.066548265881</v>
      </c>
      <c r="M83" s="122">
        <f t="shared" ca="1" si="23"/>
        <v>3024230.5221314663</v>
      </c>
      <c r="N83" s="70">
        <f t="shared" ca="1" si="24"/>
        <v>8.0768407104887426E-3</v>
      </c>
      <c r="O83" s="120">
        <f t="shared" ca="1" si="25"/>
        <v>24230.522131466223</v>
      </c>
    </row>
    <row r="84" spans="1:15" ht="16.5" customHeight="1">
      <c r="A84" s="47">
        <v>25</v>
      </c>
      <c r="B84" s="130" t="str">
        <f>HYPERLINK("#'" &amp; TEXT(투자전략!$G$1+24, "[$-ko-KR]yyyy.mm.dd") &amp; "'!A40:O64", TEXT(투자전략!$G$1+24, "[$-ko-KR]yyyy.mm.dd"))</f>
        <v>2022.12.25</v>
      </c>
      <c r="C84" s="118">
        <f t="shared" ca="1" si="13"/>
        <v>3000000</v>
      </c>
      <c r="D84" s="122">
        <f t="shared" ca="1" si="14"/>
        <v>2961266.1388524296</v>
      </c>
      <c r="E84" s="70">
        <f t="shared" ca="1" si="15"/>
        <v>-1.2911287049190178E-2</v>
      </c>
      <c r="F84" s="120">
        <f t="shared" ca="1" si="16"/>
        <v>-38733.861147570533</v>
      </c>
      <c r="G84" s="122">
        <f t="shared" ca="1" si="17"/>
        <v>2954260.4771234975</v>
      </c>
      <c r="H84" s="70">
        <f t="shared" ca="1" si="18"/>
        <v>-1.524650762550089E-2</v>
      </c>
      <c r="I84" s="120">
        <f t="shared" ca="1" si="19"/>
        <v>-45739.52287650267</v>
      </c>
      <c r="J84" s="122">
        <f t="shared" ca="1" si="20"/>
        <v>2954584.3917184551</v>
      </c>
      <c r="K84" s="70">
        <f t="shared" ca="1" si="21"/>
        <v>-1.5138536093848281E-2</v>
      </c>
      <c r="L84" s="120">
        <f t="shared" ca="1" si="22"/>
        <v>-45415.608281544861</v>
      </c>
      <c r="M84" s="122">
        <f t="shared" ca="1" si="23"/>
        <v>2943740.4342251029</v>
      </c>
      <c r="N84" s="70">
        <f t="shared" ca="1" si="24"/>
        <v>-1.8753188591632275E-2</v>
      </c>
      <c r="O84" s="120">
        <f t="shared" ca="1" si="25"/>
        <v>-56259.565774896815</v>
      </c>
    </row>
    <row r="85" spans="1:15" ht="16.5" customHeight="1">
      <c r="A85" s="47">
        <v>26</v>
      </c>
      <c r="B85" s="130" t="str">
        <f>HYPERLINK("#'" &amp; TEXT(투자전략!$G$1+25, "[$-ko-KR]yyyy.mm.dd") &amp; "'!A40:O64", TEXT(투자전략!$G$1+25, "[$-ko-KR]yyyy.mm.dd"))</f>
        <v>2022.12.26</v>
      </c>
      <c r="C85" s="118">
        <f t="shared" ca="1" si="13"/>
        <v>3000000</v>
      </c>
      <c r="D85" s="122">
        <f t="shared" ca="1" si="14"/>
        <v>2980054.135623558</v>
      </c>
      <c r="E85" s="70">
        <f t="shared" ca="1" si="15"/>
        <v>-6.6486214588140791E-3</v>
      </c>
      <c r="F85" s="120">
        <f t="shared" ca="1" si="16"/>
        <v>-19945.864376442238</v>
      </c>
      <c r="G85" s="122">
        <f t="shared" ca="1" si="17"/>
        <v>3000000</v>
      </c>
      <c r="H85" s="70">
        <f t="shared" ca="1" si="18"/>
        <v>0</v>
      </c>
      <c r="I85" s="120">
        <f t="shared" ca="1" si="19"/>
        <v>0</v>
      </c>
      <c r="J85" s="122">
        <f t="shared" ca="1" si="20"/>
        <v>3000000</v>
      </c>
      <c r="K85" s="70">
        <f t="shared" ca="1" si="21"/>
        <v>0</v>
      </c>
      <c r="L85" s="120">
        <f t="shared" ca="1" si="22"/>
        <v>0</v>
      </c>
      <c r="M85" s="122">
        <f t="shared" ca="1" si="23"/>
        <v>3000000</v>
      </c>
      <c r="N85" s="70">
        <f t="shared" ca="1" si="24"/>
        <v>0</v>
      </c>
      <c r="O85" s="120">
        <f t="shared" ca="1" si="25"/>
        <v>0</v>
      </c>
    </row>
    <row r="86" spans="1:15" ht="16.5" customHeight="1">
      <c r="A86" s="47">
        <v>27</v>
      </c>
      <c r="B86" s="130" t="str">
        <f>HYPERLINK("#'" &amp; TEXT(투자전략!$G$1+26, "[$-ko-KR]yyyy.mm.dd") &amp; "'!A40:O64", TEXT(투자전략!$G$1+26, "[$-ko-KR]yyyy.mm.dd"))</f>
        <v>2022.12.27</v>
      </c>
      <c r="C86" s="118" t="str">
        <f t="shared" ca="1" si="13"/>
        <v/>
      </c>
      <c r="D86" s="122" t="str">
        <f t="shared" ca="1" si="14"/>
        <v/>
      </c>
      <c r="E86" s="70" t="str">
        <f t="shared" ca="1" si="15"/>
        <v/>
      </c>
      <c r="F86" s="120" t="str">
        <f t="shared" ca="1" si="16"/>
        <v/>
      </c>
      <c r="G86" s="122" t="str">
        <f t="shared" ca="1" si="17"/>
        <v/>
      </c>
      <c r="H86" s="70" t="str">
        <f t="shared" ca="1" si="18"/>
        <v/>
      </c>
      <c r="I86" s="120" t="str">
        <f t="shared" ca="1" si="19"/>
        <v/>
      </c>
      <c r="J86" s="122" t="str">
        <f t="shared" ca="1" si="20"/>
        <v/>
      </c>
      <c r="K86" s="70" t="str">
        <f t="shared" ca="1" si="21"/>
        <v/>
      </c>
      <c r="L86" s="120" t="str">
        <f t="shared" ca="1" si="22"/>
        <v/>
      </c>
      <c r="M86" s="122" t="str">
        <f t="shared" ca="1" si="23"/>
        <v/>
      </c>
      <c r="N86" s="70" t="str">
        <f t="shared" ca="1" si="24"/>
        <v/>
      </c>
      <c r="O86" s="120" t="str">
        <f t="shared" ca="1" si="25"/>
        <v/>
      </c>
    </row>
    <row r="87" spans="1:15" ht="16.5" customHeight="1" thickBot="1">
      <c r="A87" s="48">
        <v>28</v>
      </c>
      <c r="B87" s="131" t="str">
        <f>HYPERLINK("#'" &amp; TEXT(투자전략!$G$1+27, "[$-ko-KR]yyyy.mm.dd") &amp; "'!A40:O64", TEXT(투자전략!$G$1+27, "[$-ko-KR]yyyy.mm.dd"))</f>
        <v>2022.12.28</v>
      </c>
      <c r="C87" s="119" t="str">
        <f t="shared" ca="1" si="13"/>
        <v/>
      </c>
      <c r="D87" s="123" t="str">
        <f t="shared" ca="1" si="14"/>
        <v/>
      </c>
      <c r="E87" s="72" t="str">
        <f t="shared" ca="1" si="15"/>
        <v/>
      </c>
      <c r="F87" s="121" t="str">
        <f t="shared" ca="1" si="16"/>
        <v/>
      </c>
      <c r="G87" s="123" t="str">
        <f t="shared" ca="1" si="17"/>
        <v/>
      </c>
      <c r="H87" s="72" t="str">
        <f t="shared" ca="1" si="18"/>
        <v/>
      </c>
      <c r="I87" s="121" t="str">
        <f t="shared" ca="1" si="19"/>
        <v/>
      </c>
      <c r="J87" s="123" t="str">
        <f t="shared" ca="1" si="20"/>
        <v/>
      </c>
      <c r="K87" s="72" t="str">
        <f t="shared" ca="1" si="21"/>
        <v/>
      </c>
      <c r="L87" s="121" t="str">
        <f t="shared" ca="1" si="22"/>
        <v/>
      </c>
      <c r="M87" s="123" t="str">
        <f t="shared" ca="1" si="23"/>
        <v/>
      </c>
      <c r="N87" s="72" t="str">
        <f t="shared" ca="1" si="24"/>
        <v/>
      </c>
      <c r="O87" s="121" t="str">
        <f t="shared" ca="1" si="25"/>
        <v/>
      </c>
    </row>
    <row r="88" spans="1:15" ht="16.5" customHeight="1">
      <c r="A88" s="105">
        <v>29</v>
      </c>
      <c r="B88" s="129" t="str">
        <f>HYPERLINK("#'" &amp; TEXT(투자전략!$G$1+28, "[$-ko-KR]yyyy.mm.dd") &amp; "'!A40:O64", TEXT(투자전략!$G$1+28, "[$-ko-KR]yyyy.mm.dd"))</f>
        <v>2022.12.29</v>
      </c>
      <c r="C88" s="118" t="str">
        <f t="shared" ca="1" si="13"/>
        <v/>
      </c>
      <c r="D88" s="122" t="str">
        <f t="shared" ca="1" si="14"/>
        <v/>
      </c>
      <c r="E88" s="70" t="str">
        <f t="shared" ca="1" si="15"/>
        <v/>
      </c>
      <c r="F88" s="120" t="str">
        <f t="shared" ca="1" si="16"/>
        <v/>
      </c>
      <c r="G88" s="122" t="str">
        <f t="shared" ca="1" si="17"/>
        <v/>
      </c>
      <c r="H88" s="70" t="str">
        <f t="shared" ca="1" si="18"/>
        <v/>
      </c>
      <c r="I88" s="120" t="str">
        <f t="shared" ca="1" si="19"/>
        <v/>
      </c>
      <c r="J88" s="122" t="str">
        <f t="shared" ca="1" si="20"/>
        <v/>
      </c>
      <c r="K88" s="70" t="str">
        <f t="shared" ca="1" si="21"/>
        <v/>
      </c>
      <c r="L88" s="120" t="str">
        <f t="shared" ca="1" si="22"/>
        <v/>
      </c>
      <c r="M88" s="122" t="str">
        <f t="shared" ca="1" si="23"/>
        <v/>
      </c>
      <c r="N88" s="70" t="str">
        <f t="shared" ca="1" si="24"/>
        <v/>
      </c>
      <c r="O88" s="120" t="str">
        <f t="shared" ca="1" si="25"/>
        <v/>
      </c>
    </row>
    <row r="89" spans="1:15" ht="16.5" customHeight="1">
      <c r="A89" s="105">
        <v>30</v>
      </c>
      <c r="B89" s="130" t="str">
        <f>HYPERLINK("#'" &amp; TEXT(투자전략!$G$1+29, "[$-ko-KR]yyyy.mm.dd") &amp; "'!A40:O64", TEXT(투자전략!$G$1+29, "[$-ko-KR]yyyy.mm.dd"))</f>
        <v>2022.12.30</v>
      </c>
      <c r="C89" s="118" t="str">
        <f t="shared" ca="1" si="13"/>
        <v/>
      </c>
      <c r="D89" s="122" t="str">
        <f t="shared" ca="1" si="14"/>
        <v/>
      </c>
      <c r="E89" s="70" t="str">
        <f t="shared" ca="1" si="15"/>
        <v/>
      </c>
      <c r="F89" s="120" t="str">
        <f t="shared" ca="1" si="16"/>
        <v/>
      </c>
      <c r="G89" s="122" t="str">
        <f t="shared" ca="1" si="17"/>
        <v/>
      </c>
      <c r="H89" s="70" t="str">
        <f t="shared" ca="1" si="18"/>
        <v/>
      </c>
      <c r="I89" s="120" t="str">
        <f t="shared" ca="1" si="19"/>
        <v/>
      </c>
      <c r="J89" s="122" t="str">
        <f t="shared" ca="1" si="20"/>
        <v/>
      </c>
      <c r="K89" s="70" t="str">
        <f t="shared" ca="1" si="21"/>
        <v/>
      </c>
      <c r="L89" s="120" t="str">
        <f t="shared" ca="1" si="22"/>
        <v/>
      </c>
      <c r="M89" s="122" t="str">
        <f t="shared" ca="1" si="23"/>
        <v/>
      </c>
      <c r="N89" s="70" t="str">
        <f t="shared" ca="1" si="24"/>
        <v/>
      </c>
      <c r="O89" s="120" t="str">
        <f t="shared" ca="1" si="25"/>
        <v/>
      </c>
    </row>
    <row r="90" spans="1:15" ht="16.5" customHeight="1" thickBot="1">
      <c r="A90" s="105">
        <v>31</v>
      </c>
      <c r="B90" s="130" t="str">
        <f>HYPERLINK("#'" &amp; TEXT(투자전략!$G$1+30, "[$-ko-KR]yyyy.mm.dd") &amp; "'!A40:O64", TEXT(투자전략!$G$1+30, "[$-ko-KR]yyyy.mm.dd"))</f>
        <v>2022.12.31</v>
      </c>
      <c r="C90" s="119" t="str">
        <f t="shared" ca="1" si="13"/>
        <v/>
      </c>
      <c r="D90" s="123" t="str">
        <f t="shared" ca="1" si="14"/>
        <v/>
      </c>
      <c r="E90" s="72" t="str">
        <f t="shared" ca="1" si="15"/>
        <v/>
      </c>
      <c r="F90" s="121" t="str">
        <f t="shared" ca="1" si="16"/>
        <v/>
      </c>
      <c r="G90" s="123" t="str">
        <f t="shared" ca="1" si="17"/>
        <v/>
      </c>
      <c r="H90" s="72" t="str">
        <f t="shared" ca="1" si="18"/>
        <v/>
      </c>
      <c r="I90" s="121" t="str">
        <f t="shared" ca="1" si="19"/>
        <v/>
      </c>
      <c r="J90" s="123" t="str">
        <f t="shared" ca="1" si="20"/>
        <v/>
      </c>
      <c r="K90" s="72" t="str">
        <f t="shared" ca="1" si="21"/>
        <v/>
      </c>
      <c r="L90" s="121" t="str">
        <f t="shared" ca="1" si="22"/>
        <v/>
      </c>
      <c r="M90" s="123" t="str">
        <f t="shared" ca="1" si="23"/>
        <v/>
      </c>
      <c r="N90" s="72" t="str">
        <f t="shared" ca="1" si="24"/>
        <v/>
      </c>
      <c r="O90" s="121" t="str">
        <f t="shared" ca="1" si="25"/>
        <v/>
      </c>
    </row>
    <row r="91" spans="1:15" ht="16.5" customHeight="1" thickBot="1">
      <c r="A91" s="144" t="s">
        <v>273</v>
      </c>
      <c r="B91" s="146"/>
      <c r="C91" s="116" t="s">
        <v>268</v>
      </c>
      <c r="D91" s="9" t="s">
        <v>269</v>
      </c>
      <c r="E91" s="63" t="s">
        <v>270</v>
      </c>
      <c r="F91" s="64" t="s">
        <v>271</v>
      </c>
      <c r="G91" s="9" t="s">
        <v>269</v>
      </c>
      <c r="H91" s="63" t="s">
        <v>270</v>
      </c>
      <c r="I91" s="64" t="s">
        <v>271</v>
      </c>
      <c r="J91" s="9" t="s">
        <v>269</v>
      </c>
      <c r="K91" s="63" t="s">
        <v>270</v>
      </c>
      <c r="L91" s="64" t="s">
        <v>271</v>
      </c>
      <c r="M91" s="9" t="s">
        <v>269</v>
      </c>
      <c r="N91" s="63" t="s">
        <v>270</v>
      </c>
      <c r="O91" s="64" t="s">
        <v>271</v>
      </c>
    </row>
    <row r="92" spans="1:15" ht="16.5" customHeight="1" thickBot="1">
      <c r="A92" s="150"/>
      <c r="B92" s="152"/>
      <c r="C92" s="119">
        <f ca="1">SUM(C60:C90)</f>
        <v>78000000</v>
      </c>
      <c r="D92" s="123">
        <f ca="1">SUM(D60:D90)</f>
        <v>77579263.069233239</v>
      </c>
      <c r="E92" s="72">
        <f ca="1">IFERROR(F92 / (SUM($C60:$C90) / COUNT($C60:$C90)), 0)</f>
        <v>-0.14024564358892344</v>
      </c>
      <c r="F92" s="121">
        <f ca="1">SUM(F60:F90)</f>
        <v>-420736.93076677033</v>
      </c>
      <c r="G92" s="123">
        <f ca="1">SUM(G60:G90)</f>
        <v>77678521.901939929</v>
      </c>
      <c r="H92" s="72">
        <f ca="1">IFERROR(I92 / (SUM($C60:$C90) / COUNT($C60:$C90)), 0)</f>
        <v>-0.10715936602002281</v>
      </c>
      <c r="I92" s="121">
        <f ca="1">SUM(I60:I90)</f>
        <v>-321478.09806006844</v>
      </c>
      <c r="J92" s="123">
        <f ca="1">SUM(J60:J90)</f>
        <v>77719716.651496455</v>
      </c>
      <c r="K92" s="72">
        <f ca="1">IFERROR(L92 / (SUM($C60:$C90) / COUNT($C60:$C90)), 0)</f>
        <v>-9.3427782834519593E-2</v>
      </c>
      <c r="L92" s="121">
        <f ca="1">SUM(L60:L90)</f>
        <v>-280283.34850355878</v>
      </c>
      <c r="M92" s="123">
        <f ca="1">SUM(M60:M90)</f>
        <v>77458699.357430369</v>
      </c>
      <c r="N92" s="72">
        <f ca="1">IFERROR(O92 / (SUM($C60:$C90) / COUNT($C60:$C90)), 0)</f>
        <v>-0.18043354752320995</v>
      </c>
      <c r="O92" s="121">
        <f ca="1">SUM(O60:O90)</f>
        <v>-541300.64256962982</v>
      </c>
    </row>
    <row r="94" spans="1:15" ht="16.5" customHeight="1" thickBot="1"/>
    <row r="95" spans="1:15" ht="16.5" customHeight="1" thickBot="1">
      <c r="A95" s="135" t="str">
        <f>TEXT(투자전략!$G$1, "[$-ko-KR]yyyy년 mm월 ") &amp; "[동전코인] 전일대비 상승률 Top20 월말결산"</f>
        <v>2022년 12월 [동전코인] 전일대비 상승률 Top20 월말결산</v>
      </c>
      <c r="B95" s="136"/>
      <c r="C95" s="136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36"/>
      <c r="O95" s="137"/>
    </row>
    <row r="96" spans="1:15" ht="16.5" customHeight="1" thickBot="1">
      <c r="A96" s="196" t="s">
        <v>274</v>
      </c>
      <c r="B96" s="150" t="s">
        <v>272</v>
      </c>
      <c r="C96" s="152"/>
      <c r="D96" s="150" t="s">
        <v>264</v>
      </c>
      <c r="E96" s="151"/>
      <c r="F96" s="152"/>
      <c r="G96" s="150" t="s">
        <v>265</v>
      </c>
      <c r="H96" s="151"/>
      <c r="I96" s="152"/>
      <c r="J96" s="150" t="s">
        <v>266</v>
      </c>
      <c r="K96" s="151"/>
      <c r="L96" s="152"/>
      <c r="M96" s="150" t="s">
        <v>267</v>
      </c>
      <c r="N96" s="151"/>
      <c r="O96" s="152"/>
    </row>
    <row r="97" spans="1:15" ht="16.5" customHeight="1" thickBot="1">
      <c r="A97" s="200"/>
      <c r="B97" s="46" t="s">
        <v>262</v>
      </c>
      <c r="C97" s="46" t="s">
        <v>42</v>
      </c>
      <c r="D97" s="105" t="s">
        <v>263</v>
      </c>
      <c r="E97" s="106" t="s">
        <v>40</v>
      </c>
      <c r="F97" s="81" t="s">
        <v>41</v>
      </c>
      <c r="G97" s="105" t="s">
        <v>263</v>
      </c>
      <c r="H97" s="106" t="s">
        <v>40</v>
      </c>
      <c r="I97" s="81" t="s">
        <v>41</v>
      </c>
      <c r="J97" s="105" t="s">
        <v>263</v>
      </c>
      <c r="K97" s="106" t="s">
        <v>40</v>
      </c>
      <c r="L97" s="81" t="s">
        <v>41</v>
      </c>
      <c r="M97" s="105" t="s">
        <v>263</v>
      </c>
      <c r="N97" s="106" t="s">
        <v>40</v>
      </c>
      <c r="O97" s="81" t="s">
        <v>41</v>
      </c>
    </row>
    <row r="98" spans="1:15" ht="16.5" customHeight="1">
      <c r="A98" s="46">
        <v>1</v>
      </c>
      <c r="B98" s="129" t="str">
        <f>HYPERLINK("#'" &amp; TEXT(투자전략!$G$1+0, "[$-ko-KR]yyyy.mm.dd") &amp; "'!A67:O91", TEXT(투자전략!$G$1+0, "[$-ko-KR]yyyy.mm.dd"))</f>
        <v>2022.12.01</v>
      </c>
      <c r="C98" s="117">
        <f ca="1">IFERROR(COUNTA(INDIRECT($B98&amp;"!A71:A90")) * INDIRECT($B98&amp;"!B91"), "")</f>
        <v>3000000</v>
      </c>
      <c r="D98" s="125">
        <f ca="1">IFERROR($C98 * (1 + E98), "")</f>
        <v>3010972.9031576663</v>
      </c>
      <c r="E98" s="69">
        <f ca="1">IFERROR(INDIRECT($B98&amp;"!E91"), "")</f>
        <v>3.6576343858887353E-3</v>
      </c>
      <c r="F98" s="124">
        <f ca="1">IFERROR(INDIRECT($B98&amp;"!F91"), "")</f>
        <v>10972.903157666204</v>
      </c>
      <c r="G98" s="125">
        <f ca="1">IFERROR($C98 * (1 + H98), "")</f>
        <v>3010972.9031576663</v>
      </c>
      <c r="H98" s="69">
        <f ca="1">IFERROR(INDIRECT($B98&amp;"!H91"), "")</f>
        <v>3.6576343858887353E-3</v>
      </c>
      <c r="I98" s="124">
        <f ca="1">IFERROR(INDIRECT($B98&amp;"!I91"), "")</f>
        <v>10972.903157666204</v>
      </c>
      <c r="J98" s="125">
        <f ca="1">IFERROR($C98 * (1 + K98), "")</f>
        <v>3010972.9031576663</v>
      </c>
      <c r="K98" s="69">
        <f ca="1">IFERROR(INDIRECT($B98&amp;"!K91"), "")</f>
        <v>3.6576343858887353E-3</v>
      </c>
      <c r="L98" s="124">
        <f ca="1">IFERROR(INDIRECT($B98&amp;"!L91"), "")</f>
        <v>10972.903157666204</v>
      </c>
      <c r="M98" s="125">
        <f ca="1">IFERROR($C98 * (1 + N98), "")</f>
        <v>2942519.8513348876</v>
      </c>
      <c r="N98" s="69">
        <f ca="1">IFERROR(INDIRECT($B98&amp;"!N91"), "")</f>
        <v>-1.9160049555037469E-2</v>
      </c>
      <c r="O98" s="124">
        <f ca="1">IFERROR(INDIRECT($B98&amp;"!O91"), "")</f>
        <v>-57480.148665112407</v>
      </c>
    </row>
    <row r="99" spans="1:15" ht="16.5" customHeight="1">
      <c r="A99" s="47">
        <v>2</v>
      </c>
      <c r="B99" s="130" t="str">
        <f>HYPERLINK("#'" &amp; TEXT(투자전략!$G$1+1, "[$-ko-KR]yyyy.mm.dd") &amp; "'!A67:O91", TEXT(투자전략!$G$1+1, "[$-ko-KR]yyyy.mm.dd"))</f>
        <v>2022.12.02</v>
      </c>
      <c r="C99" s="118">
        <f t="shared" ref="C99:C128" ca="1" si="26">IFERROR(COUNTA(INDIRECT($B99&amp;"!A71:A90")) * INDIRECT($B99&amp;"!B91"), "")</f>
        <v>3000000</v>
      </c>
      <c r="D99" s="122">
        <f t="shared" ref="D99:D128" ca="1" si="27">IFERROR($C99 * (1 + E99), "")</f>
        <v>2993396.2476769909</v>
      </c>
      <c r="E99" s="70">
        <f t="shared" ref="E99:E128" ca="1" si="28">IFERROR(INDIRECT($B99&amp;"!E91"), "")</f>
        <v>-2.2012507743362541E-3</v>
      </c>
      <c r="F99" s="120">
        <f t="shared" ref="F99:F128" ca="1" si="29">IFERROR(INDIRECT($B99&amp;"!F91"), "")</f>
        <v>-6603.7523230087627</v>
      </c>
      <c r="G99" s="122">
        <f t="shared" ref="G99:G128" ca="1" si="30">IFERROR($C99 * (1 + H99), "")</f>
        <v>3023008.4110761746</v>
      </c>
      <c r="H99" s="70">
        <f t="shared" ref="H99:H128" ca="1" si="31">IFERROR(INDIRECT($B99&amp;"!H91"), "")</f>
        <v>7.669470358724775E-3</v>
      </c>
      <c r="I99" s="120">
        <f t="shared" ref="I99:I128" ca="1" si="32">IFERROR(INDIRECT($B99&amp;"!I91"), "")</f>
        <v>23008.411076174325</v>
      </c>
      <c r="J99" s="122">
        <f t="shared" ref="J99:J128" ca="1" si="33">IFERROR($C99 * (1 + K99), "")</f>
        <v>3030644.5733749722</v>
      </c>
      <c r="K99" s="70">
        <f t="shared" ref="K99:K128" ca="1" si="34">IFERROR(INDIRECT($B99&amp;"!K91"), "")</f>
        <v>1.0214857791657513E-2</v>
      </c>
      <c r="L99" s="120">
        <f t="shared" ref="L99:L128" ca="1" si="35">IFERROR(INDIRECT($B99&amp;"!L91"), "")</f>
        <v>30644.573374972537</v>
      </c>
      <c r="M99" s="122">
        <f t="shared" ref="M99:M128" ca="1" si="36">IFERROR($C99 * (1 + N99), "")</f>
        <v>3033854.5660654339</v>
      </c>
      <c r="N99" s="70">
        <f t="shared" ref="N99:N128" ca="1" si="37">IFERROR(INDIRECT($B99&amp;"!N91"), "")</f>
        <v>1.1284855355144481E-2</v>
      </c>
      <c r="O99" s="120">
        <f t="shared" ref="O99:O128" ca="1" si="38">IFERROR(INDIRECT($B99&amp;"!O91"), "")</f>
        <v>33854.56606543345</v>
      </c>
    </row>
    <row r="100" spans="1:15" ht="16.5" customHeight="1">
      <c r="A100" s="47">
        <v>3</v>
      </c>
      <c r="B100" s="130" t="str">
        <f>HYPERLINK("#'" &amp; TEXT(투자전략!$G$1+2, "[$-ko-KR]yyyy.mm.dd") &amp; "'!A67:O91", TEXT(투자전략!$G$1+2, "[$-ko-KR]yyyy.mm.dd"))</f>
        <v>2022.12.03</v>
      </c>
      <c r="C100" s="118">
        <f t="shared" ca="1" si="26"/>
        <v>3000000</v>
      </c>
      <c r="D100" s="122">
        <f t="shared" ca="1" si="27"/>
        <v>3035351.6112772706</v>
      </c>
      <c r="E100" s="70">
        <f t="shared" ca="1" si="28"/>
        <v>1.1783870425756909E-2</v>
      </c>
      <c r="F100" s="120">
        <f t="shared" ca="1" si="29"/>
        <v>35351.611277270735</v>
      </c>
      <c r="G100" s="122">
        <f t="shared" ca="1" si="30"/>
        <v>3046589.9341727416</v>
      </c>
      <c r="H100" s="70">
        <f t="shared" ca="1" si="31"/>
        <v>1.5529978057580699E-2</v>
      </c>
      <c r="I100" s="120">
        <f t="shared" ca="1" si="32"/>
        <v>46589.934172742098</v>
      </c>
      <c r="J100" s="122">
        <f t="shared" ca="1" si="33"/>
        <v>3039022.5438466892</v>
      </c>
      <c r="K100" s="70">
        <f t="shared" ca="1" si="34"/>
        <v>1.3007514615563109E-2</v>
      </c>
      <c r="L100" s="120">
        <f t="shared" ca="1" si="35"/>
        <v>39022.543846689354</v>
      </c>
      <c r="M100" s="122">
        <f t="shared" ca="1" si="36"/>
        <v>3038735.9465311621</v>
      </c>
      <c r="N100" s="70">
        <f t="shared" ca="1" si="37"/>
        <v>1.2911982177053935E-2</v>
      </c>
      <c r="O100" s="120">
        <f t="shared" ca="1" si="38"/>
        <v>38735.946531161804</v>
      </c>
    </row>
    <row r="101" spans="1:15" ht="16.5" customHeight="1">
      <c r="A101" s="47">
        <v>4</v>
      </c>
      <c r="B101" s="130" t="str">
        <f>HYPERLINK("#'" &amp; TEXT(투자전략!$G$1+3, "[$-ko-KR]yyyy.mm.dd") &amp; "'!A67:O91", TEXT(투자전략!$G$1+3, "[$-ko-KR]yyyy.mm.dd"))</f>
        <v>2022.12.04</v>
      </c>
      <c r="C101" s="118">
        <f t="shared" ca="1" si="26"/>
        <v>3000000</v>
      </c>
      <c r="D101" s="122">
        <f t="shared" ca="1" si="27"/>
        <v>2992916.928304831</v>
      </c>
      <c r="E101" s="70">
        <f t="shared" ca="1" si="28"/>
        <v>-2.3610238983896555E-3</v>
      </c>
      <c r="F101" s="120">
        <f t="shared" ca="1" si="29"/>
        <v>-7083.0716951689665</v>
      </c>
      <c r="G101" s="122">
        <f t="shared" ca="1" si="30"/>
        <v>2983697.6261607762</v>
      </c>
      <c r="H101" s="70">
        <f t="shared" ca="1" si="31"/>
        <v>-5.434124613074522E-3</v>
      </c>
      <c r="I101" s="120">
        <f t="shared" ca="1" si="32"/>
        <v>-16302.373839223568</v>
      </c>
      <c r="J101" s="122">
        <f t="shared" ca="1" si="33"/>
        <v>2976084.8602494686</v>
      </c>
      <c r="K101" s="70">
        <f t="shared" ca="1" si="34"/>
        <v>-7.9717132501772123E-3</v>
      </c>
      <c r="L101" s="120">
        <f t="shared" ca="1" si="35"/>
        <v>-23915.139750531631</v>
      </c>
      <c r="M101" s="122">
        <f t="shared" ca="1" si="36"/>
        <v>2982155.0430421527</v>
      </c>
      <c r="N101" s="70">
        <f t="shared" ca="1" si="37"/>
        <v>-5.9483189859490448E-3</v>
      </c>
      <c r="O101" s="120">
        <f t="shared" ca="1" si="38"/>
        <v>-17844.956957847127</v>
      </c>
    </row>
    <row r="102" spans="1:15" ht="16.5" customHeight="1">
      <c r="A102" s="47">
        <v>5</v>
      </c>
      <c r="B102" s="130" t="str">
        <f>HYPERLINK("#'" &amp; TEXT(투자전략!$G$1+4, "[$-ko-KR]yyyy.mm.dd") &amp; "'!A67:O91", TEXT(투자전략!$G$1+4, "[$-ko-KR]yyyy.mm.dd"))</f>
        <v>2022.12.05</v>
      </c>
      <c r="C102" s="118">
        <f t="shared" ca="1" si="26"/>
        <v>3000000</v>
      </c>
      <c r="D102" s="122">
        <f t="shared" ca="1" si="27"/>
        <v>3015706.2156844335</v>
      </c>
      <c r="E102" s="70">
        <f t="shared" ca="1" si="28"/>
        <v>5.2354052281444385E-3</v>
      </c>
      <c r="F102" s="120">
        <f t="shared" ca="1" si="29"/>
        <v>15706.215684433319</v>
      </c>
      <c r="G102" s="122">
        <f t="shared" ca="1" si="30"/>
        <v>3016438.2431380358</v>
      </c>
      <c r="H102" s="70">
        <f t="shared" ca="1" si="31"/>
        <v>5.4794143793452793E-3</v>
      </c>
      <c r="I102" s="120">
        <f t="shared" ca="1" si="32"/>
        <v>16438.243138035839</v>
      </c>
      <c r="J102" s="122">
        <f t="shared" ca="1" si="33"/>
        <v>3021927.6796719865</v>
      </c>
      <c r="K102" s="70">
        <f t="shared" ca="1" si="34"/>
        <v>7.3092265573289489E-3</v>
      </c>
      <c r="L102" s="120">
        <f t="shared" ca="1" si="35"/>
        <v>21927.679671986843</v>
      </c>
      <c r="M102" s="122">
        <f t="shared" ca="1" si="36"/>
        <v>3001929.9405136826</v>
      </c>
      <c r="N102" s="70">
        <f t="shared" ca="1" si="37"/>
        <v>6.4331350456094908E-4</v>
      </c>
      <c r="O102" s="120">
        <f t="shared" ca="1" si="38"/>
        <v>1929.9405136828486</v>
      </c>
    </row>
    <row r="103" spans="1:15" ht="16.5" customHeight="1">
      <c r="A103" s="47">
        <v>6</v>
      </c>
      <c r="B103" s="130" t="str">
        <f>HYPERLINK("#'" &amp; TEXT(투자전략!$G$1+5, "[$-ko-KR]yyyy.mm.dd") &amp; "'!A67:O91", TEXT(투자전략!$G$1+5, "[$-ko-KR]yyyy.mm.dd"))</f>
        <v>2022.12.06</v>
      </c>
      <c r="C103" s="118">
        <f t="shared" ca="1" si="26"/>
        <v>3000000</v>
      </c>
      <c r="D103" s="122">
        <f t="shared" ca="1" si="27"/>
        <v>2982126.4567935304</v>
      </c>
      <c r="E103" s="70">
        <f t="shared" ca="1" si="28"/>
        <v>-5.9578477354897833E-3</v>
      </c>
      <c r="F103" s="120">
        <f t="shared" ca="1" si="29"/>
        <v>-17873.543206469345</v>
      </c>
      <c r="G103" s="122">
        <f t="shared" ca="1" si="30"/>
        <v>2982183.2257782589</v>
      </c>
      <c r="H103" s="70">
        <f t="shared" ca="1" si="31"/>
        <v>-5.9389247405804398E-3</v>
      </c>
      <c r="I103" s="120">
        <f t="shared" ca="1" si="32"/>
        <v>-17816.774221741318</v>
      </c>
      <c r="J103" s="122">
        <f t="shared" ca="1" si="33"/>
        <v>2992875.7313432945</v>
      </c>
      <c r="K103" s="70">
        <f t="shared" ca="1" si="34"/>
        <v>-2.3747562189018316E-3</v>
      </c>
      <c r="L103" s="120">
        <f t="shared" ca="1" si="35"/>
        <v>-7124.2686567054952</v>
      </c>
      <c r="M103" s="122">
        <f t="shared" ca="1" si="36"/>
        <v>2988998.6084612221</v>
      </c>
      <c r="N103" s="70">
        <f t="shared" ca="1" si="37"/>
        <v>-3.6671305129260022E-3</v>
      </c>
      <c r="O103" s="120">
        <f t="shared" ca="1" si="38"/>
        <v>-11001.391538778011</v>
      </c>
    </row>
    <row r="104" spans="1:15" ht="16.5" customHeight="1" thickBot="1">
      <c r="A104" s="48">
        <v>7</v>
      </c>
      <c r="B104" s="131" t="str">
        <f>HYPERLINK("#'" &amp; TEXT(투자전략!$G$1+6, "[$-ko-KR]yyyy.mm.dd") &amp; "'!A67:O91", TEXT(투자전략!$G$1+6, "[$-ko-KR]yyyy.mm.dd"))</f>
        <v>2022.12.07</v>
      </c>
      <c r="C104" s="118">
        <f t="shared" ca="1" si="26"/>
        <v>3000000</v>
      </c>
      <c r="D104" s="122">
        <f t="shared" ca="1" si="27"/>
        <v>2934352.8282723934</v>
      </c>
      <c r="E104" s="70">
        <f t="shared" ca="1" si="28"/>
        <v>-2.1882390575868813E-2</v>
      </c>
      <c r="F104" s="120">
        <f t="shared" ca="1" si="29"/>
        <v>-65647.17172760643</v>
      </c>
      <c r="G104" s="122">
        <f t="shared" ca="1" si="30"/>
        <v>2859833.3630974363</v>
      </c>
      <c r="H104" s="70">
        <f t="shared" ca="1" si="31"/>
        <v>-4.6722212300854618E-2</v>
      </c>
      <c r="I104" s="120">
        <f t="shared" ca="1" si="32"/>
        <v>-140166.63690256383</v>
      </c>
      <c r="J104" s="122">
        <f t="shared" ca="1" si="33"/>
        <v>2891813.8459455376</v>
      </c>
      <c r="K104" s="70">
        <f t="shared" ca="1" si="34"/>
        <v>-3.6062051351487566E-2</v>
      </c>
      <c r="L104" s="120">
        <f t="shared" ca="1" si="35"/>
        <v>-108186.15405446269</v>
      </c>
      <c r="M104" s="122">
        <f t="shared" ca="1" si="36"/>
        <v>2878957.9906037753</v>
      </c>
      <c r="N104" s="70">
        <f t="shared" ca="1" si="37"/>
        <v>-4.0347336465408216E-2</v>
      </c>
      <c r="O104" s="120">
        <f t="shared" ca="1" si="38"/>
        <v>-121042.00939622463</v>
      </c>
    </row>
    <row r="105" spans="1:15" ht="16.5" customHeight="1">
      <c r="A105" s="46">
        <v>8</v>
      </c>
      <c r="B105" s="129" t="str">
        <f>HYPERLINK("#'" &amp; TEXT(투자전략!$G$1+7, "[$-ko-KR]yyyy.mm.dd") &amp; "'!A67:O91", TEXT(투자전략!$G$1+7, "[$-ko-KR]yyyy.mm.dd"))</f>
        <v>2022.12.08</v>
      </c>
      <c r="C105" s="117">
        <f t="shared" ca="1" si="26"/>
        <v>3000000</v>
      </c>
      <c r="D105" s="125">
        <f t="shared" ca="1" si="27"/>
        <v>2992113.537579719</v>
      </c>
      <c r="E105" s="69">
        <f t="shared" ca="1" si="28"/>
        <v>-2.6288208067604302E-3</v>
      </c>
      <c r="F105" s="124">
        <f t="shared" ca="1" si="29"/>
        <v>-7886.4624202812929</v>
      </c>
      <c r="G105" s="125">
        <f t="shared" ca="1" si="30"/>
        <v>3000502.8259963123</v>
      </c>
      <c r="H105" s="69">
        <f t="shared" ca="1" si="31"/>
        <v>1.6760866543752287E-4</v>
      </c>
      <c r="I105" s="124">
        <f t="shared" ca="1" si="32"/>
        <v>502.82599631256835</v>
      </c>
      <c r="J105" s="125">
        <f t="shared" ca="1" si="33"/>
        <v>2989435.8029892468</v>
      </c>
      <c r="K105" s="69">
        <f t="shared" ca="1" si="34"/>
        <v>-3.5213990035844237E-3</v>
      </c>
      <c r="L105" s="124">
        <f t="shared" ca="1" si="35"/>
        <v>-10564.197010753269</v>
      </c>
      <c r="M105" s="125">
        <f t="shared" ca="1" si="36"/>
        <v>3000072.4759287126</v>
      </c>
      <c r="N105" s="69">
        <f t="shared" ca="1" si="37"/>
        <v>2.4158642904169823E-5</v>
      </c>
      <c r="O105" s="124">
        <f t="shared" ca="1" si="38"/>
        <v>72.47592871251004</v>
      </c>
    </row>
    <row r="106" spans="1:15" ht="16.5" customHeight="1">
      <c r="A106" s="47">
        <v>9</v>
      </c>
      <c r="B106" s="130" t="str">
        <f>HYPERLINK("#'" &amp; TEXT(투자전략!$G$1+8, "[$-ko-KR]yyyy.mm.dd") &amp; "'!A67:O91", TEXT(투자전략!$G$1+8, "[$-ko-KR]yyyy.mm.dd"))</f>
        <v>2022.12.09</v>
      </c>
      <c r="C106" s="118">
        <f t="shared" ca="1" si="26"/>
        <v>3000000</v>
      </c>
      <c r="D106" s="122">
        <f t="shared" ca="1" si="27"/>
        <v>3027366.3058503745</v>
      </c>
      <c r="E106" s="70">
        <f t="shared" ca="1" si="28"/>
        <v>9.1221019501247658E-3</v>
      </c>
      <c r="F106" s="120">
        <f t="shared" ca="1" si="29"/>
        <v>27366.305850374298</v>
      </c>
      <c r="G106" s="122">
        <f t="shared" ca="1" si="30"/>
        <v>3041538.7870176546</v>
      </c>
      <c r="H106" s="70">
        <f t="shared" ca="1" si="31"/>
        <v>1.3846262339218093E-2</v>
      </c>
      <c r="I106" s="120">
        <f t="shared" ca="1" si="32"/>
        <v>41538.787017654278</v>
      </c>
      <c r="J106" s="122">
        <f t="shared" ca="1" si="33"/>
        <v>3041538.7870176546</v>
      </c>
      <c r="K106" s="70">
        <f t="shared" ca="1" si="34"/>
        <v>1.3846262339218093E-2</v>
      </c>
      <c r="L106" s="120">
        <f t="shared" ca="1" si="35"/>
        <v>41538.787017654278</v>
      </c>
      <c r="M106" s="122">
        <f t="shared" ca="1" si="36"/>
        <v>3032556.069933515</v>
      </c>
      <c r="N106" s="70">
        <f t="shared" ca="1" si="37"/>
        <v>1.0852023311171702E-2</v>
      </c>
      <c r="O106" s="120">
        <f t="shared" ca="1" si="38"/>
        <v>32556.069933515111</v>
      </c>
    </row>
    <row r="107" spans="1:15" ht="16.5" customHeight="1">
      <c r="A107" s="47">
        <v>10</v>
      </c>
      <c r="B107" s="130" t="str">
        <f>HYPERLINK("#'" &amp; TEXT(투자전략!$G$1+9, "[$-ko-KR]yyyy.mm.dd") &amp; "'!A67:O91", TEXT(투자전략!$G$1+9, "[$-ko-KR]yyyy.mm.dd"))</f>
        <v>2022.12.10</v>
      </c>
      <c r="C107" s="118">
        <f t="shared" ca="1" si="26"/>
        <v>3000000</v>
      </c>
      <c r="D107" s="122">
        <f t="shared" ca="1" si="27"/>
        <v>3015413.2095750947</v>
      </c>
      <c r="E107" s="70">
        <f t="shared" ca="1" si="28"/>
        <v>5.1377365250316323E-3</v>
      </c>
      <c r="F107" s="120">
        <f t="shared" ca="1" si="29"/>
        <v>15413.209575094897</v>
      </c>
      <c r="G107" s="122">
        <f t="shared" ca="1" si="30"/>
        <v>3030242.5313391313</v>
      </c>
      <c r="H107" s="70">
        <f t="shared" ca="1" si="31"/>
        <v>1.0080843779710471E-2</v>
      </c>
      <c r="I107" s="120">
        <f t="shared" ca="1" si="32"/>
        <v>30242.531339131416</v>
      </c>
      <c r="J107" s="122">
        <f t="shared" ca="1" si="33"/>
        <v>3030242.5313391313</v>
      </c>
      <c r="K107" s="70">
        <f t="shared" ca="1" si="34"/>
        <v>1.0080843779710471E-2</v>
      </c>
      <c r="L107" s="120">
        <f t="shared" ca="1" si="35"/>
        <v>30242.531339131416</v>
      </c>
      <c r="M107" s="122">
        <f t="shared" ca="1" si="36"/>
        <v>3046654.1703513521</v>
      </c>
      <c r="N107" s="70">
        <f t="shared" ca="1" si="37"/>
        <v>1.5551390117117463E-2</v>
      </c>
      <c r="O107" s="120">
        <f t="shared" ca="1" si="38"/>
        <v>46654.17035135239</v>
      </c>
    </row>
    <row r="108" spans="1:15" ht="16.5" customHeight="1">
      <c r="A108" s="47">
        <v>11</v>
      </c>
      <c r="B108" s="130" t="str">
        <f>HYPERLINK("#'" &amp; TEXT(투자전략!$G$1+10, "[$-ko-KR]yyyy.mm.dd") &amp; "'!A67:O91", TEXT(투자전략!$G$1+10, "[$-ko-KR]yyyy.mm.dd"))</f>
        <v>2022.12.11</v>
      </c>
      <c r="C108" s="118">
        <f t="shared" ca="1" si="26"/>
        <v>3000000</v>
      </c>
      <c r="D108" s="122">
        <f t="shared" ca="1" si="27"/>
        <v>3013782.5315044178</v>
      </c>
      <c r="E108" s="70">
        <f t="shared" ca="1" si="28"/>
        <v>4.5941771681392409E-3</v>
      </c>
      <c r="F108" s="120">
        <f t="shared" ca="1" si="29"/>
        <v>13782.531504417726</v>
      </c>
      <c r="G108" s="122">
        <f t="shared" ca="1" si="30"/>
        <v>3015059.2170841941</v>
      </c>
      <c r="H108" s="70">
        <f t="shared" ca="1" si="31"/>
        <v>5.019739028064539E-3</v>
      </c>
      <c r="I108" s="120">
        <f t="shared" ca="1" si="32"/>
        <v>15059.217084193617</v>
      </c>
      <c r="J108" s="122">
        <f t="shared" ca="1" si="33"/>
        <v>3015059.2170841941</v>
      </c>
      <c r="K108" s="70">
        <f t="shared" ca="1" si="34"/>
        <v>5.019739028064539E-3</v>
      </c>
      <c r="L108" s="120">
        <f t="shared" ca="1" si="35"/>
        <v>15059.217084193617</v>
      </c>
      <c r="M108" s="122">
        <f t="shared" ca="1" si="36"/>
        <v>2998673.0894039148</v>
      </c>
      <c r="N108" s="70">
        <f t="shared" ca="1" si="37"/>
        <v>-4.4230353202845895E-4</v>
      </c>
      <c r="O108" s="120">
        <f t="shared" ca="1" si="38"/>
        <v>-1326.9105960853767</v>
      </c>
    </row>
    <row r="109" spans="1:15" ht="16.5" customHeight="1">
      <c r="A109" s="47">
        <v>12</v>
      </c>
      <c r="B109" s="130" t="str">
        <f>HYPERLINK("#'" &amp; TEXT(투자전략!$G$1+11, "[$-ko-KR]yyyy.mm.dd") &amp; "'!A67:O91", TEXT(투자전략!$G$1+11, "[$-ko-KR]yyyy.mm.dd"))</f>
        <v>2022.12.12</v>
      </c>
      <c r="C109" s="118">
        <f t="shared" ca="1" si="26"/>
        <v>3000000</v>
      </c>
      <c r="D109" s="122">
        <f t="shared" ca="1" si="27"/>
        <v>2844630.9046162236</v>
      </c>
      <c r="E109" s="70">
        <f t="shared" ca="1" si="28"/>
        <v>-5.1789698461258839E-2</v>
      </c>
      <c r="F109" s="120">
        <f t="shared" ca="1" si="29"/>
        <v>-155369.09538377653</v>
      </c>
      <c r="G109" s="122">
        <f t="shared" ca="1" si="30"/>
        <v>2844630.9046162236</v>
      </c>
      <c r="H109" s="70">
        <f t="shared" ca="1" si="31"/>
        <v>-5.1789698461258839E-2</v>
      </c>
      <c r="I109" s="120">
        <f t="shared" ca="1" si="32"/>
        <v>-155369.09538377653</v>
      </c>
      <c r="J109" s="122">
        <f t="shared" ca="1" si="33"/>
        <v>2844630.9046162236</v>
      </c>
      <c r="K109" s="70">
        <f t="shared" ca="1" si="34"/>
        <v>-5.1789698461258839E-2</v>
      </c>
      <c r="L109" s="120">
        <f t="shared" ca="1" si="35"/>
        <v>-155369.09538377653</v>
      </c>
      <c r="M109" s="122">
        <f t="shared" ca="1" si="36"/>
        <v>2852550.6002073796</v>
      </c>
      <c r="N109" s="70">
        <f t="shared" ca="1" si="37"/>
        <v>-4.9149799930873393E-2</v>
      </c>
      <c r="O109" s="120">
        <f t="shared" ca="1" si="38"/>
        <v>-147449.39979262021</v>
      </c>
    </row>
    <row r="110" spans="1:15" ht="16.5" customHeight="1">
      <c r="A110" s="47">
        <v>13</v>
      </c>
      <c r="B110" s="130" t="str">
        <f>HYPERLINK("#'" &amp; TEXT(투자전략!$G$1+12, "[$-ko-KR]yyyy.mm.dd") &amp; "'!A67:O91", TEXT(투자전략!$G$1+12, "[$-ko-KR]yyyy.mm.dd"))</f>
        <v>2022.12.13</v>
      </c>
      <c r="C110" s="118">
        <f t="shared" ca="1" si="26"/>
        <v>3000000</v>
      </c>
      <c r="D110" s="122">
        <f t="shared" ca="1" si="27"/>
        <v>2936759.919800505</v>
      </c>
      <c r="E110" s="70">
        <f t="shared" ca="1" si="28"/>
        <v>-2.1080026733164999E-2</v>
      </c>
      <c r="F110" s="120">
        <f t="shared" ca="1" si="29"/>
        <v>-63240.080199495009</v>
      </c>
      <c r="G110" s="122">
        <f t="shared" ca="1" si="30"/>
        <v>3052672.8856497845</v>
      </c>
      <c r="H110" s="70">
        <f t="shared" ca="1" si="31"/>
        <v>1.7557628549928046E-2</v>
      </c>
      <c r="I110" s="120">
        <f t="shared" ca="1" si="32"/>
        <v>52672.885649784119</v>
      </c>
      <c r="J110" s="122">
        <f t="shared" ca="1" si="33"/>
        <v>3052672.8856497845</v>
      </c>
      <c r="K110" s="70">
        <f t="shared" ca="1" si="34"/>
        <v>1.7557628549928046E-2</v>
      </c>
      <c r="L110" s="120">
        <f t="shared" ca="1" si="35"/>
        <v>52672.885649784119</v>
      </c>
      <c r="M110" s="122">
        <f t="shared" ca="1" si="36"/>
        <v>3025958.2725446783</v>
      </c>
      <c r="N110" s="70">
        <f t="shared" ca="1" si="37"/>
        <v>8.6527575148927852E-3</v>
      </c>
      <c r="O110" s="120">
        <f t="shared" ca="1" si="38"/>
        <v>25958.272544678355</v>
      </c>
    </row>
    <row r="111" spans="1:15" ht="16.5" customHeight="1" thickBot="1">
      <c r="A111" s="48">
        <v>14</v>
      </c>
      <c r="B111" s="131" t="str">
        <f>HYPERLINK("#'" &amp; TEXT(투자전략!$G$1+13, "[$-ko-KR]yyyy.mm.dd") &amp; "'!A67:O91", TEXT(투자전략!$G$1+13, "[$-ko-KR]yyyy.mm.dd"))</f>
        <v>2022.12.14</v>
      </c>
      <c r="C111" s="119">
        <f t="shared" ca="1" si="26"/>
        <v>3000000</v>
      </c>
      <c r="D111" s="123">
        <f t="shared" ca="1" si="27"/>
        <v>3011128.9709795229</v>
      </c>
      <c r="E111" s="72">
        <f t="shared" ca="1" si="28"/>
        <v>3.7096569931742594E-3</v>
      </c>
      <c r="F111" s="121">
        <f t="shared" ca="1" si="29"/>
        <v>11128.970979522781</v>
      </c>
      <c r="G111" s="123">
        <f t="shared" ca="1" si="30"/>
        <v>3014148.7431764216</v>
      </c>
      <c r="H111" s="72">
        <f t="shared" ca="1" si="31"/>
        <v>4.7162477254737902E-3</v>
      </c>
      <c r="I111" s="121">
        <f t="shared" ca="1" si="32"/>
        <v>14148.743176421371</v>
      </c>
      <c r="J111" s="123">
        <f t="shared" ca="1" si="33"/>
        <v>3014148.7431764216</v>
      </c>
      <c r="K111" s="72">
        <f t="shared" ca="1" si="34"/>
        <v>4.7162477254737902E-3</v>
      </c>
      <c r="L111" s="121">
        <f t="shared" ca="1" si="35"/>
        <v>14148.743176421371</v>
      </c>
      <c r="M111" s="123">
        <f t="shared" ca="1" si="36"/>
        <v>3019910.7629717137</v>
      </c>
      <c r="N111" s="72">
        <f t="shared" ca="1" si="37"/>
        <v>6.6369209905711183E-3</v>
      </c>
      <c r="O111" s="121">
        <f t="shared" ca="1" si="38"/>
        <v>19910.762971713353</v>
      </c>
    </row>
    <row r="112" spans="1:15" ht="16.5" customHeight="1">
      <c r="A112" s="46">
        <v>15</v>
      </c>
      <c r="B112" s="129" t="str">
        <f>HYPERLINK("#'" &amp; TEXT(투자전략!$G$1+14, "[$-ko-KR]yyyy.mm.dd") &amp; "'!A67:O91", TEXT(투자전략!$G$1+14, "[$-ko-KR]yyyy.mm.dd"))</f>
        <v>2022.12.15</v>
      </c>
      <c r="C112" s="118">
        <f t="shared" ca="1" si="26"/>
        <v>3000000</v>
      </c>
      <c r="D112" s="122">
        <f t="shared" ca="1" si="27"/>
        <v>2926758.407665865</v>
      </c>
      <c r="E112" s="70">
        <f t="shared" ca="1" si="28"/>
        <v>-2.4413864111378282E-2</v>
      </c>
      <c r="F112" s="120">
        <f t="shared" ca="1" si="29"/>
        <v>-73241.592334134853</v>
      </c>
      <c r="G112" s="122">
        <f t="shared" ca="1" si="30"/>
        <v>2926758.407665865</v>
      </c>
      <c r="H112" s="70">
        <f t="shared" ca="1" si="31"/>
        <v>-2.4413864111378282E-2</v>
      </c>
      <c r="I112" s="120">
        <f t="shared" ca="1" si="32"/>
        <v>-73241.592334134853</v>
      </c>
      <c r="J112" s="122">
        <f t="shared" ca="1" si="33"/>
        <v>2926758.407665865</v>
      </c>
      <c r="K112" s="70">
        <f t="shared" ca="1" si="34"/>
        <v>-2.4413864111378282E-2</v>
      </c>
      <c r="L112" s="120">
        <f t="shared" ca="1" si="35"/>
        <v>-73241.592334134853</v>
      </c>
      <c r="M112" s="122">
        <f t="shared" ca="1" si="36"/>
        <v>2926758.407665865</v>
      </c>
      <c r="N112" s="70">
        <f t="shared" ca="1" si="37"/>
        <v>-2.4413864111378282E-2</v>
      </c>
      <c r="O112" s="120">
        <f t="shared" ca="1" si="38"/>
        <v>-73241.592334134853</v>
      </c>
    </row>
    <row r="113" spans="1:15" ht="16.5" customHeight="1">
      <c r="A113" s="47">
        <v>16</v>
      </c>
      <c r="B113" s="130" t="str">
        <f>HYPERLINK("#'" &amp; TEXT(투자전략!$G$1+15, "[$-ko-KR]yyyy.mm.dd") &amp; "'!A67:O91", TEXT(투자전략!$G$1+15, "[$-ko-KR]yyyy.mm.dd"))</f>
        <v>2022.12.16</v>
      </c>
      <c r="C113" s="118">
        <f t="shared" ca="1" si="26"/>
        <v>3000000</v>
      </c>
      <c r="D113" s="122">
        <f t="shared" ca="1" si="27"/>
        <v>2969422.7732074922</v>
      </c>
      <c r="E113" s="70">
        <f t="shared" ca="1" si="28"/>
        <v>-1.0192408930835967E-2</v>
      </c>
      <c r="F113" s="120">
        <f t="shared" ca="1" si="29"/>
        <v>-30577.226792507896</v>
      </c>
      <c r="G113" s="122">
        <f t="shared" ca="1" si="30"/>
        <v>2874988.0720859952</v>
      </c>
      <c r="H113" s="70">
        <f t="shared" ca="1" si="31"/>
        <v>-4.1670642638001618E-2</v>
      </c>
      <c r="I113" s="120">
        <f t="shared" ca="1" si="32"/>
        <v>-125011.92791400486</v>
      </c>
      <c r="J113" s="122">
        <f t="shared" ca="1" si="33"/>
        <v>2875098.8805548283</v>
      </c>
      <c r="K113" s="70">
        <f t="shared" ca="1" si="34"/>
        <v>-4.1633706481723841E-2</v>
      </c>
      <c r="L113" s="120">
        <f t="shared" ca="1" si="35"/>
        <v>-124901.11944517151</v>
      </c>
      <c r="M113" s="122">
        <f t="shared" ca="1" si="36"/>
        <v>2885723.4272941905</v>
      </c>
      <c r="N113" s="70">
        <f t="shared" ca="1" si="37"/>
        <v>-3.8092190901936461E-2</v>
      </c>
      <c r="O113" s="120">
        <f t="shared" ca="1" si="38"/>
        <v>-114276.57270580941</v>
      </c>
    </row>
    <row r="114" spans="1:15" ht="16.5" customHeight="1">
      <c r="A114" s="47">
        <v>17</v>
      </c>
      <c r="B114" s="130" t="str">
        <f>HYPERLINK("#'" &amp; TEXT(투자전략!$G$1+16, "[$-ko-KR]yyyy.mm.dd") &amp; "'!A67:O91", TEXT(투자전략!$G$1+16, "[$-ko-KR]yyyy.mm.dd"))</f>
        <v>2022.12.17</v>
      </c>
      <c r="C114" s="118">
        <f t="shared" ca="1" si="26"/>
        <v>3000000</v>
      </c>
      <c r="D114" s="122">
        <f t="shared" ca="1" si="27"/>
        <v>2772076.3190369215</v>
      </c>
      <c r="E114" s="70">
        <f t="shared" ca="1" si="28"/>
        <v>-7.5974560321026216E-2</v>
      </c>
      <c r="F114" s="120">
        <f t="shared" ca="1" si="29"/>
        <v>-227923.68096307866</v>
      </c>
      <c r="G114" s="122">
        <f t="shared" ca="1" si="30"/>
        <v>2772076.3190369215</v>
      </c>
      <c r="H114" s="70">
        <f t="shared" ca="1" si="31"/>
        <v>-7.5974560321026216E-2</v>
      </c>
      <c r="I114" s="120">
        <f t="shared" ca="1" si="32"/>
        <v>-227923.68096307866</v>
      </c>
      <c r="J114" s="122">
        <f t="shared" ca="1" si="33"/>
        <v>2772076.3190369215</v>
      </c>
      <c r="K114" s="70">
        <f t="shared" ca="1" si="34"/>
        <v>-7.5974560321026216E-2</v>
      </c>
      <c r="L114" s="120">
        <f t="shared" ca="1" si="35"/>
        <v>-227923.68096307866</v>
      </c>
      <c r="M114" s="122">
        <f t="shared" ca="1" si="36"/>
        <v>2773339.9875542596</v>
      </c>
      <c r="N114" s="70">
        <f t="shared" ca="1" si="37"/>
        <v>-7.5553337481913369E-2</v>
      </c>
      <c r="O114" s="120">
        <f t="shared" ca="1" si="38"/>
        <v>-226660.01244574011</v>
      </c>
    </row>
    <row r="115" spans="1:15" ht="16.5" customHeight="1">
      <c r="A115" s="47">
        <v>18</v>
      </c>
      <c r="B115" s="130" t="str">
        <f>HYPERLINK("#'" &amp; TEXT(투자전략!$G$1+17, "[$-ko-KR]yyyy.mm.dd") &amp; "'!A67:O91", TEXT(투자전략!$G$1+17, "[$-ko-KR]yyyy.mm.dd"))</f>
        <v>2022.12.18</v>
      </c>
      <c r="C115" s="118">
        <f t="shared" ca="1" si="26"/>
        <v>3000000</v>
      </c>
      <c r="D115" s="122">
        <f t="shared" ca="1" si="27"/>
        <v>2999448.7902300796</v>
      </c>
      <c r="E115" s="70">
        <f t="shared" ca="1" si="28"/>
        <v>-1.8373658997352914E-4</v>
      </c>
      <c r="F115" s="120">
        <f t="shared" ca="1" si="29"/>
        <v>-551.20976992058809</v>
      </c>
      <c r="G115" s="122">
        <f t="shared" ca="1" si="30"/>
        <v>2999448.7902300796</v>
      </c>
      <c r="H115" s="70">
        <f t="shared" ca="1" si="31"/>
        <v>-1.8373658997352914E-4</v>
      </c>
      <c r="I115" s="120">
        <f t="shared" ca="1" si="32"/>
        <v>-551.20976992058809</v>
      </c>
      <c r="J115" s="122">
        <f t="shared" ca="1" si="33"/>
        <v>3015472.3308752361</v>
      </c>
      <c r="K115" s="70">
        <f t="shared" ca="1" si="34"/>
        <v>5.1574436250788501E-3</v>
      </c>
      <c r="L115" s="120">
        <f t="shared" ca="1" si="35"/>
        <v>15472.330875236554</v>
      </c>
      <c r="M115" s="122">
        <f t="shared" ca="1" si="36"/>
        <v>2996221.097939583</v>
      </c>
      <c r="N115" s="70">
        <f t="shared" ca="1" si="37"/>
        <v>-1.2596340201389976E-3</v>
      </c>
      <c r="O115" s="120">
        <f t="shared" ca="1" si="38"/>
        <v>-3778.9020604169905</v>
      </c>
    </row>
    <row r="116" spans="1:15" ht="16.5" customHeight="1">
      <c r="A116" s="47">
        <v>19</v>
      </c>
      <c r="B116" s="130" t="str">
        <f>HYPERLINK("#'" &amp; TEXT(투자전략!$G$1+18, "[$-ko-KR]yyyy.mm.dd") &amp; "'!A67:O91", TEXT(투자전략!$G$1+18, "[$-ko-KR]yyyy.mm.dd"))</f>
        <v>2022.12.19</v>
      </c>
      <c r="C116" s="118">
        <f t="shared" ca="1" si="26"/>
        <v>3000000</v>
      </c>
      <c r="D116" s="122">
        <f t="shared" ca="1" si="27"/>
        <v>2988321.6983257551</v>
      </c>
      <c r="E116" s="70">
        <f t="shared" ca="1" si="28"/>
        <v>-3.8927672247482835E-3</v>
      </c>
      <c r="F116" s="120">
        <f t="shared" ca="1" si="29"/>
        <v>-11678.301674244851</v>
      </c>
      <c r="G116" s="122">
        <f t="shared" ca="1" si="30"/>
        <v>2986404.7551602433</v>
      </c>
      <c r="H116" s="70">
        <f t="shared" ca="1" si="31"/>
        <v>-4.5317482799189165E-3</v>
      </c>
      <c r="I116" s="120">
        <f t="shared" ca="1" si="32"/>
        <v>-13595.244839756748</v>
      </c>
      <c r="J116" s="122">
        <f t="shared" ca="1" si="33"/>
        <v>2984946.5523663685</v>
      </c>
      <c r="K116" s="70">
        <f t="shared" ca="1" si="34"/>
        <v>-5.0178158778771817E-3</v>
      </c>
      <c r="L116" s="120">
        <f t="shared" ca="1" si="35"/>
        <v>-15053.447633631544</v>
      </c>
      <c r="M116" s="122">
        <f t="shared" ca="1" si="36"/>
        <v>2977964.9360372452</v>
      </c>
      <c r="N116" s="70">
        <f t="shared" ca="1" si="37"/>
        <v>-7.3450213209183129E-3</v>
      </c>
      <c r="O116" s="120">
        <f t="shared" ca="1" si="38"/>
        <v>-22035.063962754939</v>
      </c>
    </row>
    <row r="117" spans="1:15" ht="16.5" customHeight="1">
      <c r="A117" s="47">
        <v>20</v>
      </c>
      <c r="B117" s="130" t="str">
        <f>HYPERLINK("#'" &amp; TEXT(투자전략!$G$1+19, "[$-ko-KR]yyyy.mm.dd") &amp; "'!A67:O91", TEXT(투자전략!$G$1+19, "[$-ko-KR]yyyy.mm.dd"))</f>
        <v>2022.12.20</v>
      </c>
      <c r="C117" s="118">
        <f t="shared" ca="1" si="26"/>
        <v>3000000</v>
      </c>
      <c r="D117" s="122">
        <f t="shared" ca="1" si="27"/>
        <v>3017147.2660655868</v>
      </c>
      <c r="E117" s="70">
        <f t="shared" ca="1" si="28"/>
        <v>5.7157553551956137E-3</v>
      </c>
      <c r="F117" s="120">
        <f t="shared" ca="1" si="29"/>
        <v>17147.266065586842</v>
      </c>
      <c r="G117" s="122">
        <f t="shared" ca="1" si="30"/>
        <v>3017147.2660655868</v>
      </c>
      <c r="H117" s="70">
        <f t="shared" ca="1" si="31"/>
        <v>5.7157553551956137E-3</v>
      </c>
      <c r="I117" s="120">
        <f t="shared" ca="1" si="32"/>
        <v>17147.266065586842</v>
      </c>
      <c r="J117" s="122">
        <f t="shared" ca="1" si="33"/>
        <v>3018160.748112849</v>
      </c>
      <c r="K117" s="70">
        <f t="shared" ca="1" si="34"/>
        <v>6.0535827042829575E-3</v>
      </c>
      <c r="L117" s="120">
        <f t="shared" ca="1" si="35"/>
        <v>18160.748112848873</v>
      </c>
      <c r="M117" s="122">
        <f t="shared" ca="1" si="36"/>
        <v>2990045.5142363748</v>
      </c>
      <c r="N117" s="70">
        <f t="shared" ca="1" si="37"/>
        <v>-3.3181619212084177E-3</v>
      </c>
      <c r="O117" s="120">
        <f t="shared" ca="1" si="38"/>
        <v>-9954.4857636252545</v>
      </c>
    </row>
    <row r="118" spans="1:15" ht="16.5" customHeight="1" thickBot="1">
      <c r="A118" s="48">
        <v>21</v>
      </c>
      <c r="B118" s="131" t="str">
        <f>HYPERLINK("#'" &amp; TEXT(투자전략!$G$1+20, "[$-ko-KR]yyyy.mm.dd") &amp; "'!A67:O91", TEXT(투자전략!$G$1+20, "[$-ko-KR]yyyy.mm.dd"))</f>
        <v>2022.12.21</v>
      </c>
      <c r="C118" s="118">
        <f t="shared" ca="1" si="26"/>
        <v>3000000</v>
      </c>
      <c r="D118" s="122">
        <f t="shared" ca="1" si="27"/>
        <v>2988367.8068646654</v>
      </c>
      <c r="E118" s="70">
        <f t="shared" ca="1" si="28"/>
        <v>-3.8773977117781541E-3</v>
      </c>
      <c r="F118" s="120">
        <f t="shared" ca="1" si="29"/>
        <v>-11632.193135334463</v>
      </c>
      <c r="G118" s="122">
        <f t="shared" ca="1" si="30"/>
        <v>3059302.861108568</v>
      </c>
      <c r="H118" s="70">
        <f t="shared" ca="1" si="31"/>
        <v>1.9767620369522634E-2</v>
      </c>
      <c r="I118" s="120">
        <f t="shared" ca="1" si="32"/>
        <v>59302.8611085679</v>
      </c>
      <c r="J118" s="122">
        <f t="shared" ca="1" si="33"/>
        <v>3059302.861108568</v>
      </c>
      <c r="K118" s="70">
        <f t="shared" ca="1" si="34"/>
        <v>1.9767620369522634E-2</v>
      </c>
      <c r="L118" s="120">
        <f t="shared" ca="1" si="35"/>
        <v>59302.8611085679</v>
      </c>
      <c r="M118" s="122">
        <f t="shared" ca="1" si="36"/>
        <v>3011513.6579104853</v>
      </c>
      <c r="N118" s="70">
        <f t="shared" ca="1" si="37"/>
        <v>3.8378859701617739E-3</v>
      </c>
      <c r="O118" s="120">
        <f t="shared" ca="1" si="38"/>
        <v>11513.657910485323</v>
      </c>
    </row>
    <row r="119" spans="1:15" ht="16.5" customHeight="1">
      <c r="A119" s="46">
        <v>22</v>
      </c>
      <c r="B119" s="129" t="str">
        <f>HYPERLINK("#'" &amp; TEXT(투자전략!$G$1+21, "[$-ko-KR]yyyy.mm.dd") &amp; "'!A67:O91", TEXT(투자전략!$G$1+21, "[$-ko-KR]yyyy.mm.dd"))</f>
        <v>2022.12.22</v>
      </c>
      <c r="C119" s="117">
        <f t="shared" ca="1" si="26"/>
        <v>3000000</v>
      </c>
      <c r="D119" s="125">
        <f t="shared" ca="1" si="27"/>
        <v>2994473.2266118322</v>
      </c>
      <c r="E119" s="69">
        <f t="shared" ca="1" si="28"/>
        <v>-1.8422577960559652E-3</v>
      </c>
      <c r="F119" s="124">
        <f t="shared" ca="1" si="29"/>
        <v>-5526.7733881678932</v>
      </c>
      <c r="G119" s="125">
        <f t="shared" ca="1" si="30"/>
        <v>2948061.111054881</v>
      </c>
      <c r="H119" s="69">
        <f t="shared" ca="1" si="31"/>
        <v>-1.7312962981706245E-2</v>
      </c>
      <c r="I119" s="124">
        <f t="shared" ca="1" si="32"/>
        <v>-51938.888945118735</v>
      </c>
      <c r="J119" s="125">
        <f t="shared" ca="1" si="33"/>
        <v>2948061.111054881</v>
      </c>
      <c r="K119" s="69">
        <f t="shared" ca="1" si="34"/>
        <v>-1.7312962981706245E-2</v>
      </c>
      <c r="L119" s="124">
        <f t="shared" ca="1" si="35"/>
        <v>-51938.888945118735</v>
      </c>
      <c r="M119" s="125">
        <f t="shared" ca="1" si="36"/>
        <v>2930959.5529552195</v>
      </c>
      <c r="N119" s="69">
        <f t="shared" ca="1" si="37"/>
        <v>-2.3013482348260176E-2</v>
      </c>
      <c r="O119" s="124">
        <f t="shared" ca="1" si="38"/>
        <v>-69040.447044780536</v>
      </c>
    </row>
    <row r="120" spans="1:15" ht="16.5" customHeight="1">
      <c r="A120" s="47">
        <v>23</v>
      </c>
      <c r="B120" s="130" t="str">
        <f>HYPERLINK("#'" &amp; TEXT(투자전략!$G$1+22, "[$-ko-KR]yyyy.mm.dd") &amp; "'!A67:O91", TEXT(투자전략!$G$1+22, "[$-ko-KR]yyyy.mm.dd"))</f>
        <v>2022.12.23</v>
      </c>
      <c r="C120" s="118">
        <f t="shared" ca="1" si="26"/>
        <v>3000000</v>
      </c>
      <c r="D120" s="122">
        <f t="shared" ca="1" si="27"/>
        <v>3034417.178398815</v>
      </c>
      <c r="E120" s="70">
        <f t="shared" ca="1" si="28"/>
        <v>1.1472392799605043E-2</v>
      </c>
      <c r="F120" s="120">
        <f t="shared" ca="1" si="29"/>
        <v>34417.178398815129</v>
      </c>
      <c r="G120" s="122">
        <f t="shared" ca="1" si="30"/>
        <v>3051057.6276360694</v>
      </c>
      <c r="H120" s="70">
        <f t="shared" ca="1" si="31"/>
        <v>1.7019209212023257E-2</v>
      </c>
      <c r="I120" s="120">
        <f t="shared" ca="1" si="32"/>
        <v>51057.627636069774</v>
      </c>
      <c r="J120" s="122">
        <f t="shared" ca="1" si="33"/>
        <v>3051057.6276360694</v>
      </c>
      <c r="K120" s="70">
        <f t="shared" ca="1" si="34"/>
        <v>1.7019209212023257E-2</v>
      </c>
      <c r="L120" s="120">
        <f t="shared" ca="1" si="35"/>
        <v>51057.627636069774</v>
      </c>
      <c r="M120" s="122">
        <f t="shared" ca="1" si="36"/>
        <v>3050875.2627138211</v>
      </c>
      <c r="N120" s="70">
        <f t="shared" ca="1" si="37"/>
        <v>1.6958420904607037E-2</v>
      </c>
      <c r="O120" s="120">
        <f t="shared" ca="1" si="38"/>
        <v>50875.26271382111</v>
      </c>
    </row>
    <row r="121" spans="1:15" ht="16.5" customHeight="1">
      <c r="A121" s="47">
        <v>24</v>
      </c>
      <c r="B121" s="130" t="str">
        <f>HYPERLINK("#'" &amp; TEXT(투자전략!$G$1+23, "[$-ko-KR]yyyy.mm.dd") &amp; "'!A67:O91", TEXT(투자전략!$G$1+23, "[$-ko-KR]yyyy.mm.dd"))</f>
        <v>2022.12.24</v>
      </c>
      <c r="C121" s="118">
        <f t="shared" ca="1" si="26"/>
        <v>3000000</v>
      </c>
      <c r="D121" s="122">
        <f t="shared" ca="1" si="27"/>
        <v>3021387.0904872129</v>
      </c>
      <c r="E121" s="70">
        <f t="shared" ca="1" si="28"/>
        <v>7.1290301624043319E-3</v>
      </c>
      <c r="F121" s="120">
        <f t="shared" ca="1" si="29"/>
        <v>21387.090487212994</v>
      </c>
      <c r="G121" s="122">
        <f t="shared" ca="1" si="30"/>
        <v>3021387.0904872129</v>
      </c>
      <c r="H121" s="70">
        <f t="shared" ca="1" si="31"/>
        <v>7.1290301624043319E-3</v>
      </c>
      <c r="I121" s="120">
        <f t="shared" ca="1" si="32"/>
        <v>21387.090487212994</v>
      </c>
      <c r="J121" s="122">
        <f t="shared" ca="1" si="33"/>
        <v>3021387.0904872129</v>
      </c>
      <c r="K121" s="70">
        <f t="shared" ca="1" si="34"/>
        <v>7.1290301624043319E-3</v>
      </c>
      <c r="L121" s="120">
        <f t="shared" ca="1" si="35"/>
        <v>21387.090487212994</v>
      </c>
      <c r="M121" s="122">
        <f t="shared" ca="1" si="36"/>
        <v>3019415.2185130976</v>
      </c>
      <c r="N121" s="70">
        <f t="shared" ca="1" si="37"/>
        <v>6.4717395043659308E-3</v>
      </c>
      <c r="O121" s="120">
        <f t="shared" ca="1" si="38"/>
        <v>19415.218513097792</v>
      </c>
    </row>
    <row r="122" spans="1:15" ht="16.5" customHeight="1">
      <c r="A122" s="47">
        <v>25</v>
      </c>
      <c r="B122" s="130" t="str">
        <f>HYPERLINK("#'" &amp; TEXT(투자전략!$G$1+24, "[$-ko-KR]yyyy.mm.dd") &amp; "'!A67:O91", TEXT(투자전략!$G$1+24, "[$-ko-KR]yyyy.mm.dd"))</f>
        <v>2022.12.25</v>
      </c>
      <c r="C122" s="118">
        <f t="shared" ca="1" si="26"/>
        <v>3000000</v>
      </c>
      <c r="D122" s="122">
        <f t="shared" ca="1" si="27"/>
        <v>2955741.7490453697</v>
      </c>
      <c r="E122" s="70">
        <f t="shared" ca="1" si="28"/>
        <v>-1.4752750318210073E-2</v>
      </c>
      <c r="F122" s="120">
        <f t="shared" ca="1" si="29"/>
        <v>-44258.250954630232</v>
      </c>
      <c r="G122" s="122">
        <f t="shared" ca="1" si="30"/>
        <v>2941616.6659511444</v>
      </c>
      <c r="H122" s="70">
        <f t="shared" ca="1" si="31"/>
        <v>-1.9461111349618539E-2</v>
      </c>
      <c r="I122" s="120">
        <f t="shared" ca="1" si="32"/>
        <v>-58383.334048855606</v>
      </c>
      <c r="J122" s="122">
        <f t="shared" ca="1" si="33"/>
        <v>2937014.9511868493</v>
      </c>
      <c r="K122" s="70">
        <f t="shared" ca="1" si="34"/>
        <v>-2.0995016271050302E-2</v>
      </c>
      <c r="L122" s="120">
        <f t="shared" ca="1" si="35"/>
        <v>-62985.048813150912</v>
      </c>
      <c r="M122" s="122">
        <f t="shared" ca="1" si="36"/>
        <v>2919834.5674010557</v>
      </c>
      <c r="N122" s="70">
        <f t="shared" ca="1" si="37"/>
        <v>-2.6721810866314727E-2</v>
      </c>
      <c r="O122" s="120">
        <f t="shared" ca="1" si="38"/>
        <v>-80165.432598944171</v>
      </c>
    </row>
    <row r="123" spans="1:15" ht="16.5" customHeight="1">
      <c r="A123" s="47">
        <v>26</v>
      </c>
      <c r="B123" s="130" t="str">
        <f>HYPERLINK("#'" &amp; TEXT(투자전략!$G$1+25, "[$-ko-KR]yyyy.mm.dd") &amp; "'!A67:O91", TEXT(투자전략!$G$1+25, "[$-ko-KR]yyyy.mm.dd"))</f>
        <v>2022.12.26</v>
      </c>
      <c r="C123" s="118">
        <f t="shared" ca="1" si="26"/>
        <v>3000000</v>
      </c>
      <c r="D123" s="122">
        <f t="shared" ca="1" si="27"/>
        <v>2981106.8214506032</v>
      </c>
      <c r="E123" s="70">
        <f t="shared" ca="1" si="28"/>
        <v>-6.2977261831323236E-3</v>
      </c>
      <c r="F123" s="120">
        <f t="shared" ca="1" si="29"/>
        <v>-18893.178549396973</v>
      </c>
      <c r="G123" s="122">
        <f t="shared" ca="1" si="30"/>
        <v>3000000</v>
      </c>
      <c r="H123" s="70">
        <f t="shared" ca="1" si="31"/>
        <v>0</v>
      </c>
      <c r="I123" s="120">
        <f t="shared" ca="1" si="32"/>
        <v>0</v>
      </c>
      <c r="J123" s="122">
        <f t="shared" ca="1" si="33"/>
        <v>3000000</v>
      </c>
      <c r="K123" s="70">
        <f t="shared" ca="1" si="34"/>
        <v>0</v>
      </c>
      <c r="L123" s="120">
        <f t="shared" ca="1" si="35"/>
        <v>0</v>
      </c>
      <c r="M123" s="122">
        <f t="shared" ca="1" si="36"/>
        <v>3000000</v>
      </c>
      <c r="N123" s="70">
        <f t="shared" ca="1" si="37"/>
        <v>0</v>
      </c>
      <c r="O123" s="120">
        <f t="shared" ca="1" si="38"/>
        <v>0</v>
      </c>
    </row>
    <row r="124" spans="1:15" ht="16.5" customHeight="1">
      <c r="A124" s="47">
        <v>27</v>
      </c>
      <c r="B124" s="130" t="str">
        <f>HYPERLINK("#'" &amp; TEXT(투자전략!$G$1+26, "[$-ko-KR]yyyy.mm.dd") &amp; "'!A67:O91", TEXT(투자전략!$G$1+26, "[$-ko-KR]yyyy.mm.dd"))</f>
        <v>2022.12.27</v>
      </c>
      <c r="C124" s="118" t="str">
        <f t="shared" ca="1" si="26"/>
        <v/>
      </c>
      <c r="D124" s="122" t="str">
        <f t="shared" ca="1" si="27"/>
        <v/>
      </c>
      <c r="E124" s="70" t="str">
        <f t="shared" ca="1" si="28"/>
        <v/>
      </c>
      <c r="F124" s="120" t="str">
        <f t="shared" ca="1" si="29"/>
        <v/>
      </c>
      <c r="G124" s="122" t="str">
        <f t="shared" ca="1" si="30"/>
        <v/>
      </c>
      <c r="H124" s="70" t="str">
        <f t="shared" ca="1" si="31"/>
        <v/>
      </c>
      <c r="I124" s="120" t="str">
        <f t="shared" ca="1" si="32"/>
        <v/>
      </c>
      <c r="J124" s="122" t="str">
        <f t="shared" ca="1" si="33"/>
        <v/>
      </c>
      <c r="K124" s="70" t="str">
        <f t="shared" ca="1" si="34"/>
        <v/>
      </c>
      <c r="L124" s="120" t="str">
        <f t="shared" ca="1" si="35"/>
        <v/>
      </c>
      <c r="M124" s="122" t="str">
        <f t="shared" ca="1" si="36"/>
        <v/>
      </c>
      <c r="N124" s="70" t="str">
        <f t="shared" ca="1" si="37"/>
        <v/>
      </c>
      <c r="O124" s="120" t="str">
        <f t="shared" ca="1" si="38"/>
        <v/>
      </c>
    </row>
    <row r="125" spans="1:15" ht="16.5" customHeight="1" thickBot="1">
      <c r="A125" s="48">
        <v>28</v>
      </c>
      <c r="B125" s="131" t="str">
        <f>HYPERLINK("#'" &amp; TEXT(투자전략!$G$1+27, "[$-ko-KR]yyyy.mm.dd") &amp; "'!A67:O91", TEXT(투자전략!$G$1+27, "[$-ko-KR]yyyy.mm.dd"))</f>
        <v>2022.12.28</v>
      </c>
      <c r="C125" s="119" t="str">
        <f t="shared" ca="1" si="26"/>
        <v/>
      </c>
      <c r="D125" s="123" t="str">
        <f t="shared" ca="1" si="27"/>
        <v/>
      </c>
      <c r="E125" s="72" t="str">
        <f t="shared" ca="1" si="28"/>
        <v/>
      </c>
      <c r="F125" s="121" t="str">
        <f t="shared" ca="1" si="29"/>
        <v/>
      </c>
      <c r="G125" s="123" t="str">
        <f t="shared" ca="1" si="30"/>
        <v/>
      </c>
      <c r="H125" s="72" t="str">
        <f t="shared" ca="1" si="31"/>
        <v/>
      </c>
      <c r="I125" s="121" t="str">
        <f t="shared" ca="1" si="32"/>
        <v/>
      </c>
      <c r="J125" s="123" t="str">
        <f t="shared" ca="1" si="33"/>
        <v/>
      </c>
      <c r="K125" s="72" t="str">
        <f t="shared" ca="1" si="34"/>
        <v/>
      </c>
      <c r="L125" s="121" t="str">
        <f t="shared" ca="1" si="35"/>
        <v/>
      </c>
      <c r="M125" s="123" t="str">
        <f t="shared" ca="1" si="36"/>
        <v/>
      </c>
      <c r="N125" s="72" t="str">
        <f t="shared" ca="1" si="37"/>
        <v/>
      </c>
      <c r="O125" s="121" t="str">
        <f t="shared" ca="1" si="38"/>
        <v/>
      </c>
    </row>
    <row r="126" spans="1:15" ht="16.5" customHeight="1">
      <c r="A126" s="105">
        <v>29</v>
      </c>
      <c r="B126" s="129" t="str">
        <f>HYPERLINK("#'" &amp; TEXT(투자전략!$G$1+28, "[$-ko-KR]yyyy.mm.dd") &amp; "'!A67:O91", TEXT(투자전략!$G$1+28, "[$-ko-KR]yyyy.mm.dd"))</f>
        <v>2022.12.29</v>
      </c>
      <c r="C126" s="118" t="str">
        <f t="shared" ca="1" si="26"/>
        <v/>
      </c>
      <c r="D126" s="122" t="str">
        <f t="shared" ca="1" si="27"/>
        <v/>
      </c>
      <c r="E126" s="70" t="str">
        <f t="shared" ca="1" si="28"/>
        <v/>
      </c>
      <c r="F126" s="120" t="str">
        <f t="shared" ca="1" si="29"/>
        <v/>
      </c>
      <c r="G126" s="122" t="str">
        <f t="shared" ca="1" si="30"/>
        <v/>
      </c>
      <c r="H126" s="70" t="str">
        <f t="shared" ca="1" si="31"/>
        <v/>
      </c>
      <c r="I126" s="120" t="str">
        <f t="shared" ca="1" si="32"/>
        <v/>
      </c>
      <c r="J126" s="122" t="str">
        <f t="shared" ca="1" si="33"/>
        <v/>
      </c>
      <c r="K126" s="70" t="str">
        <f t="shared" ca="1" si="34"/>
        <v/>
      </c>
      <c r="L126" s="120" t="str">
        <f t="shared" ca="1" si="35"/>
        <v/>
      </c>
      <c r="M126" s="122" t="str">
        <f t="shared" ca="1" si="36"/>
        <v/>
      </c>
      <c r="N126" s="70" t="str">
        <f t="shared" ca="1" si="37"/>
        <v/>
      </c>
      <c r="O126" s="120" t="str">
        <f t="shared" ca="1" si="38"/>
        <v/>
      </c>
    </row>
    <row r="127" spans="1:15" ht="16.5" customHeight="1">
      <c r="A127" s="105">
        <v>30</v>
      </c>
      <c r="B127" s="130" t="str">
        <f>HYPERLINK("#'" &amp; TEXT(투자전략!$G$1+29, "[$-ko-KR]yyyy.mm.dd") &amp; "'!A67:O91", TEXT(투자전략!$G$1+29, "[$-ko-KR]yyyy.mm.dd"))</f>
        <v>2022.12.30</v>
      </c>
      <c r="C127" s="118" t="str">
        <f t="shared" ca="1" si="26"/>
        <v/>
      </c>
      <c r="D127" s="122" t="str">
        <f t="shared" ca="1" si="27"/>
        <v/>
      </c>
      <c r="E127" s="70" t="str">
        <f t="shared" ca="1" si="28"/>
        <v/>
      </c>
      <c r="F127" s="120" t="str">
        <f t="shared" ca="1" si="29"/>
        <v/>
      </c>
      <c r="G127" s="122" t="str">
        <f t="shared" ca="1" si="30"/>
        <v/>
      </c>
      <c r="H127" s="70" t="str">
        <f t="shared" ca="1" si="31"/>
        <v/>
      </c>
      <c r="I127" s="120" t="str">
        <f t="shared" ca="1" si="32"/>
        <v/>
      </c>
      <c r="J127" s="122" t="str">
        <f t="shared" ca="1" si="33"/>
        <v/>
      </c>
      <c r="K127" s="70" t="str">
        <f t="shared" ca="1" si="34"/>
        <v/>
      </c>
      <c r="L127" s="120" t="str">
        <f t="shared" ca="1" si="35"/>
        <v/>
      </c>
      <c r="M127" s="122" t="str">
        <f t="shared" ca="1" si="36"/>
        <v/>
      </c>
      <c r="N127" s="70" t="str">
        <f t="shared" ca="1" si="37"/>
        <v/>
      </c>
      <c r="O127" s="120" t="str">
        <f t="shared" ca="1" si="38"/>
        <v/>
      </c>
    </row>
    <row r="128" spans="1:15" ht="16.5" customHeight="1" thickBot="1">
      <c r="A128" s="105">
        <v>31</v>
      </c>
      <c r="B128" s="130" t="str">
        <f>HYPERLINK("#'" &amp; TEXT(투자전략!$G$1+30, "[$-ko-KR]yyyy.mm.dd") &amp; "'!A67:O91", TEXT(투자전략!$G$1+30, "[$-ko-KR]yyyy.mm.dd"))</f>
        <v>2022.12.31</v>
      </c>
      <c r="C128" s="119" t="str">
        <f t="shared" ca="1" si="26"/>
        <v/>
      </c>
      <c r="D128" s="123" t="str">
        <f t="shared" ca="1" si="27"/>
        <v/>
      </c>
      <c r="E128" s="72" t="str">
        <f t="shared" ca="1" si="28"/>
        <v/>
      </c>
      <c r="F128" s="121" t="str">
        <f t="shared" ca="1" si="29"/>
        <v/>
      </c>
      <c r="G128" s="123" t="str">
        <f t="shared" ca="1" si="30"/>
        <v/>
      </c>
      <c r="H128" s="72" t="str">
        <f t="shared" ca="1" si="31"/>
        <v/>
      </c>
      <c r="I128" s="121" t="str">
        <f t="shared" ca="1" si="32"/>
        <v/>
      </c>
      <c r="J128" s="123" t="str">
        <f t="shared" ca="1" si="33"/>
        <v/>
      </c>
      <c r="K128" s="72" t="str">
        <f t="shared" ca="1" si="34"/>
        <v/>
      </c>
      <c r="L128" s="121" t="str">
        <f t="shared" ca="1" si="35"/>
        <v/>
      </c>
      <c r="M128" s="123" t="str">
        <f t="shared" ca="1" si="36"/>
        <v/>
      </c>
      <c r="N128" s="72" t="str">
        <f t="shared" ca="1" si="37"/>
        <v/>
      </c>
      <c r="O128" s="121" t="str">
        <f t="shared" ca="1" si="38"/>
        <v/>
      </c>
    </row>
    <row r="129" spans="1:15" ht="16.5" customHeight="1" thickBot="1">
      <c r="A129" s="144" t="s">
        <v>273</v>
      </c>
      <c r="B129" s="146"/>
      <c r="C129" s="116" t="s">
        <v>268</v>
      </c>
      <c r="D129" s="9" t="s">
        <v>269</v>
      </c>
      <c r="E129" s="63" t="s">
        <v>270</v>
      </c>
      <c r="F129" s="64" t="s">
        <v>271</v>
      </c>
      <c r="G129" s="9" t="s">
        <v>269</v>
      </c>
      <c r="H129" s="63" t="s">
        <v>270</v>
      </c>
      <c r="I129" s="64" t="s">
        <v>271</v>
      </c>
      <c r="J129" s="9" t="s">
        <v>269</v>
      </c>
      <c r="K129" s="63" t="s">
        <v>270</v>
      </c>
      <c r="L129" s="64" t="s">
        <v>271</v>
      </c>
      <c r="M129" s="9" t="s">
        <v>269</v>
      </c>
      <c r="N129" s="63" t="s">
        <v>270</v>
      </c>
      <c r="O129" s="64" t="s">
        <v>271</v>
      </c>
    </row>
    <row r="130" spans="1:15" ht="16.5" customHeight="1" thickBot="1">
      <c r="A130" s="150"/>
      <c r="B130" s="152"/>
      <c r="C130" s="119">
        <f ca="1">SUM(C98:C128)</f>
        <v>78000000</v>
      </c>
      <c r="D130" s="123">
        <f ca="1">SUM(D98:D128)</f>
        <v>77454687.698463187</v>
      </c>
      <c r="E130" s="72">
        <f ca="1">IFERROR(F130 / (SUM($C98:$C128) / COUNT($C98:$C128)), 0)</f>
        <v>-0.18177076717894255</v>
      </c>
      <c r="F130" s="121">
        <f ca="1">SUM(F98:F128)</f>
        <v>-545312.3015368277</v>
      </c>
      <c r="G130" s="123">
        <f ca="1">SUM(G98:G128)</f>
        <v>77519768.567943394</v>
      </c>
      <c r="H130" s="72">
        <f ca="1">IFERROR(I130 / (SUM($C98:$C128) / COUNT($C98:$C128)), 0)</f>
        <v>-0.16007714401887396</v>
      </c>
      <c r="I130" s="121">
        <f ca="1">SUM(I98:I128)</f>
        <v>-480231.43205662188</v>
      </c>
      <c r="J130" s="123">
        <f ca="1">SUM(J98:J128)</f>
        <v>77560407.889547929</v>
      </c>
      <c r="K130" s="72">
        <f ca="1">IFERROR(L130 / (SUM($C98:$C128) / COUNT($C98:$C128)), 0)</f>
        <v>-0.14653070348402666</v>
      </c>
      <c r="L130" s="121">
        <f ca="1">SUM(L98:L128)</f>
        <v>-439592.11045207997</v>
      </c>
      <c r="M130" s="123">
        <f ca="1">SUM(M98:M128)</f>
        <v>77326179.018114775</v>
      </c>
      <c r="N130" s="72">
        <f ca="1">IFERROR(O130 / (SUM($C98:$C128) / COUNT($C98:$C128)), 0)</f>
        <v>-0.22460699396173994</v>
      </c>
      <c r="O130" s="121">
        <f ca="1">SUM(O98:O128)</f>
        <v>-673820.98188521981</v>
      </c>
    </row>
    <row r="132" spans="1:15" ht="16.5" customHeight="1" thickBot="1"/>
    <row r="133" spans="1:15" ht="16.5" customHeight="1" thickBot="1">
      <c r="A133" s="135" t="str">
        <f>TEXT(투자전략!$G$1, "[$-ko-KR]yyyy년 mm월 ") &amp; "전일대비 상승률 Top20 월말결산"</f>
        <v>2022년 12월 전일대비 상승률 Top20 월말결산</v>
      </c>
      <c r="B133" s="136"/>
      <c r="C133" s="136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36"/>
      <c r="O133" s="137"/>
    </row>
    <row r="134" spans="1:15" ht="16.5" customHeight="1" thickBot="1">
      <c r="A134" s="196" t="s">
        <v>274</v>
      </c>
      <c r="B134" s="150" t="s">
        <v>272</v>
      </c>
      <c r="C134" s="152"/>
      <c r="D134" s="150" t="s">
        <v>264</v>
      </c>
      <c r="E134" s="151"/>
      <c r="F134" s="152"/>
      <c r="G134" s="150" t="s">
        <v>265</v>
      </c>
      <c r="H134" s="151"/>
      <c r="I134" s="152"/>
      <c r="J134" s="150" t="s">
        <v>266</v>
      </c>
      <c r="K134" s="151"/>
      <c r="L134" s="152"/>
      <c r="M134" s="150" t="s">
        <v>267</v>
      </c>
      <c r="N134" s="151"/>
      <c r="O134" s="152"/>
    </row>
    <row r="135" spans="1:15" ht="16.5" customHeight="1" thickBot="1">
      <c r="A135" s="200"/>
      <c r="B135" s="46" t="s">
        <v>262</v>
      </c>
      <c r="C135" s="46" t="s">
        <v>42</v>
      </c>
      <c r="D135" s="105" t="s">
        <v>263</v>
      </c>
      <c r="E135" s="106" t="s">
        <v>40</v>
      </c>
      <c r="F135" s="81" t="s">
        <v>41</v>
      </c>
      <c r="G135" s="105" t="s">
        <v>263</v>
      </c>
      <c r="H135" s="106" t="s">
        <v>40</v>
      </c>
      <c r="I135" s="81" t="s">
        <v>41</v>
      </c>
      <c r="J135" s="105" t="s">
        <v>263</v>
      </c>
      <c r="K135" s="106" t="s">
        <v>40</v>
      </c>
      <c r="L135" s="81" t="s">
        <v>41</v>
      </c>
      <c r="M135" s="105" t="s">
        <v>263</v>
      </c>
      <c r="N135" s="106" t="s">
        <v>40</v>
      </c>
      <c r="O135" s="81" t="s">
        <v>41</v>
      </c>
    </row>
    <row r="136" spans="1:15" ht="16.5" customHeight="1">
      <c r="A136" s="46">
        <v>1</v>
      </c>
      <c r="B136" s="129" t="str">
        <f>HYPERLINK("#'" &amp; TEXT(투자전략!$G$1+0, "[$-ko-KR]yyyy.mm.dd") &amp; "'!A94:O118", TEXT(투자전략!$G$1+0, "[$-ko-KR]yyyy.mm.dd"))</f>
        <v>2022.12.01</v>
      </c>
      <c r="C136" s="117">
        <f ca="1">IFERROR(COUNTA(INDIRECT($B136&amp;"!A98:A117")) * INDIRECT($B136&amp;"!B118"), "")</f>
        <v>3000000</v>
      </c>
      <c r="D136" s="125">
        <f ca="1">IFERROR($C136 * (1 + E136), "")</f>
        <v>3003845.5965704052</v>
      </c>
      <c r="E136" s="69">
        <f ca="1">IFERROR(INDIRECT($B136&amp;"!E118"), "")</f>
        <v>1.2818655234684184E-3</v>
      </c>
      <c r="F136" s="124">
        <f ca="1">IFERROR(INDIRECT($B136&amp;"!F118"), "")</f>
        <v>3845.5965704052605</v>
      </c>
      <c r="G136" s="125">
        <f ca="1">IFERROR($C136 * (1 + H136), "")</f>
        <v>3003845.5965704052</v>
      </c>
      <c r="H136" s="69">
        <f ca="1">IFERROR(INDIRECT($B136&amp;"!H118"), "")</f>
        <v>1.2818655234684184E-3</v>
      </c>
      <c r="I136" s="124">
        <f ca="1">IFERROR(INDIRECT($B136&amp;"!I118"), "")</f>
        <v>3845.5965704052605</v>
      </c>
      <c r="J136" s="125">
        <f ca="1">IFERROR($C136 * (1 + K136), "")</f>
        <v>3003845.5965704052</v>
      </c>
      <c r="K136" s="69">
        <f ca="1">IFERROR(INDIRECT($B136&amp;"!K118"), "")</f>
        <v>1.2818655234684184E-3</v>
      </c>
      <c r="L136" s="124">
        <f ca="1">IFERROR(INDIRECT($B136&amp;"!L118"), "")</f>
        <v>3845.5965704052605</v>
      </c>
      <c r="M136" s="125">
        <f ca="1">IFERROR($C136 * (1 + N136), "")</f>
        <v>2947180.9543207218</v>
      </c>
      <c r="N136" s="69">
        <f ca="1">IFERROR(INDIRECT($B136&amp;"!N118"), "")</f>
        <v>-1.7606348559759392E-2</v>
      </c>
      <c r="O136" s="124">
        <f ca="1">IFERROR(INDIRECT($B136&amp;"!O118"), "")</f>
        <v>-52819.045679278162</v>
      </c>
    </row>
    <row r="137" spans="1:15" ht="16.5" customHeight="1">
      <c r="A137" s="47">
        <v>2</v>
      </c>
      <c r="B137" s="130" t="str">
        <f>HYPERLINK("#'" &amp; TEXT(투자전략!$G$1+1, "[$-ko-KR]yyyy.mm.dd") &amp; "'!A94:O118", TEXT(투자전략!$G$1+1, "[$-ko-KR]yyyy.mm.dd"))</f>
        <v>2022.12.02</v>
      </c>
      <c r="C137" s="118">
        <f t="shared" ref="C137:C166" ca="1" si="39">IFERROR(COUNTA(INDIRECT($B137&amp;"!A98:A117")) * INDIRECT($B137&amp;"!B118"), "")</f>
        <v>3000000</v>
      </c>
      <c r="D137" s="122">
        <f t="shared" ref="D137:D166" ca="1" si="40">IFERROR($C137 * (1 + E137), "")</f>
        <v>2968988.9772732514</v>
      </c>
      <c r="E137" s="70">
        <f t="shared" ref="E137:E166" ca="1" si="41">IFERROR(INDIRECT($B137&amp;"!E118"), "")</f>
        <v>-1.0337007575582849E-2</v>
      </c>
      <c r="F137" s="120">
        <f t="shared" ref="F137:F166" ca="1" si="42">IFERROR(INDIRECT($B137&amp;"!F118"), "")</f>
        <v>-31011.022726748542</v>
      </c>
      <c r="G137" s="122">
        <f t="shared" ref="G137:G166" ca="1" si="43">IFERROR($C137 * (1 + H137), "")</f>
        <v>3006382.9819573648</v>
      </c>
      <c r="H137" s="70">
        <f t="shared" ref="H137:H166" ca="1" si="44">IFERROR(INDIRECT($B137&amp;"!H118"), "")</f>
        <v>2.1276606524549659E-3</v>
      </c>
      <c r="I137" s="120">
        <f t="shared" ref="I137:I166" ca="1" si="45">IFERROR(INDIRECT($B137&amp;"!I118"), "")</f>
        <v>6382.9819573649002</v>
      </c>
      <c r="J137" s="122">
        <f t="shared" ref="J137:J166" ca="1" si="46">IFERROR($C137 * (1 + K137), "")</f>
        <v>3009754.1945649586</v>
      </c>
      <c r="K137" s="70">
        <f t="shared" ref="K137:K166" ca="1" si="47">IFERROR(INDIRECT($B137&amp;"!K118"), "")</f>
        <v>3.2513981883194516E-3</v>
      </c>
      <c r="L137" s="120">
        <f t="shared" ref="L137:L166" ca="1" si="48">IFERROR(INDIRECT($B137&amp;"!L118"), "")</f>
        <v>9754.1945649583558</v>
      </c>
      <c r="M137" s="122">
        <f t="shared" ref="M137:M166" ca="1" si="49">IFERROR($C137 * (1 + N137), "")</f>
        <v>2991243.9798903326</v>
      </c>
      <c r="N137" s="70">
        <f t="shared" ref="N137:N166" ca="1" si="50">IFERROR(INDIRECT($B137&amp;"!N118"), "")</f>
        <v>-2.9186733698891307E-3</v>
      </c>
      <c r="O137" s="120">
        <f t="shared" ref="O137:O166" ca="1" si="51">IFERROR(INDIRECT($B137&amp;"!O118"), "")</f>
        <v>-8756.0201096673845</v>
      </c>
    </row>
    <row r="138" spans="1:15" ht="16.5" customHeight="1">
      <c r="A138" s="47">
        <v>3</v>
      </c>
      <c r="B138" s="130" t="str">
        <f>HYPERLINK("#'" &amp; TEXT(투자전략!$G$1+2, "[$-ko-KR]yyyy.mm.dd") &amp; "'!A94:O118", TEXT(투자전략!$G$1+2, "[$-ko-KR]yyyy.mm.dd"))</f>
        <v>2022.12.03</v>
      </c>
      <c r="C138" s="118">
        <f t="shared" ca="1" si="39"/>
        <v>3000000</v>
      </c>
      <c r="D138" s="122">
        <f t="shared" ca="1" si="40"/>
        <v>3058056.7619484006</v>
      </c>
      <c r="E138" s="70">
        <f t="shared" ca="1" si="41"/>
        <v>1.9352253982800157E-2</v>
      </c>
      <c r="F138" s="120">
        <f t="shared" ca="1" si="42"/>
        <v>58056.761948400454</v>
      </c>
      <c r="G138" s="122">
        <f t="shared" ca="1" si="43"/>
        <v>3078527.1386781787</v>
      </c>
      <c r="H138" s="70">
        <f t="shared" ca="1" si="44"/>
        <v>2.6175712892726345E-2</v>
      </c>
      <c r="I138" s="120">
        <f t="shared" ca="1" si="45"/>
        <v>78527.138678179035</v>
      </c>
      <c r="J138" s="122">
        <f t="shared" ca="1" si="46"/>
        <v>3055310.8239506464</v>
      </c>
      <c r="K138" s="70">
        <f t="shared" ca="1" si="47"/>
        <v>1.8436941316882158E-2</v>
      </c>
      <c r="L138" s="120">
        <f t="shared" ca="1" si="48"/>
        <v>55310.823950646467</v>
      </c>
      <c r="M138" s="122">
        <f t="shared" ca="1" si="49"/>
        <v>3054666.5865108012</v>
      </c>
      <c r="N138" s="70">
        <f t="shared" ca="1" si="50"/>
        <v>1.8222195503600429E-2</v>
      </c>
      <c r="O138" s="120">
        <f t="shared" ca="1" si="51"/>
        <v>54666.586510801288</v>
      </c>
    </row>
    <row r="139" spans="1:15" ht="16.5" customHeight="1">
      <c r="A139" s="47">
        <v>4</v>
      </c>
      <c r="B139" s="130" t="str">
        <f>HYPERLINK("#'" &amp; TEXT(투자전략!$G$1+3, "[$-ko-KR]yyyy.mm.dd") &amp; "'!A94:O118", TEXT(투자전략!$G$1+3, "[$-ko-KR]yyyy.mm.dd"))</f>
        <v>2022.12.04</v>
      </c>
      <c r="C139" s="118">
        <f t="shared" ca="1" si="39"/>
        <v>3000000</v>
      </c>
      <c r="D139" s="122">
        <f t="shared" ca="1" si="40"/>
        <v>3010105.7843083898</v>
      </c>
      <c r="E139" s="70">
        <f t="shared" ca="1" si="41"/>
        <v>3.3685947694631637E-3</v>
      </c>
      <c r="F139" s="120">
        <f t="shared" ca="1" si="42"/>
        <v>10105.784308389491</v>
      </c>
      <c r="G139" s="122">
        <f t="shared" ca="1" si="43"/>
        <v>3010085.8518734146</v>
      </c>
      <c r="H139" s="70">
        <f t="shared" ca="1" si="44"/>
        <v>3.3619506244716066E-3</v>
      </c>
      <c r="I139" s="120">
        <f t="shared" ca="1" si="45"/>
        <v>10085.851873414831</v>
      </c>
      <c r="J139" s="122">
        <f t="shared" ca="1" si="46"/>
        <v>3006363.3882374885</v>
      </c>
      <c r="K139" s="70">
        <f t="shared" ca="1" si="47"/>
        <v>2.1211294124961555E-3</v>
      </c>
      <c r="L139" s="120">
        <f t="shared" ca="1" si="48"/>
        <v>6363.3882374884743</v>
      </c>
      <c r="M139" s="122">
        <f t="shared" ca="1" si="49"/>
        <v>2999197.4479806428</v>
      </c>
      <c r="N139" s="70">
        <f t="shared" ca="1" si="50"/>
        <v>-2.6751733978574305E-4</v>
      </c>
      <c r="O139" s="120">
        <f t="shared" ca="1" si="51"/>
        <v>-802.55201935721743</v>
      </c>
    </row>
    <row r="140" spans="1:15" ht="16.5" customHeight="1">
      <c r="A140" s="47">
        <v>5</v>
      </c>
      <c r="B140" s="130" t="str">
        <f>HYPERLINK("#'" &amp; TEXT(투자전략!$G$1+4, "[$-ko-KR]yyyy.mm.dd") &amp; "'!A94:O118", TEXT(투자전략!$G$1+4, "[$-ko-KR]yyyy.mm.dd"))</f>
        <v>2022.12.05</v>
      </c>
      <c r="C140" s="118">
        <f t="shared" ca="1" si="39"/>
        <v>3000000</v>
      </c>
      <c r="D140" s="122">
        <f t="shared" ca="1" si="40"/>
        <v>3021730.6373402649</v>
      </c>
      <c r="E140" s="70">
        <f t="shared" ca="1" si="41"/>
        <v>7.2435457800882671E-3</v>
      </c>
      <c r="F140" s="120">
        <f t="shared" ca="1" si="42"/>
        <v>21730.637340264802</v>
      </c>
      <c r="G140" s="122">
        <f t="shared" ca="1" si="43"/>
        <v>3002342.1487967912</v>
      </c>
      <c r="H140" s="70">
        <f t="shared" ca="1" si="44"/>
        <v>7.8071626559700607E-4</v>
      </c>
      <c r="I140" s="120">
        <f t="shared" ca="1" si="45"/>
        <v>2342.1487967910161</v>
      </c>
      <c r="J140" s="122">
        <f t="shared" ca="1" si="46"/>
        <v>3019651.5497069787</v>
      </c>
      <c r="K140" s="70">
        <f t="shared" ca="1" si="47"/>
        <v>6.5505165689930421E-3</v>
      </c>
      <c r="L140" s="120">
        <f t="shared" ca="1" si="48"/>
        <v>19651.549706979124</v>
      </c>
      <c r="M140" s="122">
        <f t="shared" ca="1" si="49"/>
        <v>2983805.1182876159</v>
      </c>
      <c r="N140" s="70">
        <f t="shared" ca="1" si="50"/>
        <v>-5.3982939041280183E-3</v>
      </c>
      <c r="O140" s="120">
        <f t="shared" ca="1" si="51"/>
        <v>-16194.88171238406</v>
      </c>
    </row>
    <row r="141" spans="1:15" ht="16.5" customHeight="1">
      <c r="A141" s="47">
        <v>6</v>
      </c>
      <c r="B141" s="130" t="str">
        <f>HYPERLINK("#'" &amp; TEXT(투자전략!$G$1+5, "[$-ko-KR]yyyy.mm.dd") &amp; "'!A94:O118", TEXT(투자전략!$G$1+5, "[$-ko-KR]yyyy.mm.dd"))</f>
        <v>2022.12.06</v>
      </c>
      <c r="C141" s="118">
        <f t="shared" ca="1" si="39"/>
        <v>3000000</v>
      </c>
      <c r="D141" s="122">
        <f t="shared" ca="1" si="40"/>
        <v>2991834.2115132259</v>
      </c>
      <c r="E141" s="70">
        <f t="shared" ca="1" si="41"/>
        <v>-2.7219294955913914E-3</v>
      </c>
      <c r="F141" s="120">
        <f t="shared" ca="1" si="42"/>
        <v>-8165.7884867741741</v>
      </c>
      <c r="G141" s="122">
        <f t="shared" ca="1" si="43"/>
        <v>2983743.7683392758</v>
      </c>
      <c r="H141" s="70">
        <f t="shared" ca="1" si="44"/>
        <v>-5.4187438869081599E-3</v>
      </c>
      <c r="I141" s="120">
        <f t="shared" ca="1" si="45"/>
        <v>-16256.231660724477</v>
      </c>
      <c r="J141" s="122">
        <f t="shared" ca="1" si="46"/>
        <v>3002763.1342727928</v>
      </c>
      <c r="K141" s="70">
        <f t="shared" ca="1" si="47"/>
        <v>9.2104475759753417E-4</v>
      </c>
      <c r="L141" s="120">
        <f t="shared" ca="1" si="48"/>
        <v>2763.1342727925994</v>
      </c>
      <c r="M141" s="122">
        <f t="shared" ca="1" si="49"/>
        <v>3003668.8846668024</v>
      </c>
      <c r="N141" s="70">
        <f t="shared" ca="1" si="50"/>
        <v>1.2229615556008007E-3</v>
      </c>
      <c r="O141" s="120">
        <f t="shared" ca="1" si="51"/>
        <v>3668.8846668024048</v>
      </c>
    </row>
    <row r="142" spans="1:15" ht="16.5" customHeight="1" thickBot="1">
      <c r="A142" s="48">
        <v>7</v>
      </c>
      <c r="B142" s="131" t="str">
        <f>HYPERLINK("#'" &amp; TEXT(투자전략!$G$1+6, "[$-ko-KR]yyyy.mm.dd") &amp; "'!A94:O118", TEXT(투자전략!$G$1+6, "[$-ko-KR]yyyy.mm.dd"))</f>
        <v>2022.12.07</v>
      </c>
      <c r="C142" s="118">
        <f t="shared" ca="1" si="39"/>
        <v>3000000</v>
      </c>
      <c r="D142" s="122">
        <f t="shared" ca="1" si="40"/>
        <v>2945162.421174631</v>
      </c>
      <c r="E142" s="70">
        <f t="shared" ca="1" si="41"/>
        <v>-1.8279192941789708E-2</v>
      </c>
      <c r="F142" s="120">
        <f t="shared" ca="1" si="42"/>
        <v>-54837.578825369128</v>
      </c>
      <c r="G142" s="122">
        <f t="shared" ca="1" si="43"/>
        <v>2860049.6379455919</v>
      </c>
      <c r="H142" s="70">
        <f t="shared" ca="1" si="44"/>
        <v>-4.6650120684802697E-2</v>
      </c>
      <c r="I142" s="120">
        <f t="shared" ca="1" si="45"/>
        <v>-139950.36205440812</v>
      </c>
      <c r="J142" s="122">
        <f t="shared" ca="1" si="46"/>
        <v>2886096.0227639326</v>
      </c>
      <c r="K142" s="70">
        <f t="shared" ca="1" si="47"/>
        <v>-3.7967992412022533E-2</v>
      </c>
      <c r="L142" s="120">
        <f t="shared" ca="1" si="48"/>
        <v>-113903.97723606761</v>
      </c>
      <c r="M142" s="122">
        <f t="shared" ca="1" si="49"/>
        <v>2865194.1478980272</v>
      </c>
      <c r="N142" s="70">
        <f t="shared" ca="1" si="50"/>
        <v>-4.4935284033990885E-2</v>
      </c>
      <c r="O142" s="120">
        <f t="shared" ca="1" si="51"/>
        <v>-134805.8521019727</v>
      </c>
    </row>
    <row r="143" spans="1:15" ht="16.5" customHeight="1">
      <c r="A143" s="46">
        <v>8</v>
      </c>
      <c r="B143" s="129" t="str">
        <f>HYPERLINK("#'" &amp; TEXT(투자전략!$G$1+7, "[$-ko-KR]yyyy.mm.dd") &amp; "'!A94:O118", TEXT(투자전략!$G$1+7, "[$-ko-KR]yyyy.mm.dd"))</f>
        <v>2022.12.08</v>
      </c>
      <c r="C143" s="117">
        <f t="shared" ca="1" si="39"/>
        <v>3000000</v>
      </c>
      <c r="D143" s="125">
        <f t="shared" ca="1" si="40"/>
        <v>2979338.7832035264</v>
      </c>
      <c r="E143" s="69">
        <f t="shared" ca="1" si="41"/>
        <v>-6.887072265491098E-3</v>
      </c>
      <c r="F143" s="124">
        <f t="shared" ca="1" si="42"/>
        <v>-20661.21679647328</v>
      </c>
      <c r="G143" s="125">
        <f t="shared" ca="1" si="43"/>
        <v>3018719.3239291389</v>
      </c>
      <c r="H143" s="69">
        <f t="shared" ca="1" si="44"/>
        <v>6.2397746430462395E-3</v>
      </c>
      <c r="I143" s="124">
        <f t="shared" ca="1" si="45"/>
        <v>18719.323929138718</v>
      </c>
      <c r="J143" s="125">
        <f t="shared" ca="1" si="46"/>
        <v>2987596.1782738124</v>
      </c>
      <c r="K143" s="69">
        <f t="shared" ca="1" si="47"/>
        <v>-4.1346072420624849E-3</v>
      </c>
      <c r="L143" s="124">
        <f t="shared" ca="1" si="48"/>
        <v>-12403.821726187458</v>
      </c>
      <c r="M143" s="125">
        <f t="shared" ca="1" si="49"/>
        <v>3005824.9152451982</v>
      </c>
      <c r="N143" s="69">
        <f t="shared" ca="1" si="50"/>
        <v>1.9416384150660645E-3</v>
      </c>
      <c r="O143" s="124">
        <f t="shared" ca="1" si="51"/>
        <v>5824.9152451981918</v>
      </c>
    </row>
    <row r="144" spans="1:15" ht="16.5" customHeight="1">
      <c r="A144" s="47">
        <v>9</v>
      </c>
      <c r="B144" s="130" t="str">
        <f>HYPERLINK("#'" &amp; TEXT(투자전략!$G$1+8, "[$-ko-KR]yyyy.mm.dd") &amp; "'!A94:O118", TEXT(투자전략!$G$1+8, "[$-ko-KR]yyyy.mm.dd"))</f>
        <v>2022.12.09</v>
      </c>
      <c r="C144" s="118">
        <f t="shared" ca="1" si="39"/>
        <v>3000000</v>
      </c>
      <c r="D144" s="122">
        <f t="shared" ca="1" si="40"/>
        <v>3054688.852630659</v>
      </c>
      <c r="E144" s="70">
        <f t="shared" ca="1" si="41"/>
        <v>1.8229617543552991E-2</v>
      </c>
      <c r="F144" s="120">
        <f t="shared" ca="1" si="42"/>
        <v>54688.85263065897</v>
      </c>
      <c r="G144" s="122">
        <f t="shared" ca="1" si="43"/>
        <v>3096254.7428819789</v>
      </c>
      <c r="H144" s="70">
        <f t="shared" ca="1" si="44"/>
        <v>3.2084914293993003E-2</v>
      </c>
      <c r="I144" s="120">
        <f t="shared" ca="1" si="45"/>
        <v>96254.742881979037</v>
      </c>
      <c r="J144" s="122">
        <f t="shared" ca="1" si="46"/>
        <v>3096254.7428819789</v>
      </c>
      <c r="K144" s="70">
        <f t="shared" ca="1" si="47"/>
        <v>3.2084914293993003E-2</v>
      </c>
      <c r="L144" s="120">
        <f t="shared" ca="1" si="48"/>
        <v>96254.742881979037</v>
      </c>
      <c r="M144" s="122">
        <f t="shared" ca="1" si="49"/>
        <v>3077343.2161622941</v>
      </c>
      <c r="N144" s="70">
        <f t="shared" ca="1" si="50"/>
        <v>2.5781072054098179E-2</v>
      </c>
      <c r="O144" s="120">
        <f t="shared" ca="1" si="51"/>
        <v>77343.216162294542</v>
      </c>
    </row>
    <row r="145" spans="1:15" ht="16.5" customHeight="1">
      <c r="A145" s="47">
        <v>10</v>
      </c>
      <c r="B145" s="130" t="str">
        <f>HYPERLINK("#'" &amp; TEXT(투자전략!$G$1+9, "[$-ko-KR]yyyy.mm.dd") &amp; "'!A94:O118", TEXT(투자전략!$G$1+9, "[$-ko-KR]yyyy.mm.dd"))</f>
        <v>2022.12.10</v>
      </c>
      <c r="C145" s="118">
        <f t="shared" ca="1" si="39"/>
        <v>3000000</v>
      </c>
      <c r="D145" s="122">
        <f t="shared" ca="1" si="40"/>
        <v>3021381.687166939</v>
      </c>
      <c r="E145" s="70">
        <f t="shared" ca="1" si="41"/>
        <v>7.1272290556463804E-3</v>
      </c>
      <c r="F145" s="120">
        <f t="shared" ca="1" si="42"/>
        <v>21381.68716693914</v>
      </c>
      <c r="G145" s="122">
        <f t="shared" ca="1" si="43"/>
        <v>2988802.5853744512</v>
      </c>
      <c r="H145" s="70">
        <f t="shared" ca="1" si="44"/>
        <v>-3.7324715418496656E-3</v>
      </c>
      <c r="I145" s="120">
        <f t="shared" ca="1" si="45"/>
        <v>-11197.414625548994</v>
      </c>
      <c r="J145" s="122">
        <f t="shared" ca="1" si="46"/>
        <v>2988802.5853744512</v>
      </c>
      <c r="K145" s="70">
        <f t="shared" ca="1" si="47"/>
        <v>-3.7324715418496656E-3</v>
      </c>
      <c r="L145" s="120">
        <f t="shared" ca="1" si="48"/>
        <v>-11197.414625548994</v>
      </c>
      <c r="M145" s="122">
        <f t="shared" ca="1" si="49"/>
        <v>2982564.4596573799</v>
      </c>
      <c r="N145" s="70">
        <f t="shared" ca="1" si="50"/>
        <v>-5.8118467808734404E-3</v>
      </c>
      <c r="O145" s="120">
        <f t="shared" ca="1" si="51"/>
        <v>-17435.540342620327</v>
      </c>
    </row>
    <row r="146" spans="1:15" ht="16.5" customHeight="1">
      <c r="A146" s="47">
        <v>11</v>
      </c>
      <c r="B146" s="130" t="str">
        <f>HYPERLINK("#'" &amp; TEXT(투자전략!$G$1+10, "[$-ko-KR]yyyy.mm.dd") &amp; "'!A94:O118", TEXT(투자전략!$G$1+10, "[$-ko-KR]yyyy.mm.dd"))</f>
        <v>2022.12.11</v>
      </c>
      <c r="C146" s="118">
        <f t="shared" ca="1" si="39"/>
        <v>3000000</v>
      </c>
      <c r="D146" s="122">
        <f t="shared" ca="1" si="40"/>
        <v>2985997.7416341831</v>
      </c>
      <c r="E146" s="70">
        <f t="shared" ca="1" si="41"/>
        <v>-4.6674194552722903E-3</v>
      </c>
      <c r="F146" s="120">
        <f t="shared" ca="1" si="42"/>
        <v>-14002.258365816868</v>
      </c>
      <c r="G146" s="122">
        <f t="shared" ca="1" si="43"/>
        <v>2983389.1352955373</v>
      </c>
      <c r="H146" s="70">
        <f t="shared" ca="1" si="44"/>
        <v>-5.536954901487587E-3</v>
      </c>
      <c r="I146" s="120">
        <f t="shared" ca="1" si="45"/>
        <v>-16610.864704462761</v>
      </c>
      <c r="J146" s="122">
        <f t="shared" ca="1" si="46"/>
        <v>2983389.1352955373</v>
      </c>
      <c r="K146" s="70">
        <f t="shared" ca="1" si="47"/>
        <v>-5.536954901487587E-3</v>
      </c>
      <c r="L146" s="120">
        <f t="shared" ca="1" si="48"/>
        <v>-16610.864704462761</v>
      </c>
      <c r="M146" s="122">
        <f t="shared" ca="1" si="49"/>
        <v>2969063.5586665659</v>
      </c>
      <c r="N146" s="70">
        <f t="shared" ca="1" si="50"/>
        <v>-1.031214711114466E-2</v>
      </c>
      <c r="O146" s="120">
        <f t="shared" ca="1" si="51"/>
        <v>-30936.441333433977</v>
      </c>
    </row>
    <row r="147" spans="1:15" ht="16.5" customHeight="1">
      <c r="A147" s="47">
        <v>12</v>
      </c>
      <c r="B147" s="130" t="str">
        <f>HYPERLINK("#'" &amp; TEXT(투자전략!$G$1+11, "[$-ko-KR]yyyy.mm.dd") &amp; "'!A94:O118", TEXT(투자전략!$G$1+11, "[$-ko-KR]yyyy.mm.dd"))</f>
        <v>2022.12.12</v>
      </c>
      <c r="C147" s="118">
        <f t="shared" ca="1" si="39"/>
        <v>3000000</v>
      </c>
      <c r="D147" s="122">
        <f t="shared" ca="1" si="40"/>
        <v>2881922.8441260876</v>
      </c>
      <c r="E147" s="70">
        <f t="shared" ca="1" si="41"/>
        <v>-3.9359051957970841E-2</v>
      </c>
      <c r="F147" s="120">
        <f t="shared" ca="1" si="42"/>
        <v>-118077.15587391253</v>
      </c>
      <c r="G147" s="122">
        <f t="shared" ca="1" si="43"/>
        <v>2881922.8441260876</v>
      </c>
      <c r="H147" s="70">
        <f t="shared" ca="1" si="44"/>
        <v>-3.9359051957970841E-2</v>
      </c>
      <c r="I147" s="120">
        <f t="shared" ca="1" si="45"/>
        <v>-118077.15587391253</v>
      </c>
      <c r="J147" s="122">
        <f t="shared" ca="1" si="46"/>
        <v>2881922.8441260876</v>
      </c>
      <c r="K147" s="70">
        <f t="shared" ca="1" si="47"/>
        <v>-3.9359051957970841E-2</v>
      </c>
      <c r="L147" s="120">
        <f t="shared" ca="1" si="48"/>
        <v>-118077.15587391253</v>
      </c>
      <c r="M147" s="122">
        <f t="shared" ca="1" si="49"/>
        <v>2878707.6259347242</v>
      </c>
      <c r="N147" s="70">
        <f t="shared" ca="1" si="50"/>
        <v>-4.043079135509188E-2</v>
      </c>
      <c r="O147" s="120">
        <f t="shared" ca="1" si="51"/>
        <v>-121292.37406527561</v>
      </c>
    </row>
    <row r="148" spans="1:15" ht="16.5" customHeight="1">
      <c r="A148" s="47">
        <v>13</v>
      </c>
      <c r="B148" s="130" t="str">
        <f>HYPERLINK("#'" &amp; TEXT(투자전략!$G$1+12, "[$-ko-KR]yyyy.mm.dd") &amp; "'!A94:O118", TEXT(투자전략!$G$1+12, "[$-ko-KR]yyyy.mm.dd"))</f>
        <v>2022.12.13</v>
      </c>
      <c r="C148" s="118">
        <f t="shared" ca="1" si="39"/>
        <v>3000000</v>
      </c>
      <c r="D148" s="122">
        <f t="shared" ca="1" si="40"/>
        <v>2970744.3179986849</v>
      </c>
      <c r="E148" s="70">
        <f t="shared" ca="1" si="41"/>
        <v>-9.7518940004382819E-3</v>
      </c>
      <c r="F148" s="120">
        <f t="shared" ca="1" si="42"/>
        <v>-29255.682001314854</v>
      </c>
      <c r="G148" s="122">
        <f t="shared" ca="1" si="43"/>
        <v>3094945.786689424</v>
      </c>
      <c r="H148" s="70">
        <f t="shared" ca="1" si="44"/>
        <v>3.164859556314132E-2</v>
      </c>
      <c r="I148" s="120">
        <f t="shared" ca="1" si="45"/>
        <v>94945.786689423956</v>
      </c>
      <c r="J148" s="122">
        <f t="shared" ca="1" si="46"/>
        <v>3094945.786689424</v>
      </c>
      <c r="K148" s="70">
        <f t="shared" ca="1" si="47"/>
        <v>3.164859556314132E-2</v>
      </c>
      <c r="L148" s="120">
        <f t="shared" ca="1" si="48"/>
        <v>94945.786689423956</v>
      </c>
      <c r="M148" s="122">
        <f t="shared" ca="1" si="49"/>
        <v>3071193.7812081794</v>
      </c>
      <c r="N148" s="70">
        <f t="shared" ca="1" si="50"/>
        <v>2.3731260402726485E-2</v>
      </c>
      <c r="O148" s="120">
        <f t="shared" ca="1" si="51"/>
        <v>71193.781208179455</v>
      </c>
    </row>
    <row r="149" spans="1:15" ht="16.5" customHeight="1" thickBot="1">
      <c r="A149" s="48">
        <v>14</v>
      </c>
      <c r="B149" s="131" t="str">
        <f>HYPERLINK("#'" &amp; TEXT(투자전략!$G$1+13, "[$-ko-KR]yyyy.mm.dd") &amp; "'!A94:O118", TEXT(투자전략!$G$1+13, "[$-ko-KR]yyyy.mm.dd"))</f>
        <v>2022.12.14</v>
      </c>
      <c r="C149" s="119">
        <f t="shared" ca="1" si="39"/>
        <v>3000000</v>
      </c>
      <c r="D149" s="123">
        <f t="shared" ca="1" si="40"/>
        <v>2975172.9555416144</v>
      </c>
      <c r="E149" s="72">
        <f t="shared" ca="1" si="41"/>
        <v>-8.2756814861284032E-3</v>
      </c>
      <c r="F149" s="121">
        <f t="shared" ca="1" si="42"/>
        <v>-24827.044458385211</v>
      </c>
      <c r="G149" s="123">
        <f t="shared" ca="1" si="43"/>
        <v>2980276.226668681</v>
      </c>
      <c r="H149" s="72">
        <f t="shared" ca="1" si="44"/>
        <v>-6.5745911104396291E-3</v>
      </c>
      <c r="I149" s="121">
        <f t="shared" ca="1" si="45"/>
        <v>-19723.77333131888</v>
      </c>
      <c r="J149" s="123">
        <f t="shared" ca="1" si="46"/>
        <v>2980276.226668681</v>
      </c>
      <c r="K149" s="72">
        <f t="shared" ca="1" si="47"/>
        <v>-6.5745911104396291E-3</v>
      </c>
      <c r="L149" s="121">
        <f t="shared" ca="1" si="48"/>
        <v>-19723.77333131888</v>
      </c>
      <c r="M149" s="123">
        <f t="shared" ca="1" si="49"/>
        <v>2999463.3438656544</v>
      </c>
      <c r="N149" s="72">
        <f t="shared" ca="1" si="50"/>
        <v>-1.7888537811515254E-4</v>
      </c>
      <c r="O149" s="121">
        <f t="shared" ca="1" si="51"/>
        <v>-536.65613434546162</v>
      </c>
    </row>
    <row r="150" spans="1:15" ht="16.5" customHeight="1">
      <c r="A150" s="46">
        <v>15</v>
      </c>
      <c r="B150" s="129" t="str">
        <f>HYPERLINK("#'" &amp; TEXT(투자전략!$G$1+14, "[$-ko-KR]yyyy.mm.dd") &amp; "'!A94:O118", TEXT(투자전략!$G$1+14, "[$-ko-KR]yyyy.mm.dd"))</f>
        <v>2022.12.15</v>
      </c>
      <c r="C150" s="118">
        <f t="shared" ca="1" si="39"/>
        <v>3000000</v>
      </c>
      <c r="D150" s="122">
        <f t="shared" ca="1" si="40"/>
        <v>2926058.0208714418</v>
      </c>
      <c r="E150" s="70">
        <f t="shared" ca="1" si="41"/>
        <v>-2.4647326376186048E-2</v>
      </c>
      <c r="F150" s="120">
        <f t="shared" ca="1" si="42"/>
        <v>-73941.97912855813</v>
      </c>
      <c r="G150" s="122">
        <f t="shared" ca="1" si="43"/>
        <v>2926058.0208714418</v>
      </c>
      <c r="H150" s="70">
        <f t="shared" ca="1" si="44"/>
        <v>-2.4647326376186048E-2</v>
      </c>
      <c r="I150" s="120">
        <f t="shared" ca="1" si="45"/>
        <v>-73941.97912855813</v>
      </c>
      <c r="J150" s="122">
        <f t="shared" ca="1" si="46"/>
        <v>2926058.0208714418</v>
      </c>
      <c r="K150" s="70">
        <f t="shared" ca="1" si="47"/>
        <v>-2.4647326376186048E-2</v>
      </c>
      <c r="L150" s="120">
        <f t="shared" ca="1" si="48"/>
        <v>-73941.97912855813</v>
      </c>
      <c r="M150" s="122">
        <f t="shared" ca="1" si="49"/>
        <v>2926058.0208714418</v>
      </c>
      <c r="N150" s="70">
        <f t="shared" ca="1" si="50"/>
        <v>-2.4647326376186048E-2</v>
      </c>
      <c r="O150" s="120">
        <f t="shared" ca="1" si="51"/>
        <v>-73941.97912855813</v>
      </c>
    </row>
    <row r="151" spans="1:15" ht="16.5" customHeight="1">
      <c r="A151" s="47">
        <v>16</v>
      </c>
      <c r="B151" s="130" t="str">
        <f>HYPERLINK("#'" &amp; TEXT(투자전략!$G$1+15, "[$-ko-KR]yyyy.mm.dd") &amp; "'!A94:O118", TEXT(투자전략!$G$1+15, "[$-ko-KR]yyyy.mm.dd"))</f>
        <v>2022.12.16</v>
      </c>
      <c r="C151" s="118">
        <f t="shared" ca="1" si="39"/>
        <v>3000000</v>
      </c>
      <c r="D151" s="122">
        <f t="shared" ca="1" si="40"/>
        <v>2982557.5509462082</v>
      </c>
      <c r="E151" s="70">
        <f t="shared" ca="1" si="41"/>
        <v>-5.8141496845972116E-3</v>
      </c>
      <c r="F151" s="120">
        <f t="shared" ca="1" si="42"/>
        <v>-17442.449053791632</v>
      </c>
      <c r="G151" s="122">
        <f t="shared" ca="1" si="43"/>
        <v>2908516.2296037725</v>
      </c>
      <c r="H151" s="70">
        <f t="shared" ca="1" si="44"/>
        <v>-3.0494590132075831E-2</v>
      </c>
      <c r="I151" s="120">
        <f t="shared" ca="1" si="45"/>
        <v>-91483.770396227497</v>
      </c>
      <c r="J151" s="122">
        <f t="shared" ca="1" si="46"/>
        <v>2908988.0501506082</v>
      </c>
      <c r="K151" s="70">
        <f t="shared" ca="1" si="47"/>
        <v>-3.0337316616463883E-2</v>
      </c>
      <c r="L151" s="120">
        <f t="shared" ca="1" si="48"/>
        <v>-91011.949849391647</v>
      </c>
      <c r="M151" s="122">
        <f t="shared" ca="1" si="49"/>
        <v>2900368.4085391765</v>
      </c>
      <c r="N151" s="70">
        <f t="shared" ca="1" si="50"/>
        <v>-3.3210530486941107E-2</v>
      </c>
      <c r="O151" s="120">
        <f t="shared" ca="1" si="51"/>
        <v>-99631.591460823329</v>
      </c>
    </row>
    <row r="152" spans="1:15" ht="16.5" customHeight="1">
      <c r="A152" s="47">
        <v>17</v>
      </c>
      <c r="B152" s="130" t="str">
        <f>HYPERLINK("#'" &amp; TEXT(투자전략!$G$1+16, "[$-ko-KR]yyyy.mm.dd") &amp; "'!A94:O118", TEXT(투자전략!$G$1+16, "[$-ko-KR]yyyy.mm.dd"))</f>
        <v>2022.12.17</v>
      </c>
      <c r="C152" s="118">
        <f t="shared" ca="1" si="39"/>
        <v>3000000</v>
      </c>
      <c r="D152" s="122">
        <f t="shared" ca="1" si="40"/>
        <v>2792995.1912244521</v>
      </c>
      <c r="E152" s="70">
        <f t="shared" ca="1" si="41"/>
        <v>-6.9001602925182634E-2</v>
      </c>
      <c r="F152" s="120">
        <f t="shared" ca="1" si="42"/>
        <v>-207004.80877554789</v>
      </c>
      <c r="G152" s="122">
        <f t="shared" ca="1" si="43"/>
        <v>2792995.1912244521</v>
      </c>
      <c r="H152" s="70">
        <f t="shared" ca="1" si="44"/>
        <v>-6.9001602925182634E-2</v>
      </c>
      <c r="I152" s="120">
        <f t="shared" ca="1" si="45"/>
        <v>-207004.80877554789</v>
      </c>
      <c r="J152" s="122">
        <f t="shared" ca="1" si="46"/>
        <v>2792995.1912244521</v>
      </c>
      <c r="K152" s="70">
        <f t="shared" ca="1" si="47"/>
        <v>-6.9001602925182634E-2</v>
      </c>
      <c r="L152" s="120">
        <f t="shared" ca="1" si="48"/>
        <v>-207004.80877554789</v>
      </c>
      <c r="M152" s="122">
        <f t="shared" ca="1" si="49"/>
        <v>2789865.5893250955</v>
      </c>
      <c r="N152" s="70">
        <f t="shared" ca="1" si="50"/>
        <v>-7.0044803558301533E-2</v>
      </c>
      <c r="O152" s="120">
        <f t="shared" ca="1" si="51"/>
        <v>-210134.41067490456</v>
      </c>
    </row>
    <row r="153" spans="1:15" ht="16.5" customHeight="1">
      <c r="A153" s="47">
        <v>18</v>
      </c>
      <c r="B153" s="130" t="str">
        <f>HYPERLINK("#'" &amp; TEXT(투자전략!$G$1+17, "[$-ko-KR]yyyy.mm.dd") &amp; "'!A94:O118", TEXT(투자전략!$G$1+17, "[$-ko-KR]yyyy.mm.dd"))</f>
        <v>2022.12.18</v>
      </c>
      <c r="C153" s="118">
        <f t="shared" ca="1" si="39"/>
        <v>3000000</v>
      </c>
      <c r="D153" s="122">
        <f t="shared" ca="1" si="40"/>
        <v>2987628.6872643474</v>
      </c>
      <c r="E153" s="70">
        <f t="shared" ca="1" si="41"/>
        <v>-4.1237709118841798E-3</v>
      </c>
      <c r="F153" s="120">
        <f t="shared" ca="1" si="42"/>
        <v>-12371.312735652542</v>
      </c>
      <c r="G153" s="122">
        <f t="shared" ca="1" si="43"/>
        <v>2987628.6872643474</v>
      </c>
      <c r="H153" s="70">
        <f t="shared" ca="1" si="44"/>
        <v>-4.1237709118841798E-3</v>
      </c>
      <c r="I153" s="120">
        <f t="shared" ca="1" si="45"/>
        <v>-12371.312735652542</v>
      </c>
      <c r="J153" s="122">
        <f t="shared" ca="1" si="46"/>
        <v>2993151.8314072499</v>
      </c>
      <c r="K153" s="70">
        <f t="shared" ca="1" si="47"/>
        <v>-2.2827228642500305E-3</v>
      </c>
      <c r="L153" s="120">
        <f t="shared" ca="1" si="48"/>
        <v>-6848.1685927500894</v>
      </c>
      <c r="M153" s="122">
        <f t="shared" ca="1" si="49"/>
        <v>2977180.3478706256</v>
      </c>
      <c r="N153" s="70">
        <f t="shared" ca="1" si="50"/>
        <v>-7.6065507097916041E-3</v>
      </c>
      <c r="O153" s="120">
        <f t="shared" ca="1" si="51"/>
        <v>-22819.652129374805</v>
      </c>
    </row>
    <row r="154" spans="1:15" ht="16.5" customHeight="1">
      <c r="A154" s="47">
        <v>19</v>
      </c>
      <c r="B154" s="130" t="str">
        <f>HYPERLINK("#'" &amp; TEXT(투자전략!$G$1+18, "[$-ko-KR]yyyy.mm.dd") &amp; "'!A94:O118", TEXT(투자전략!$G$1+18, "[$-ko-KR]yyyy.mm.dd"))</f>
        <v>2022.12.19</v>
      </c>
      <c r="C154" s="118">
        <f t="shared" ca="1" si="39"/>
        <v>3000000</v>
      </c>
      <c r="D154" s="122">
        <f t="shared" ca="1" si="40"/>
        <v>2963091.4202449587</v>
      </c>
      <c r="E154" s="70">
        <f t="shared" ca="1" si="41"/>
        <v>-1.2302859918347158E-2</v>
      </c>
      <c r="F154" s="120">
        <f t="shared" ca="1" si="42"/>
        <v>-36908.579755041494</v>
      </c>
      <c r="G154" s="122">
        <f t="shared" ca="1" si="43"/>
        <v>2958965.9406495644</v>
      </c>
      <c r="H154" s="70">
        <f t="shared" ca="1" si="44"/>
        <v>-1.3678019783478509E-2</v>
      </c>
      <c r="I154" s="120">
        <f t="shared" ca="1" si="45"/>
        <v>-41034.059350435535</v>
      </c>
      <c r="J154" s="122">
        <f t="shared" ca="1" si="46"/>
        <v>2966359.1644946975</v>
      </c>
      <c r="K154" s="70">
        <f t="shared" ca="1" si="47"/>
        <v>-1.1213611835100886E-2</v>
      </c>
      <c r="L154" s="120">
        <f t="shared" ca="1" si="48"/>
        <v>-33640.835505302661</v>
      </c>
      <c r="M154" s="122">
        <f t="shared" ca="1" si="49"/>
        <v>2948783.694743298</v>
      </c>
      <c r="N154" s="70">
        <f t="shared" ca="1" si="50"/>
        <v>-1.7072101752234076E-2</v>
      </c>
      <c r="O154" s="120">
        <f t="shared" ca="1" si="51"/>
        <v>-51216.305256702231</v>
      </c>
    </row>
    <row r="155" spans="1:15" ht="16.5" customHeight="1">
      <c r="A155" s="47">
        <v>20</v>
      </c>
      <c r="B155" s="130" t="str">
        <f>HYPERLINK("#'" &amp; TEXT(투자전략!$G$1+19, "[$-ko-KR]yyyy.mm.dd") &amp; "'!A94:O118", TEXT(투자전략!$G$1+19, "[$-ko-KR]yyyy.mm.dd"))</f>
        <v>2022.12.20</v>
      </c>
      <c r="C155" s="118">
        <f t="shared" ca="1" si="39"/>
        <v>3000000</v>
      </c>
      <c r="D155" s="122">
        <f t="shared" ca="1" si="40"/>
        <v>2955505.0946397781</v>
      </c>
      <c r="E155" s="70">
        <f t="shared" ca="1" si="41"/>
        <v>-1.4831635120074061E-2</v>
      </c>
      <c r="F155" s="120">
        <f t="shared" ca="1" si="42"/>
        <v>-44494.905360222161</v>
      </c>
      <c r="G155" s="122">
        <f t="shared" ca="1" si="43"/>
        <v>2955505.0946397781</v>
      </c>
      <c r="H155" s="70">
        <f t="shared" ca="1" si="44"/>
        <v>-1.4831635120074061E-2</v>
      </c>
      <c r="I155" s="120">
        <f t="shared" ca="1" si="45"/>
        <v>-44494.905360222161</v>
      </c>
      <c r="J155" s="122">
        <f t="shared" ca="1" si="46"/>
        <v>2959238.9883350092</v>
      </c>
      <c r="K155" s="70">
        <f t="shared" ca="1" si="47"/>
        <v>-1.3587003888330357E-2</v>
      </c>
      <c r="L155" s="120">
        <f t="shared" ca="1" si="48"/>
        <v>-40761.011664991063</v>
      </c>
      <c r="M155" s="122">
        <f t="shared" ca="1" si="49"/>
        <v>2937857.9527325397</v>
      </c>
      <c r="N155" s="70">
        <f t="shared" ca="1" si="50"/>
        <v>-2.07140157558201E-2</v>
      </c>
      <c r="O155" s="120">
        <f t="shared" ca="1" si="51"/>
        <v>-62142.047267460308</v>
      </c>
    </row>
    <row r="156" spans="1:15" ht="16.5" customHeight="1" thickBot="1">
      <c r="A156" s="48">
        <v>21</v>
      </c>
      <c r="B156" s="131" t="str">
        <f>HYPERLINK("#'" &amp; TEXT(투자전략!$G$1+20, "[$-ko-KR]yyyy.mm.dd") &amp; "'!A94:O118", TEXT(투자전략!$G$1+20, "[$-ko-KR]yyyy.mm.dd"))</f>
        <v>2022.12.21</v>
      </c>
      <c r="C156" s="118">
        <f t="shared" ca="1" si="39"/>
        <v>3000000</v>
      </c>
      <c r="D156" s="122">
        <f t="shared" ca="1" si="40"/>
        <v>2984746.1112369732</v>
      </c>
      <c r="E156" s="70">
        <f t="shared" ca="1" si="41"/>
        <v>-5.0846295876756488E-3</v>
      </c>
      <c r="F156" s="120">
        <f t="shared" ca="1" si="42"/>
        <v>-15253.888763026942</v>
      </c>
      <c r="G156" s="122">
        <f t="shared" ca="1" si="43"/>
        <v>3018339.7440068107</v>
      </c>
      <c r="H156" s="70">
        <f t="shared" ca="1" si="44"/>
        <v>6.1132480022703878E-3</v>
      </c>
      <c r="I156" s="120">
        <f t="shared" ca="1" si="45"/>
        <v>18339.744006811161</v>
      </c>
      <c r="J156" s="122">
        <f t="shared" ca="1" si="46"/>
        <v>3018339.7440068107</v>
      </c>
      <c r="K156" s="70">
        <f t="shared" ca="1" si="47"/>
        <v>6.1132480022703878E-3</v>
      </c>
      <c r="L156" s="120">
        <f t="shared" ca="1" si="48"/>
        <v>18339.744006811161</v>
      </c>
      <c r="M156" s="122">
        <f t="shared" ca="1" si="49"/>
        <v>2982880.5751877874</v>
      </c>
      <c r="N156" s="70">
        <f t="shared" ca="1" si="50"/>
        <v>-5.706474937404186E-3</v>
      </c>
      <c r="O156" s="120">
        <f t="shared" ca="1" si="51"/>
        <v>-17119.424812212557</v>
      </c>
    </row>
    <row r="157" spans="1:15" ht="16.5" customHeight="1">
      <c r="A157" s="46">
        <v>22</v>
      </c>
      <c r="B157" s="129" t="str">
        <f>HYPERLINK("#'" &amp; TEXT(투자전략!$G$1+21, "[$-ko-KR]yyyy.mm.dd") &amp; "'!A94:O118", TEXT(투자전략!$G$1+21, "[$-ko-KR]yyyy.mm.dd"))</f>
        <v>2022.12.22</v>
      </c>
      <c r="C157" s="117">
        <f t="shared" ca="1" si="39"/>
        <v>3000000</v>
      </c>
      <c r="D157" s="125">
        <f t="shared" ca="1" si="40"/>
        <v>2984106.9716186658</v>
      </c>
      <c r="E157" s="69">
        <f t="shared" ca="1" si="41"/>
        <v>-5.2976761271114189E-3</v>
      </c>
      <c r="F157" s="124">
        <f t="shared" ca="1" si="42"/>
        <v>-15893.028381334254</v>
      </c>
      <c r="G157" s="125">
        <f t="shared" ca="1" si="43"/>
        <v>2939071.9439084763</v>
      </c>
      <c r="H157" s="69">
        <f t="shared" ca="1" si="44"/>
        <v>-2.0309352030507832E-2</v>
      </c>
      <c r="I157" s="124">
        <f t="shared" ca="1" si="45"/>
        <v>-60928.056091523518</v>
      </c>
      <c r="J157" s="125">
        <f t="shared" ca="1" si="46"/>
        <v>2939071.9439084763</v>
      </c>
      <c r="K157" s="69">
        <f t="shared" ca="1" si="47"/>
        <v>-2.0309352030507832E-2</v>
      </c>
      <c r="L157" s="124">
        <f t="shared" ca="1" si="48"/>
        <v>-60928.056091523518</v>
      </c>
      <c r="M157" s="125">
        <f t="shared" ca="1" si="49"/>
        <v>2905699.3497521766</v>
      </c>
      <c r="N157" s="69">
        <f t="shared" ca="1" si="50"/>
        <v>-3.1433550082607821E-2</v>
      </c>
      <c r="O157" s="124">
        <f t="shared" ca="1" si="51"/>
        <v>-94300.650247823462</v>
      </c>
    </row>
    <row r="158" spans="1:15" ht="16.5" customHeight="1">
      <c r="A158" s="47">
        <v>23</v>
      </c>
      <c r="B158" s="130" t="str">
        <f>HYPERLINK("#'" &amp; TEXT(투자전략!$G$1+22, "[$-ko-KR]yyyy.mm.dd") &amp; "'!A94:O118", TEXT(투자전략!$G$1+22, "[$-ko-KR]yyyy.mm.dd"))</f>
        <v>2022.12.23</v>
      </c>
      <c r="C158" s="118">
        <f t="shared" ca="1" si="39"/>
        <v>3000000</v>
      </c>
      <c r="D158" s="122">
        <f t="shared" ca="1" si="40"/>
        <v>3032212.4428170337</v>
      </c>
      <c r="E158" s="70">
        <f t="shared" ca="1" si="41"/>
        <v>1.0737480939011227E-2</v>
      </c>
      <c r="F158" s="120">
        <f t="shared" ca="1" si="42"/>
        <v>32212.442817033676</v>
      </c>
      <c r="G158" s="122">
        <f t="shared" ca="1" si="43"/>
        <v>3044167.5759293553</v>
      </c>
      <c r="H158" s="70">
        <f t="shared" ca="1" si="44"/>
        <v>1.4722525309785146E-2</v>
      </c>
      <c r="I158" s="120">
        <f t="shared" ca="1" si="45"/>
        <v>44167.575929355437</v>
      </c>
      <c r="J158" s="122">
        <f t="shared" ca="1" si="46"/>
        <v>3044167.5759293553</v>
      </c>
      <c r="K158" s="70">
        <f t="shared" ca="1" si="47"/>
        <v>1.4722525309785146E-2</v>
      </c>
      <c r="L158" s="120">
        <f t="shared" ca="1" si="48"/>
        <v>44167.575929355437</v>
      </c>
      <c r="M158" s="122">
        <f t="shared" ca="1" si="49"/>
        <v>3066528.4041178818</v>
      </c>
      <c r="N158" s="70">
        <f t="shared" ca="1" si="50"/>
        <v>2.2176134705960551E-2</v>
      </c>
      <c r="O158" s="120">
        <f t="shared" ca="1" si="51"/>
        <v>66528.404117881641</v>
      </c>
    </row>
    <row r="159" spans="1:15" ht="16.5" customHeight="1">
      <c r="A159" s="47">
        <v>24</v>
      </c>
      <c r="B159" s="130" t="str">
        <f>HYPERLINK("#'" &amp; TEXT(투자전략!$G$1+23, "[$-ko-KR]yyyy.mm.dd") &amp; "'!A94:O118", TEXT(투자전략!$G$1+23, "[$-ko-KR]yyyy.mm.dd"))</f>
        <v>2022.12.24</v>
      </c>
      <c r="C159" s="118">
        <f t="shared" ca="1" si="39"/>
        <v>3000000</v>
      </c>
      <c r="D159" s="122">
        <f t="shared" ca="1" si="40"/>
        <v>2994335.0115476358</v>
      </c>
      <c r="E159" s="70">
        <f t="shared" ca="1" si="41"/>
        <v>-1.8883294841214328E-3</v>
      </c>
      <c r="F159" s="120">
        <f t="shared" ca="1" si="42"/>
        <v>-5664.9884523642977</v>
      </c>
      <c r="G159" s="122">
        <f t="shared" ca="1" si="43"/>
        <v>2994335.0115476358</v>
      </c>
      <c r="H159" s="70">
        <f t="shared" ca="1" si="44"/>
        <v>-1.8883294841214328E-3</v>
      </c>
      <c r="I159" s="120">
        <f t="shared" ca="1" si="45"/>
        <v>-5664.9884523642977</v>
      </c>
      <c r="J159" s="122">
        <f t="shared" ca="1" si="46"/>
        <v>2994335.0115476358</v>
      </c>
      <c r="K159" s="70">
        <f t="shared" ca="1" si="47"/>
        <v>-1.8883294841214328E-3</v>
      </c>
      <c r="L159" s="120">
        <f t="shared" ca="1" si="48"/>
        <v>-5664.9884523642977</v>
      </c>
      <c r="M159" s="122">
        <f t="shared" ca="1" si="49"/>
        <v>2992240.6955572837</v>
      </c>
      <c r="N159" s="70">
        <f t="shared" ca="1" si="50"/>
        <v>-2.5864348142388117E-3</v>
      </c>
      <c r="O159" s="120">
        <f t="shared" ca="1" si="51"/>
        <v>-7759.3044427164305</v>
      </c>
    </row>
    <row r="160" spans="1:15" ht="16.5" customHeight="1">
      <c r="A160" s="47">
        <v>25</v>
      </c>
      <c r="B160" s="130" t="str">
        <f>HYPERLINK("#'" &amp; TEXT(투자전략!$G$1+24, "[$-ko-KR]yyyy.mm.dd") &amp; "'!A94:O118", TEXT(투자전략!$G$1+24, "[$-ko-KR]yyyy.mm.dd"))</f>
        <v>2022.12.25</v>
      </c>
      <c r="C160" s="118">
        <f t="shared" ca="1" si="39"/>
        <v>3000000</v>
      </c>
      <c r="D160" s="122">
        <f t="shared" ca="1" si="40"/>
        <v>2949121.8806467084</v>
      </c>
      <c r="E160" s="70">
        <f t="shared" ca="1" si="41"/>
        <v>-1.6959373117763805E-2</v>
      </c>
      <c r="F160" s="120">
        <f t="shared" ca="1" si="42"/>
        <v>-50878.119353291426</v>
      </c>
      <c r="G160" s="122">
        <f t="shared" ca="1" si="43"/>
        <v>2938871.579146381</v>
      </c>
      <c r="H160" s="70">
        <f t="shared" ca="1" si="44"/>
        <v>-2.037614028453966E-2</v>
      </c>
      <c r="I160" s="120">
        <f t="shared" ca="1" si="45"/>
        <v>-61128.420853618991</v>
      </c>
      <c r="J160" s="122">
        <f t="shared" ca="1" si="46"/>
        <v>2941920.708939719</v>
      </c>
      <c r="K160" s="70">
        <f t="shared" ca="1" si="47"/>
        <v>-1.9359763686760338E-2</v>
      </c>
      <c r="L160" s="120">
        <f t="shared" ca="1" si="48"/>
        <v>-58079.291060281015</v>
      </c>
      <c r="M160" s="122">
        <f t="shared" ca="1" si="49"/>
        <v>2926670.6545911208</v>
      </c>
      <c r="N160" s="70">
        <f t="shared" ca="1" si="50"/>
        <v>-2.4443115136292999E-2</v>
      </c>
      <c r="O160" s="120">
        <f t="shared" ca="1" si="51"/>
        <v>-73329.345408878973</v>
      </c>
    </row>
    <row r="161" spans="1:15" ht="16.5" customHeight="1">
      <c r="A161" s="47">
        <v>26</v>
      </c>
      <c r="B161" s="130" t="str">
        <f>HYPERLINK("#'" &amp; TEXT(투자전략!$G$1+25, "[$-ko-KR]yyyy.mm.dd") &amp; "'!A94:O118", TEXT(투자전략!$G$1+25, "[$-ko-KR]yyyy.mm.dd"))</f>
        <v>2022.12.26</v>
      </c>
      <c r="C161" s="118">
        <f t="shared" ca="1" si="39"/>
        <v>3000000</v>
      </c>
      <c r="D161" s="122">
        <f t="shared" ca="1" si="40"/>
        <v>2995547.0004046177</v>
      </c>
      <c r="E161" s="70">
        <f t="shared" ca="1" si="41"/>
        <v>-1.4843331984608055E-3</v>
      </c>
      <c r="F161" s="120">
        <f t="shared" ca="1" si="42"/>
        <v>-4452.9995953824136</v>
      </c>
      <c r="G161" s="122">
        <f t="shared" ca="1" si="43"/>
        <v>3000000</v>
      </c>
      <c r="H161" s="70">
        <f t="shared" ca="1" si="44"/>
        <v>0</v>
      </c>
      <c r="I161" s="120">
        <f t="shared" ca="1" si="45"/>
        <v>0</v>
      </c>
      <c r="J161" s="122">
        <f t="shared" ca="1" si="46"/>
        <v>3000000</v>
      </c>
      <c r="K161" s="70">
        <f t="shared" ca="1" si="47"/>
        <v>0</v>
      </c>
      <c r="L161" s="120">
        <f t="shared" ca="1" si="48"/>
        <v>0</v>
      </c>
      <c r="M161" s="122">
        <f t="shared" ca="1" si="49"/>
        <v>3000000</v>
      </c>
      <c r="N161" s="70">
        <f t="shared" ca="1" si="50"/>
        <v>0</v>
      </c>
      <c r="O161" s="120">
        <f t="shared" ca="1" si="51"/>
        <v>0</v>
      </c>
    </row>
    <row r="162" spans="1:15" ht="16.5" customHeight="1">
      <c r="A162" s="47">
        <v>27</v>
      </c>
      <c r="B162" s="130" t="str">
        <f>HYPERLINK("#'" &amp; TEXT(투자전략!$G$1+26, "[$-ko-KR]yyyy.mm.dd") &amp; "'!A94:O118", TEXT(투자전략!$G$1+26, "[$-ko-KR]yyyy.mm.dd"))</f>
        <v>2022.12.27</v>
      </c>
      <c r="C162" s="118" t="str">
        <f t="shared" ca="1" si="39"/>
        <v/>
      </c>
      <c r="D162" s="122" t="str">
        <f t="shared" ca="1" si="40"/>
        <v/>
      </c>
      <c r="E162" s="70" t="str">
        <f t="shared" ca="1" si="41"/>
        <v/>
      </c>
      <c r="F162" s="120" t="str">
        <f t="shared" ca="1" si="42"/>
        <v/>
      </c>
      <c r="G162" s="122" t="str">
        <f t="shared" ca="1" si="43"/>
        <v/>
      </c>
      <c r="H162" s="70" t="str">
        <f t="shared" ca="1" si="44"/>
        <v/>
      </c>
      <c r="I162" s="120" t="str">
        <f t="shared" ca="1" si="45"/>
        <v/>
      </c>
      <c r="J162" s="122" t="str">
        <f t="shared" ca="1" si="46"/>
        <v/>
      </c>
      <c r="K162" s="70" t="str">
        <f t="shared" ca="1" si="47"/>
        <v/>
      </c>
      <c r="L162" s="120" t="str">
        <f t="shared" ca="1" si="48"/>
        <v/>
      </c>
      <c r="M162" s="122" t="str">
        <f t="shared" ca="1" si="49"/>
        <v/>
      </c>
      <c r="N162" s="70" t="str">
        <f t="shared" ca="1" si="50"/>
        <v/>
      </c>
      <c r="O162" s="120" t="str">
        <f t="shared" ca="1" si="51"/>
        <v/>
      </c>
    </row>
    <row r="163" spans="1:15" ht="16.5" customHeight="1" thickBot="1">
      <c r="A163" s="48">
        <v>28</v>
      </c>
      <c r="B163" s="131" t="str">
        <f>HYPERLINK("#'" &amp; TEXT(투자전략!$G$1+27, "[$-ko-KR]yyyy.mm.dd") &amp; "'!A94:O118", TEXT(투자전략!$G$1+27, "[$-ko-KR]yyyy.mm.dd"))</f>
        <v>2022.12.28</v>
      </c>
      <c r="C163" s="119" t="str">
        <f t="shared" ca="1" si="39"/>
        <v/>
      </c>
      <c r="D163" s="123" t="str">
        <f t="shared" ca="1" si="40"/>
        <v/>
      </c>
      <c r="E163" s="72" t="str">
        <f t="shared" ca="1" si="41"/>
        <v/>
      </c>
      <c r="F163" s="121" t="str">
        <f t="shared" ca="1" si="42"/>
        <v/>
      </c>
      <c r="G163" s="123" t="str">
        <f t="shared" ca="1" si="43"/>
        <v/>
      </c>
      <c r="H163" s="72" t="str">
        <f t="shared" ca="1" si="44"/>
        <v/>
      </c>
      <c r="I163" s="121" t="str">
        <f t="shared" ca="1" si="45"/>
        <v/>
      </c>
      <c r="J163" s="123" t="str">
        <f t="shared" ca="1" si="46"/>
        <v/>
      </c>
      <c r="K163" s="72" t="str">
        <f t="shared" ca="1" si="47"/>
        <v/>
      </c>
      <c r="L163" s="121" t="str">
        <f t="shared" ca="1" si="48"/>
        <v/>
      </c>
      <c r="M163" s="123" t="str">
        <f t="shared" ca="1" si="49"/>
        <v/>
      </c>
      <c r="N163" s="72" t="str">
        <f t="shared" ca="1" si="50"/>
        <v/>
      </c>
      <c r="O163" s="121" t="str">
        <f t="shared" ca="1" si="51"/>
        <v/>
      </c>
    </row>
    <row r="164" spans="1:15" ht="16.5" customHeight="1">
      <c r="A164" s="105">
        <v>29</v>
      </c>
      <c r="B164" s="129" t="str">
        <f>HYPERLINK("#'" &amp; TEXT(투자전략!$G$1+28, "[$-ko-KR]yyyy.mm.dd") &amp; "'!A94:O118", TEXT(투자전략!$G$1+28, "[$-ko-KR]yyyy.mm.dd"))</f>
        <v>2022.12.29</v>
      </c>
      <c r="C164" s="118" t="str">
        <f t="shared" ca="1" si="39"/>
        <v/>
      </c>
      <c r="D164" s="122" t="str">
        <f t="shared" ca="1" si="40"/>
        <v/>
      </c>
      <c r="E164" s="70" t="str">
        <f t="shared" ca="1" si="41"/>
        <v/>
      </c>
      <c r="F164" s="120" t="str">
        <f t="shared" ca="1" si="42"/>
        <v/>
      </c>
      <c r="G164" s="122" t="str">
        <f t="shared" ca="1" si="43"/>
        <v/>
      </c>
      <c r="H164" s="70" t="str">
        <f t="shared" ca="1" si="44"/>
        <v/>
      </c>
      <c r="I164" s="120" t="str">
        <f t="shared" ca="1" si="45"/>
        <v/>
      </c>
      <c r="J164" s="122" t="str">
        <f t="shared" ca="1" si="46"/>
        <v/>
      </c>
      <c r="K164" s="70" t="str">
        <f t="shared" ca="1" si="47"/>
        <v/>
      </c>
      <c r="L164" s="120" t="str">
        <f t="shared" ca="1" si="48"/>
        <v/>
      </c>
      <c r="M164" s="122" t="str">
        <f t="shared" ca="1" si="49"/>
        <v/>
      </c>
      <c r="N164" s="70" t="str">
        <f t="shared" ca="1" si="50"/>
        <v/>
      </c>
      <c r="O164" s="120" t="str">
        <f t="shared" ca="1" si="51"/>
        <v/>
      </c>
    </row>
    <row r="165" spans="1:15" ht="16.5" customHeight="1">
      <c r="A165" s="105">
        <v>30</v>
      </c>
      <c r="B165" s="130" t="str">
        <f>HYPERLINK("#'" &amp; TEXT(투자전략!$G$1+29, "[$-ko-KR]yyyy.mm.dd") &amp; "'!A94:O118", TEXT(투자전략!$G$1+29, "[$-ko-KR]yyyy.mm.dd"))</f>
        <v>2022.12.30</v>
      </c>
      <c r="C165" s="118" t="str">
        <f t="shared" ca="1" si="39"/>
        <v/>
      </c>
      <c r="D165" s="122" t="str">
        <f t="shared" ca="1" si="40"/>
        <v/>
      </c>
      <c r="E165" s="70" t="str">
        <f t="shared" ca="1" si="41"/>
        <v/>
      </c>
      <c r="F165" s="120" t="str">
        <f t="shared" ca="1" si="42"/>
        <v/>
      </c>
      <c r="G165" s="122" t="str">
        <f t="shared" ca="1" si="43"/>
        <v/>
      </c>
      <c r="H165" s="70" t="str">
        <f t="shared" ca="1" si="44"/>
        <v/>
      </c>
      <c r="I165" s="120" t="str">
        <f t="shared" ca="1" si="45"/>
        <v/>
      </c>
      <c r="J165" s="122" t="str">
        <f t="shared" ca="1" si="46"/>
        <v/>
      </c>
      <c r="K165" s="70" t="str">
        <f t="shared" ca="1" si="47"/>
        <v/>
      </c>
      <c r="L165" s="120" t="str">
        <f t="shared" ca="1" si="48"/>
        <v/>
      </c>
      <c r="M165" s="122" t="str">
        <f t="shared" ca="1" si="49"/>
        <v/>
      </c>
      <c r="N165" s="70" t="str">
        <f t="shared" ca="1" si="50"/>
        <v/>
      </c>
      <c r="O165" s="120" t="str">
        <f t="shared" ca="1" si="51"/>
        <v/>
      </c>
    </row>
    <row r="166" spans="1:15" ht="16.5" customHeight="1" thickBot="1">
      <c r="A166" s="105">
        <v>31</v>
      </c>
      <c r="B166" s="130" t="str">
        <f>HYPERLINK("#'" &amp; TEXT(투자전략!$G$1+30, "[$-ko-KR]yyyy.mm.dd") &amp; "'!A94:O118", TEXT(투자전략!$G$1+30, "[$-ko-KR]yyyy.mm.dd"))</f>
        <v>2022.12.31</v>
      </c>
      <c r="C166" s="119" t="str">
        <f t="shared" ca="1" si="39"/>
        <v/>
      </c>
      <c r="D166" s="123" t="str">
        <f t="shared" ca="1" si="40"/>
        <v/>
      </c>
      <c r="E166" s="72" t="str">
        <f t="shared" ca="1" si="41"/>
        <v/>
      </c>
      <c r="F166" s="121" t="str">
        <f t="shared" ca="1" si="42"/>
        <v/>
      </c>
      <c r="G166" s="123" t="str">
        <f t="shared" ca="1" si="43"/>
        <v/>
      </c>
      <c r="H166" s="72" t="str">
        <f t="shared" ca="1" si="44"/>
        <v/>
      </c>
      <c r="I166" s="121" t="str">
        <f t="shared" ca="1" si="45"/>
        <v/>
      </c>
      <c r="J166" s="123" t="str">
        <f t="shared" ca="1" si="46"/>
        <v/>
      </c>
      <c r="K166" s="72" t="str">
        <f t="shared" ca="1" si="47"/>
        <v/>
      </c>
      <c r="L166" s="121" t="str">
        <f t="shared" ca="1" si="48"/>
        <v/>
      </c>
      <c r="M166" s="123" t="str">
        <f t="shared" ca="1" si="49"/>
        <v/>
      </c>
      <c r="N166" s="72" t="str">
        <f t="shared" ca="1" si="50"/>
        <v/>
      </c>
      <c r="O166" s="121" t="str">
        <f t="shared" ca="1" si="51"/>
        <v/>
      </c>
    </row>
    <row r="167" spans="1:15" ht="16.5" customHeight="1" thickBot="1">
      <c r="A167" s="144" t="s">
        <v>273</v>
      </c>
      <c r="B167" s="146"/>
      <c r="C167" s="116" t="s">
        <v>268</v>
      </c>
      <c r="D167" s="9" t="s">
        <v>269</v>
      </c>
      <c r="E167" s="63" t="s">
        <v>270</v>
      </c>
      <c r="F167" s="64" t="s">
        <v>271</v>
      </c>
      <c r="G167" s="9" t="s">
        <v>269</v>
      </c>
      <c r="H167" s="63" t="s">
        <v>270</v>
      </c>
      <c r="I167" s="64" t="s">
        <v>271</v>
      </c>
      <c r="J167" s="9" t="s">
        <v>269</v>
      </c>
      <c r="K167" s="63" t="s">
        <v>270</v>
      </c>
      <c r="L167" s="64" t="s">
        <v>271</v>
      </c>
      <c r="M167" s="9" t="s">
        <v>269</v>
      </c>
      <c r="N167" s="63" t="s">
        <v>270</v>
      </c>
      <c r="O167" s="64" t="s">
        <v>271</v>
      </c>
    </row>
    <row r="168" spans="1:15" ht="16.5" customHeight="1" thickBot="1">
      <c r="A168" s="150"/>
      <c r="B168" s="152"/>
      <c r="C168" s="119">
        <f ca="1">SUM(C136:C166)</f>
        <v>78000000</v>
      </c>
      <c r="D168" s="123">
        <f ca="1">SUM(D136:D166)</f>
        <v>77416876.955893099</v>
      </c>
      <c r="E168" s="72">
        <f ca="1">IFERROR(F168 / (SUM($C136:$C166) / COUNT($C136:$C166)), 0)</f>
        <v>-0.19437434803563869</v>
      </c>
      <c r="F168" s="121">
        <f ca="1">SUM(F136:F166)</f>
        <v>-583123.04410691606</v>
      </c>
      <c r="G168" s="123">
        <f ca="1">SUM(G136:G166)</f>
        <v>77453742.787918329</v>
      </c>
      <c r="H168" s="72">
        <f ca="1">IFERROR(I168 / (SUM($C136:$C166) / COUNT($C136:$C166)), 0)</f>
        <v>-0.18208573736055428</v>
      </c>
      <c r="I168" s="121">
        <f ca="1">SUM(I136:I166)</f>
        <v>-546257.21208166284</v>
      </c>
      <c r="J168" s="123">
        <f ca="1">SUM(J136:J166)</f>
        <v>77481598.440192625</v>
      </c>
      <c r="K168" s="72">
        <f ca="1">IFERROR(L168 / (SUM($C136:$C166) / COUNT($C136:$C166)), 0)</f>
        <v>-0.17280051993578957</v>
      </c>
      <c r="L168" s="121">
        <f ca="1">SUM(L136:L166)</f>
        <v>-518401.55980736867</v>
      </c>
      <c r="M168" s="123">
        <f ca="1">SUM(M136:M166)</f>
        <v>77183251.71358335</v>
      </c>
      <c r="N168" s="72">
        <f ca="1">IFERROR(O168 / (SUM($C136:$C166) / COUNT($C136:$C166)), 0)</f>
        <v>-0.27224942880554404</v>
      </c>
      <c r="O168" s="121">
        <f ca="1">SUM(O136:O166)</f>
        <v>-816748.28641663212</v>
      </c>
    </row>
    <row r="170" spans="1:15" ht="16.5" customHeight="1" thickBot="1"/>
    <row r="171" spans="1:15" ht="16.5" customHeight="1" thickBot="1">
      <c r="A171" s="135" t="str">
        <f>TEXT(투자전략!$G$1, "[$-ko-KR]yyyy년 mm월 ") &amp; "[엽전코인] 전일대비 상승률 Bottom20 월말결산"</f>
        <v>2022년 12월 [엽전코인] 전일대비 상승률 Bottom20 월말결산</v>
      </c>
      <c r="B171" s="136"/>
      <c r="C171" s="136"/>
      <c r="D171" s="136"/>
      <c r="E171" s="136"/>
      <c r="F171" s="136"/>
      <c r="G171" s="136"/>
      <c r="H171" s="136"/>
      <c r="I171" s="136"/>
      <c r="J171" s="136"/>
      <c r="K171" s="136"/>
      <c r="L171" s="136"/>
      <c r="M171" s="136"/>
      <c r="N171" s="136"/>
      <c r="O171" s="137"/>
    </row>
    <row r="172" spans="1:15" ht="16.5" customHeight="1" thickBot="1">
      <c r="A172" s="196" t="s">
        <v>274</v>
      </c>
      <c r="B172" s="150" t="s">
        <v>272</v>
      </c>
      <c r="C172" s="152"/>
      <c r="D172" s="150" t="s">
        <v>264</v>
      </c>
      <c r="E172" s="151"/>
      <c r="F172" s="152"/>
      <c r="G172" s="150" t="s">
        <v>265</v>
      </c>
      <c r="H172" s="151"/>
      <c r="I172" s="152"/>
      <c r="J172" s="150" t="s">
        <v>266</v>
      </c>
      <c r="K172" s="151"/>
      <c r="L172" s="152"/>
      <c r="M172" s="150" t="s">
        <v>267</v>
      </c>
      <c r="N172" s="151"/>
      <c r="O172" s="152"/>
    </row>
    <row r="173" spans="1:15" ht="16.5" customHeight="1" thickBot="1">
      <c r="A173" s="200"/>
      <c r="B173" s="46" t="s">
        <v>262</v>
      </c>
      <c r="C173" s="46" t="s">
        <v>42</v>
      </c>
      <c r="D173" s="105" t="s">
        <v>263</v>
      </c>
      <c r="E173" s="106" t="s">
        <v>40</v>
      </c>
      <c r="F173" s="81" t="s">
        <v>41</v>
      </c>
      <c r="G173" s="105" t="s">
        <v>263</v>
      </c>
      <c r="H173" s="106" t="s">
        <v>40</v>
      </c>
      <c r="I173" s="81" t="s">
        <v>41</v>
      </c>
      <c r="J173" s="105" t="s">
        <v>263</v>
      </c>
      <c r="K173" s="106" t="s">
        <v>40</v>
      </c>
      <c r="L173" s="81" t="s">
        <v>41</v>
      </c>
      <c r="M173" s="105" t="s">
        <v>263</v>
      </c>
      <c r="N173" s="106" t="s">
        <v>40</v>
      </c>
      <c r="O173" s="81" t="s">
        <v>41</v>
      </c>
    </row>
    <row r="174" spans="1:15" ht="16.5" customHeight="1">
      <c r="A174" s="46">
        <v>1</v>
      </c>
      <c r="B174" s="132" t="str">
        <f>HYPERLINK("#'" &amp; TEXT(투자전략!$G$1+0, "[$-ko-KR]yyyy.mm.dd") &amp; "'!A121:O145", TEXT(투자전략!$G$1+0, "[$-ko-KR]yyyy.mm.dd"))</f>
        <v>2022.12.01</v>
      </c>
      <c r="C174" s="117">
        <f ca="1">IFERROR(COUNTA(INDIRECT($B174&amp;"!A125:A144")) * INDIRECT($B174&amp;"!B145"), "")</f>
        <v>3000000</v>
      </c>
      <c r="D174" s="125">
        <f ca="1">IFERROR($C174 * (1 + E174), "")</f>
        <v>3074440.9304523501</v>
      </c>
      <c r="E174" s="69">
        <f ca="1">IFERROR(INDIRECT($B174&amp;"!E145"), "")</f>
        <v>2.481364348411666E-2</v>
      </c>
      <c r="F174" s="124">
        <f ca="1">IFERROR(INDIRECT($B174&amp;"!F145"), "")</f>
        <v>74440.930452349974</v>
      </c>
      <c r="G174" s="125">
        <f ca="1">IFERROR($C174 * (1 + H174), "")</f>
        <v>3074440.9304523501</v>
      </c>
      <c r="H174" s="69">
        <f ca="1">IFERROR(INDIRECT($B174&amp;"!H145"), "")</f>
        <v>2.481364348411666E-2</v>
      </c>
      <c r="I174" s="124">
        <f ca="1">IFERROR(INDIRECT($B174&amp;"!I145"), "")</f>
        <v>74440.930452349974</v>
      </c>
      <c r="J174" s="125">
        <f ca="1">IFERROR($C174 * (1 + K174), "")</f>
        <v>3074440.9304523501</v>
      </c>
      <c r="K174" s="69">
        <f ca="1">IFERROR(INDIRECT($B174&amp;"!K145"), "")</f>
        <v>2.481364348411666E-2</v>
      </c>
      <c r="L174" s="124">
        <f ca="1">IFERROR(INDIRECT($B174&amp;"!L145"), "")</f>
        <v>74440.930452349974</v>
      </c>
      <c r="M174" s="125">
        <f ca="1">IFERROR($C174 * (1 + N174), "")</f>
        <v>3049511.0707711536</v>
      </c>
      <c r="N174" s="69">
        <f ca="1">IFERROR(INDIRECT($B174&amp;"!N145"), "")</f>
        <v>1.6503690257051139E-2</v>
      </c>
      <c r="O174" s="124">
        <f ca="1">IFERROR(INDIRECT($B174&amp;"!O145"), "")</f>
        <v>49511.07077115342</v>
      </c>
    </row>
    <row r="175" spans="1:15" ht="16.5" customHeight="1">
      <c r="A175" s="47">
        <v>2</v>
      </c>
      <c r="B175" s="133" t="str">
        <f>HYPERLINK("#'" &amp; TEXT(투자전략!$G$1+1, "[$-ko-KR]yyyy.mm.dd") &amp; "'!A121:O145", TEXT(투자전략!$G$1+1, "[$-ko-KR]yyyy.mm.dd"))</f>
        <v>2022.12.02</v>
      </c>
      <c r="C175" s="118">
        <f t="shared" ref="C175:C204" ca="1" si="52">IFERROR(COUNTA(INDIRECT($B175&amp;"!A125:A144")) * INDIRECT($B175&amp;"!B145"), "")</f>
        <v>3000000</v>
      </c>
      <c r="D175" s="122">
        <f t="shared" ref="D175:D204" ca="1" si="53">IFERROR($C175 * (1 + E175), "")</f>
        <v>2980897.3565027616</v>
      </c>
      <c r="E175" s="70">
        <f t="shared" ref="E175:E204" ca="1" si="54">IFERROR(INDIRECT($B175&amp;"!E145"), "")</f>
        <v>-6.3675478324127423E-3</v>
      </c>
      <c r="F175" s="120">
        <f t="shared" ref="F175:F204" ca="1" si="55">IFERROR(INDIRECT($B175&amp;"!F145"), "")</f>
        <v>-19102.64349723823</v>
      </c>
      <c r="G175" s="122">
        <f t="shared" ref="G175:G204" ca="1" si="56">IFERROR($C175 * (1 + H175), "")</f>
        <v>3001829.6459640767</v>
      </c>
      <c r="H175" s="70">
        <f t="shared" ref="H175:H204" ca="1" si="57">IFERROR(INDIRECT($B175&amp;"!H145"), "")</f>
        <v>6.0988198802548602E-4</v>
      </c>
      <c r="I175" s="120">
        <f t="shared" ref="I175:I204" ca="1" si="58">IFERROR(INDIRECT($B175&amp;"!I145"), "")</f>
        <v>1829.6459640764576</v>
      </c>
      <c r="J175" s="122">
        <f t="shared" ref="J175:J204" ca="1" si="59">IFERROR($C175 * (1 + K175), "")</f>
        <v>3019874.5070681451</v>
      </c>
      <c r="K175" s="70">
        <f t="shared" ref="K175:K204" ca="1" si="60">IFERROR(INDIRECT($B175&amp;"!K145"), "")</f>
        <v>6.6248356893815778E-3</v>
      </c>
      <c r="L175" s="120">
        <f t="shared" ref="L175:L204" ca="1" si="61">IFERROR(INDIRECT($B175&amp;"!L145"), "")</f>
        <v>19874.507068144736</v>
      </c>
      <c r="M175" s="122">
        <f t="shared" ref="M175:M204" ca="1" si="62">IFERROR($C175 * (1 + N175), "")</f>
        <v>3014879.2451891657</v>
      </c>
      <c r="N175" s="70">
        <f t="shared" ref="N175:N204" ca="1" si="63">IFERROR(INDIRECT($B175&amp;"!N145"), "")</f>
        <v>4.9597483963886137E-3</v>
      </c>
      <c r="O175" s="120">
        <f t="shared" ref="O175:O204" ca="1" si="64">IFERROR(INDIRECT($B175&amp;"!O145"), "")</f>
        <v>14879.245189165842</v>
      </c>
    </row>
    <row r="176" spans="1:15" ht="16.5" customHeight="1">
      <c r="A176" s="47">
        <v>3</v>
      </c>
      <c r="B176" s="133" t="str">
        <f>HYPERLINK("#'" &amp; TEXT(투자전략!$G$1+2, "[$-ko-KR]yyyy.mm.dd") &amp; "'!A121:O145", TEXT(투자전략!$G$1+2, "[$-ko-KR]yyyy.mm.dd"))</f>
        <v>2022.12.03</v>
      </c>
      <c r="C176" s="118">
        <f t="shared" ca="1" si="52"/>
        <v>3000000</v>
      </c>
      <c r="D176" s="122">
        <f t="shared" ca="1" si="53"/>
        <v>3000803.0960845593</v>
      </c>
      <c r="E176" s="70">
        <f t="shared" ca="1" si="54"/>
        <v>2.6769869485302052E-4</v>
      </c>
      <c r="F176" s="120">
        <f t="shared" ca="1" si="55"/>
        <v>803.09608455906221</v>
      </c>
      <c r="G176" s="122">
        <f t="shared" ca="1" si="56"/>
        <v>3015506.2959853252</v>
      </c>
      <c r="H176" s="70">
        <f t="shared" ca="1" si="57"/>
        <v>5.1687653284418576E-3</v>
      </c>
      <c r="I176" s="120">
        <f t="shared" ca="1" si="58"/>
        <v>15506.295985325576</v>
      </c>
      <c r="J176" s="122">
        <f t="shared" ca="1" si="59"/>
        <v>3018423.6572160595</v>
      </c>
      <c r="K176" s="70">
        <f t="shared" ca="1" si="60"/>
        <v>6.1412190720197355E-3</v>
      </c>
      <c r="L176" s="120">
        <f t="shared" ca="1" si="61"/>
        <v>18423.657216059208</v>
      </c>
      <c r="M176" s="122">
        <f t="shared" ca="1" si="62"/>
        <v>3002504.9570435341</v>
      </c>
      <c r="N176" s="70">
        <f t="shared" ca="1" si="63"/>
        <v>8.3498568117794641E-4</v>
      </c>
      <c r="O176" s="120">
        <f t="shared" ca="1" si="64"/>
        <v>2504.9570435338392</v>
      </c>
    </row>
    <row r="177" spans="1:15" ht="16.5" customHeight="1">
      <c r="A177" s="47">
        <v>4</v>
      </c>
      <c r="B177" s="133" t="str">
        <f>HYPERLINK("#'" &amp; TEXT(투자전략!$G$1+3, "[$-ko-KR]yyyy.mm.dd") &amp; "'!A121:O145", TEXT(투자전략!$G$1+3, "[$-ko-KR]yyyy.mm.dd"))</f>
        <v>2022.12.04</v>
      </c>
      <c r="C177" s="118">
        <f t="shared" ca="1" si="52"/>
        <v>3000000</v>
      </c>
      <c r="D177" s="122">
        <f t="shared" ca="1" si="53"/>
        <v>2981564.6621799762</v>
      </c>
      <c r="E177" s="70">
        <f t="shared" ca="1" si="54"/>
        <v>-6.1451126066745894E-3</v>
      </c>
      <c r="F177" s="120">
        <f t="shared" ca="1" si="55"/>
        <v>-18435.337820023768</v>
      </c>
      <c r="G177" s="122">
        <f t="shared" ca="1" si="56"/>
        <v>2978310.421685704</v>
      </c>
      <c r="H177" s="70">
        <f t="shared" ca="1" si="57"/>
        <v>-7.2298594380986641E-3</v>
      </c>
      <c r="I177" s="120">
        <f t="shared" ca="1" si="58"/>
        <v>-21689.578314295999</v>
      </c>
      <c r="J177" s="122">
        <f t="shared" ca="1" si="59"/>
        <v>2971275.3922107806</v>
      </c>
      <c r="K177" s="70">
        <f t="shared" ca="1" si="60"/>
        <v>-9.5748692630731394E-3</v>
      </c>
      <c r="L177" s="120">
        <f t="shared" ca="1" si="61"/>
        <v>-28724.607789219426</v>
      </c>
      <c r="M177" s="122">
        <f t="shared" ca="1" si="62"/>
        <v>2971859.4494663887</v>
      </c>
      <c r="N177" s="70">
        <f t="shared" ca="1" si="63"/>
        <v>-9.3801835112038608E-3</v>
      </c>
      <c r="O177" s="120">
        <f t="shared" ca="1" si="64"/>
        <v>-28140.550533611586</v>
      </c>
    </row>
    <row r="178" spans="1:15" ht="16.5" customHeight="1">
      <c r="A178" s="47">
        <v>5</v>
      </c>
      <c r="B178" s="133" t="str">
        <f>HYPERLINK("#'" &amp; TEXT(투자전략!$G$1+4, "[$-ko-KR]yyyy.mm.dd") &amp; "'!A121:O145", TEXT(투자전략!$G$1+4, "[$-ko-KR]yyyy.mm.dd"))</f>
        <v>2022.12.05</v>
      </c>
      <c r="C178" s="118">
        <f t="shared" ca="1" si="52"/>
        <v>3000000</v>
      </c>
      <c r="D178" s="122">
        <f t="shared" ca="1" si="53"/>
        <v>3006207.3396300939</v>
      </c>
      <c r="E178" s="70">
        <f t="shared" ca="1" si="54"/>
        <v>2.0691132100312832E-3</v>
      </c>
      <c r="F178" s="120">
        <f t="shared" ca="1" si="55"/>
        <v>6207.3396300938575</v>
      </c>
      <c r="G178" s="122">
        <f t="shared" ca="1" si="56"/>
        <v>2992178.4399372088</v>
      </c>
      <c r="H178" s="70">
        <f t="shared" ca="1" si="57"/>
        <v>-2.6071866875971204E-3</v>
      </c>
      <c r="I178" s="120">
        <f t="shared" ca="1" si="58"/>
        <v>-7821.5600627913618</v>
      </c>
      <c r="J178" s="122">
        <f t="shared" ca="1" si="59"/>
        <v>2989828.3521833797</v>
      </c>
      <c r="K178" s="70">
        <f t="shared" ca="1" si="60"/>
        <v>-3.390549272206723E-3</v>
      </c>
      <c r="L178" s="120">
        <f t="shared" ca="1" si="61"/>
        <v>-10171.647816620167</v>
      </c>
      <c r="M178" s="122">
        <f t="shared" ca="1" si="62"/>
        <v>2978858.4494111296</v>
      </c>
      <c r="N178" s="70">
        <f t="shared" ca="1" si="63"/>
        <v>-7.0471835296235796E-3</v>
      </c>
      <c r="O178" s="120">
        <f t="shared" ca="1" si="64"/>
        <v>-21141.550588870734</v>
      </c>
    </row>
    <row r="179" spans="1:15" ht="16.5" customHeight="1">
      <c r="A179" s="47">
        <v>6</v>
      </c>
      <c r="B179" s="133" t="str">
        <f>HYPERLINK("#'" &amp; TEXT(투자전략!$G$1+5, "[$-ko-KR]yyyy.mm.dd") &amp; "'!A121:O145", TEXT(투자전략!$G$1+5, "[$-ko-KR]yyyy.mm.dd"))</f>
        <v>2022.12.06</v>
      </c>
      <c r="C179" s="118">
        <f t="shared" ca="1" si="52"/>
        <v>3000000</v>
      </c>
      <c r="D179" s="122">
        <f t="shared" ca="1" si="53"/>
        <v>2970134.4761397867</v>
      </c>
      <c r="E179" s="70">
        <f t="shared" ca="1" si="54"/>
        <v>-9.9551746200711357E-3</v>
      </c>
      <c r="F179" s="120">
        <f t="shared" ca="1" si="55"/>
        <v>-29865.523860213412</v>
      </c>
      <c r="G179" s="122">
        <f t="shared" ca="1" si="56"/>
        <v>2971991.8398409053</v>
      </c>
      <c r="H179" s="70">
        <f t="shared" ca="1" si="57"/>
        <v>-9.3360533863649005E-3</v>
      </c>
      <c r="I179" s="120">
        <f t="shared" ca="1" si="58"/>
        <v>-28008.160159094703</v>
      </c>
      <c r="J179" s="122">
        <f t="shared" ca="1" si="59"/>
        <v>2966043.8874019482</v>
      </c>
      <c r="K179" s="70">
        <f t="shared" ca="1" si="60"/>
        <v>-1.1318704199350599E-2</v>
      </c>
      <c r="L179" s="120">
        <f t="shared" ca="1" si="61"/>
        <v>-33956.112598051797</v>
      </c>
      <c r="M179" s="122">
        <f t="shared" ca="1" si="62"/>
        <v>2968896.7335751611</v>
      </c>
      <c r="N179" s="70">
        <f t="shared" ca="1" si="63"/>
        <v>-1.0367755474946247E-2</v>
      </c>
      <c r="O179" s="120">
        <f t="shared" ca="1" si="64"/>
        <v>-31103.266424838737</v>
      </c>
    </row>
    <row r="180" spans="1:15" ht="16.5" customHeight="1" thickBot="1">
      <c r="A180" s="48">
        <v>7</v>
      </c>
      <c r="B180" s="134" t="str">
        <f>HYPERLINK("#'" &amp; TEXT(투자전략!$G$1+6, "[$-ko-KR]yyyy.mm.dd") &amp; "'!A121:O145", TEXT(투자전략!$G$1+6, "[$-ko-KR]yyyy.mm.dd"))</f>
        <v>2022.12.07</v>
      </c>
      <c r="C180" s="118">
        <f t="shared" ca="1" si="52"/>
        <v>3000000</v>
      </c>
      <c r="D180" s="122">
        <f t="shared" ca="1" si="53"/>
        <v>2956189.0267205527</v>
      </c>
      <c r="E180" s="70">
        <f t="shared" ca="1" si="54"/>
        <v>-1.4603657759815768E-2</v>
      </c>
      <c r="F180" s="120">
        <f t="shared" ca="1" si="55"/>
        <v>-43810.973279447331</v>
      </c>
      <c r="G180" s="122">
        <f t="shared" ca="1" si="56"/>
        <v>2878925.4498260212</v>
      </c>
      <c r="H180" s="70">
        <f t="shared" ca="1" si="57"/>
        <v>-4.0358183391326199E-2</v>
      </c>
      <c r="I180" s="120">
        <f t="shared" ca="1" si="58"/>
        <v>-121074.55017397861</v>
      </c>
      <c r="J180" s="122">
        <f t="shared" ca="1" si="59"/>
        <v>2932719.6508872425</v>
      </c>
      <c r="K180" s="70">
        <f t="shared" ca="1" si="60"/>
        <v>-2.242678303758578E-2</v>
      </c>
      <c r="L180" s="120">
        <f t="shared" ca="1" si="61"/>
        <v>-67280.349112757336</v>
      </c>
      <c r="M180" s="122">
        <f t="shared" ca="1" si="62"/>
        <v>2918427.1531074806</v>
      </c>
      <c r="N180" s="70">
        <f t="shared" ca="1" si="63"/>
        <v>-2.7190948964173102E-2</v>
      </c>
      <c r="O180" s="120">
        <f t="shared" ca="1" si="64"/>
        <v>-81572.846892519301</v>
      </c>
    </row>
    <row r="181" spans="1:15" ht="16.5" customHeight="1">
      <c r="A181" s="46">
        <v>8</v>
      </c>
      <c r="B181" s="132" t="str">
        <f>HYPERLINK("#'" &amp; TEXT(투자전략!$G$1+7, "[$-ko-KR]yyyy.mm.dd") &amp; "'!A121:O145", TEXT(투자전략!$G$1+7, "[$-ko-KR]yyyy.mm.dd"))</f>
        <v>2022.12.08</v>
      </c>
      <c r="C181" s="117">
        <f t="shared" ca="1" si="52"/>
        <v>3000000</v>
      </c>
      <c r="D181" s="125">
        <f t="shared" ca="1" si="53"/>
        <v>3059424.9538314212</v>
      </c>
      <c r="E181" s="69">
        <f t="shared" ca="1" si="54"/>
        <v>1.9808317943807212E-2</v>
      </c>
      <c r="F181" s="124">
        <f t="shared" ca="1" si="55"/>
        <v>59424.953831421633</v>
      </c>
      <c r="G181" s="125">
        <f t="shared" ca="1" si="56"/>
        <v>3070882.9045426939</v>
      </c>
      <c r="H181" s="69">
        <f t="shared" ca="1" si="57"/>
        <v>2.3627634847564655E-2</v>
      </c>
      <c r="I181" s="124">
        <f t="shared" ca="1" si="58"/>
        <v>70882.904542693956</v>
      </c>
      <c r="J181" s="125">
        <f t="shared" ca="1" si="59"/>
        <v>3052168.1991653373</v>
      </c>
      <c r="K181" s="69">
        <f t="shared" ca="1" si="60"/>
        <v>1.7389399721779115E-2</v>
      </c>
      <c r="L181" s="124">
        <f t="shared" ca="1" si="61"/>
        <v>52168.199165337355</v>
      </c>
      <c r="M181" s="125">
        <f t="shared" ca="1" si="62"/>
        <v>3062349.3207194922</v>
      </c>
      <c r="N181" s="69">
        <f t="shared" ca="1" si="63"/>
        <v>2.0783106906497456E-2</v>
      </c>
      <c r="O181" s="124">
        <f t="shared" ca="1" si="64"/>
        <v>62349.32071949236</v>
      </c>
    </row>
    <row r="182" spans="1:15" ht="16.5" customHeight="1">
      <c r="A182" s="47">
        <v>9</v>
      </c>
      <c r="B182" s="133" t="str">
        <f>HYPERLINK("#'" &amp; TEXT(투자전략!$G$1+8, "[$-ko-KR]yyyy.mm.dd") &amp; "'!A121:O145", TEXT(투자전략!$G$1+8, "[$-ko-KR]yyyy.mm.dd"))</f>
        <v>2022.12.09</v>
      </c>
      <c r="C182" s="118">
        <f t="shared" ca="1" si="52"/>
        <v>3000000</v>
      </c>
      <c r="D182" s="122">
        <f t="shared" ca="1" si="53"/>
        <v>3055604.6843196079</v>
      </c>
      <c r="E182" s="70">
        <f t="shared" ca="1" si="54"/>
        <v>1.8534894773202616E-2</v>
      </c>
      <c r="F182" s="120">
        <f t="shared" ca="1" si="55"/>
        <v>55604.684319607848</v>
      </c>
      <c r="G182" s="122">
        <f t="shared" ca="1" si="56"/>
        <v>3090340.9114221972</v>
      </c>
      <c r="H182" s="70">
        <f t="shared" ca="1" si="57"/>
        <v>3.011363714073248E-2</v>
      </c>
      <c r="I182" s="120">
        <f t="shared" ca="1" si="58"/>
        <v>90340.911422197431</v>
      </c>
      <c r="J182" s="122">
        <f t="shared" ca="1" si="59"/>
        <v>3090340.9114221972</v>
      </c>
      <c r="K182" s="70">
        <f t="shared" ca="1" si="60"/>
        <v>3.011363714073248E-2</v>
      </c>
      <c r="L182" s="120">
        <f t="shared" ca="1" si="61"/>
        <v>90340.911422197431</v>
      </c>
      <c r="M182" s="122">
        <f t="shared" ca="1" si="62"/>
        <v>3085277.5644111377</v>
      </c>
      <c r="N182" s="70">
        <f t="shared" ca="1" si="63"/>
        <v>2.8425854803712534E-2</v>
      </c>
      <c r="O182" s="120">
        <f t="shared" ca="1" si="64"/>
        <v>85277.564411137631</v>
      </c>
    </row>
    <row r="183" spans="1:15" ht="16.5" customHeight="1">
      <c r="A183" s="47">
        <v>10</v>
      </c>
      <c r="B183" s="133" t="str">
        <f>HYPERLINK("#'" &amp; TEXT(투자전략!$G$1+9, "[$-ko-KR]yyyy.mm.dd") &amp; "'!A121:O145", TEXT(투자전략!$G$1+9, "[$-ko-KR]yyyy.mm.dd"))</f>
        <v>2022.12.10</v>
      </c>
      <c r="C183" s="118">
        <f t="shared" ca="1" si="52"/>
        <v>3000000</v>
      </c>
      <c r="D183" s="122">
        <f t="shared" ca="1" si="53"/>
        <v>3028148.3636844042</v>
      </c>
      <c r="E183" s="70">
        <f t="shared" ca="1" si="54"/>
        <v>9.382787894801483E-3</v>
      </c>
      <c r="F183" s="120">
        <f t="shared" ca="1" si="55"/>
        <v>28148.363684404445</v>
      </c>
      <c r="G183" s="122">
        <f t="shared" ca="1" si="56"/>
        <v>3019636.1120878523</v>
      </c>
      <c r="H183" s="70">
        <f t="shared" ca="1" si="57"/>
        <v>6.5453706959508265E-3</v>
      </c>
      <c r="I183" s="120">
        <f t="shared" ca="1" si="58"/>
        <v>19636.112087852474</v>
      </c>
      <c r="J183" s="122">
        <f t="shared" ca="1" si="59"/>
        <v>3019636.1120878523</v>
      </c>
      <c r="K183" s="70">
        <f t="shared" ca="1" si="60"/>
        <v>6.5453706959508265E-3</v>
      </c>
      <c r="L183" s="120">
        <f t="shared" ca="1" si="61"/>
        <v>19636.112087852474</v>
      </c>
      <c r="M183" s="122">
        <f t="shared" ca="1" si="62"/>
        <v>3028738.2210552529</v>
      </c>
      <c r="N183" s="70">
        <f t="shared" ca="1" si="63"/>
        <v>9.5794070184176145E-3</v>
      </c>
      <c r="O183" s="120">
        <f t="shared" ca="1" si="64"/>
        <v>28738.221055252849</v>
      </c>
    </row>
    <row r="184" spans="1:15" ht="16.5" customHeight="1">
      <c r="A184" s="47">
        <v>11</v>
      </c>
      <c r="B184" s="133" t="str">
        <f>HYPERLINK("#'" &amp; TEXT(투자전략!$G$1+10, "[$-ko-KR]yyyy.mm.dd") &amp; "'!A121:O145", TEXT(투자전략!$G$1+10, "[$-ko-KR]yyyy.mm.dd"))</f>
        <v>2022.12.11</v>
      </c>
      <c r="C184" s="118">
        <f t="shared" ca="1" si="52"/>
        <v>3000000</v>
      </c>
      <c r="D184" s="122">
        <f t="shared" ca="1" si="53"/>
        <v>2981984.2402449758</v>
      </c>
      <c r="E184" s="70">
        <f t="shared" ca="1" si="54"/>
        <v>-6.0052532516746537E-3</v>
      </c>
      <c r="F184" s="120">
        <f t="shared" ca="1" si="55"/>
        <v>-18015.759755023962</v>
      </c>
      <c r="G184" s="122">
        <f t="shared" ca="1" si="56"/>
        <v>2956110.1535555543</v>
      </c>
      <c r="H184" s="70">
        <f t="shared" ca="1" si="57"/>
        <v>-1.4629948814815164E-2</v>
      </c>
      <c r="I184" s="120">
        <f t="shared" ca="1" si="58"/>
        <v>-43889.846444445488</v>
      </c>
      <c r="J184" s="122">
        <f t="shared" ca="1" si="59"/>
        <v>2956110.1535555543</v>
      </c>
      <c r="K184" s="70">
        <f t="shared" ca="1" si="60"/>
        <v>-1.4629948814815164E-2</v>
      </c>
      <c r="L184" s="120">
        <f t="shared" ca="1" si="61"/>
        <v>-43889.846444445488</v>
      </c>
      <c r="M184" s="122">
        <f t="shared" ca="1" si="62"/>
        <v>2942377.8609169615</v>
      </c>
      <c r="N184" s="70">
        <f t="shared" ca="1" si="63"/>
        <v>-1.920737969434614E-2</v>
      </c>
      <c r="O184" s="120">
        <f t="shared" ca="1" si="64"/>
        <v>-57622.139083038404</v>
      </c>
    </row>
    <row r="185" spans="1:15" ht="16.5" customHeight="1">
      <c r="A185" s="47">
        <v>12</v>
      </c>
      <c r="B185" s="133" t="str">
        <f>HYPERLINK("#'" &amp; TEXT(투자전략!$G$1+11, "[$-ko-KR]yyyy.mm.dd") &amp; "'!A121:O145", TEXT(투자전략!$G$1+11, "[$-ko-KR]yyyy.mm.dd"))</f>
        <v>2022.12.12</v>
      </c>
      <c r="C185" s="118">
        <f t="shared" ca="1" si="52"/>
        <v>3000000</v>
      </c>
      <c r="D185" s="122">
        <f t="shared" ca="1" si="53"/>
        <v>2883280.9991716561</v>
      </c>
      <c r="E185" s="70">
        <f t="shared" ca="1" si="54"/>
        <v>-3.8906333609447952E-2</v>
      </c>
      <c r="F185" s="120">
        <f t="shared" ca="1" si="55"/>
        <v>-116719.00082834385</v>
      </c>
      <c r="G185" s="122">
        <f t="shared" ca="1" si="56"/>
        <v>2883280.9991716561</v>
      </c>
      <c r="H185" s="70">
        <f t="shared" ca="1" si="57"/>
        <v>-3.8906333609447952E-2</v>
      </c>
      <c r="I185" s="120">
        <f t="shared" ca="1" si="58"/>
        <v>-116719.00082834385</v>
      </c>
      <c r="J185" s="122">
        <f t="shared" ca="1" si="59"/>
        <v>2883280.9991716561</v>
      </c>
      <c r="K185" s="70">
        <f t="shared" ca="1" si="60"/>
        <v>-3.8906333609447952E-2</v>
      </c>
      <c r="L185" s="120">
        <f t="shared" ca="1" si="61"/>
        <v>-116719.00082834385</v>
      </c>
      <c r="M185" s="122">
        <f t="shared" ca="1" si="62"/>
        <v>2897127.7684862865</v>
      </c>
      <c r="N185" s="70">
        <f t="shared" ca="1" si="63"/>
        <v>-3.4290743837904543E-2</v>
      </c>
      <c r="O185" s="120">
        <f t="shared" ca="1" si="64"/>
        <v>-102872.23151371363</v>
      </c>
    </row>
    <row r="186" spans="1:15" ht="16.5" customHeight="1">
      <c r="A186" s="47">
        <v>13</v>
      </c>
      <c r="B186" s="133" t="str">
        <f>HYPERLINK("#'" &amp; TEXT(투자전략!$G$1+12, "[$-ko-KR]yyyy.mm.dd") &amp; "'!A121:O145", TEXT(투자전략!$G$1+12, "[$-ko-KR]yyyy.mm.dd"))</f>
        <v>2022.12.13</v>
      </c>
      <c r="C186" s="118">
        <f t="shared" ca="1" si="52"/>
        <v>3000000</v>
      </c>
      <c r="D186" s="122">
        <f t="shared" ca="1" si="53"/>
        <v>2933482.5281913998</v>
      </c>
      <c r="E186" s="70">
        <f t="shared" ca="1" si="54"/>
        <v>-2.2172490602866756E-2</v>
      </c>
      <c r="F186" s="120">
        <f t="shared" ca="1" si="55"/>
        <v>-66517.471808600283</v>
      </c>
      <c r="G186" s="122">
        <f t="shared" ca="1" si="56"/>
        <v>3071065.1784814293</v>
      </c>
      <c r="H186" s="70">
        <f t="shared" ca="1" si="57"/>
        <v>2.3688392827143284E-2</v>
      </c>
      <c r="I186" s="120">
        <f t="shared" ca="1" si="58"/>
        <v>71065.178481429859</v>
      </c>
      <c r="J186" s="122">
        <f t="shared" ca="1" si="59"/>
        <v>3071065.1784814293</v>
      </c>
      <c r="K186" s="70">
        <f t="shared" ca="1" si="60"/>
        <v>2.3688392827143284E-2</v>
      </c>
      <c r="L186" s="120">
        <f t="shared" ca="1" si="61"/>
        <v>71065.178481429859</v>
      </c>
      <c r="M186" s="122">
        <f t="shared" ca="1" si="62"/>
        <v>3056666.1181095471</v>
      </c>
      <c r="N186" s="70">
        <f t="shared" ca="1" si="63"/>
        <v>1.8888706036515629E-2</v>
      </c>
      <c r="O186" s="120">
        <f t="shared" ca="1" si="64"/>
        <v>56666.118109546893</v>
      </c>
    </row>
    <row r="187" spans="1:15" ht="16.5" customHeight="1" thickBot="1">
      <c r="A187" s="48">
        <v>14</v>
      </c>
      <c r="B187" s="134" t="str">
        <f>HYPERLINK("#'" &amp; TEXT(투자전략!$G$1+13, "[$-ko-KR]yyyy.mm.dd") &amp; "'!A121:O145", TEXT(투자전략!$G$1+13, "[$-ko-KR]yyyy.mm.dd"))</f>
        <v>2022.12.14</v>
      </c>
      <c r="C187" s="119">
        <f t="shared" ca="1" si="52"/>
        <v>3000000</v>
      </c>
      <c r="D187" s="123">
        <f t="shared" ca="1" si="53"/>
        <v>2990046.7412858745</v>
      </c>
      <c r="E187" s="72">
        <f t="shared" ca="1" si="54"/>
        <v>-3.3177529047085119E-3</v>
      </c>
      <c r="F187" s="121">
        <f t="shared" ca="1" si="55"/>
        <v>-9953.2587141255372</v>
      </c>
      <c r="G187" s="123">
        <f t="shared" ca="1" si="56"/>
        <v>3004489.7528337631</v>
      </c>
      <c r="H187" s="72">
        <f t="shared" ca="1" si="57"/>
        <v>1.4965842779211171E-3</v>
      </c>
      <c r="I187" s="121">
        <f t="shared" ca="1" si="58"/>
        <v>4489.7528337633521</v>
      </c>
      <c r="J187" s="123">
        <f t="shared" ca="1" si="59"/>
        <v>3004489.7528337631</v>
      </c>
      <c r="K187" s="72">
        <f t="shared" ca="1" si="60"/>
        <v>1.4965842779211171E-3</v>
      </c>
      <c r="L187" s="121">
        <f t="shared" ca="1" si="61"/>
        <v>4489.7528337633521</v>
      </c>
      <c r="M187" s="123">
        <f t="shared" ca="1" si="62"/>
        <v>3013936.6494711577</v>
      </c>
      <c r="N187" s="72">
        <f t="shared" ca="1" si="63"/>
        <v>4.6455498237191889E-3</v>
      </c>
      <c r="O187" s="121">
        <f t="shared" ca="1" si="64"/>
        <v>13936.649471157565</v>
      </c>
    </row>
    <row r="188" spans="1:15" ht="16.5" customHeight="1">
      <c r="A188" s="46">
        <v>15</v>
      </c>
      <c r="B188" s="132" t="str">
        <f>HYPERLINK("#'" &amp; TEXT(투자전략!$G$1+14, "[$-ko-KR]yyyy.mm.dd") &amp; "'!A121:O145", TEXT(투자전략!$G$1+14, "[$-ko-KR]yyyy.mm.dd"))</f>
        <v>2022.12.15</v>
      </c>
      <c r="C188" s="118">
        <f t="shared" ca="1" si="52"/>
        <v>3000000</v>
      </c>
      <c r="D188" s="122">
        <f t="shared" ca="1" si="53"/>
        <v>2953899.2493246007</v>
      </c>
      <c r="E188" s="70">
        <f t="shared" ca="1" si="54"/>
        <v>-1.5366916891799701E-2</v>
      </c>
      <c r="F188" s="120">
        <f t="shared" ca="1" si="55"/>
        <v>-46100.750675399104</v>
      </c>
      <c r="G188" s="122">
        <f t="shared" ca="1" si="56"/>
        <v>2953899.2493246007</v>
      </c>
      <c r="H188" s="70">
        <f t="shared" ca="1" si="57"/>
        <v>-1.5366916891799701E-2</v>
      </c>
      <c r="I188" s="120">
        <f t="shared" ca="1" si="58"/>
        <v>-46100.750675399104</v>
      </c>
      <c r="J188" s="122">
        <f t="shared" ca="1" si="59"/>
        <v>2953899.2493246007</v>
      </c>
      <c r="K188" s="70">
        <f t="shared" ca="1" si="60"/>
        <v>-1.5366916891799701E-2</v>
      </c>
      <c r="L188" s="120">
        <f t="shared" ca="1" si="61"/>
        <v>-46100.750675399104</v>
      </c>
      <c r="M188" s="122">
        <f t="shared" ca="1" si="62"/>
        <v>2953899.2493246007</v>
      </c>
      <c r="N188" s="70">
        <f t="shared" ca="1" si="63"/>
        <v>-1.5366916891799701E-2</v>
      </c>
      <c r="O188" s="120">
        <f t="shared" ca="1" si="64"/>
        <v>-46100.750675399104</v>
      </c>
    </row>
    <row r="189" spans="1:15" ht="16.5" customHeight="1">
      <c r="A189" s="47">
        <v>16</v>
      </c>
      <c r="B189" s="133" t="str">
        <f>HYPERLINK("#'" &amp; TEXT(투자전략!$G$1+15, "[$-ko-KR]yyyy.mm.dd") &amp; "'!A121:O145", TEXT(투자전략!$G$1+15, "[$-ko-KR]yyyy.mm.dd"))</f>
        <v>2022.12.16</v>
      </c>
      <c r="C189" s="118">
        <f t="shared" ca="1" si="52"/>
        <v>3000000</v>
      </c>
      <c r="D189" s="122">
        <f t="shared" ca="1" si="53"/>
        <v>2974034.0095020365</v>
      </c>
      <c r="E189" s="70">
        <f t="shared" ca="1" si="54"/>
        <v>-8.655330165987813E-3</v>
      </c>
      <c r="F189" s="120">
        <f t="shared" ca="1" si="55"/>
        <v>-25965.990497963438</v>
      </c>
      <c r="G189" s="122">
        <f t="shared" ca="1" si="56"/>
        <v>2908151.894592837</v>
      </c>
      <c r="H189" s="70">
        <f t="shared" ca="1" si="57"/>
        <v>-3.061603513572107E-2</v>
      </c>
      <c r="I189" s="120">
        <f t="shared" ca="1" si="58"/>
        <v>-91848.10540716321</v>
      </c>
      <c r="J189" s="122">
        <f t="shared" ca="1" si="59"/>
        <v>2928559.2677576863</v>
      </c>
      <c r="K189" s="70">
        <f t="shared" ca="1" si="60"/>
        <v>-2.3813577414104566E-2</v>
      </c>
      <c r="L189" s="120">
        <f t="shared" ca="1" si="61"/>
        <v>-71440.732242313708</v>
      </c>
      <c r="M189" s="122">
        <f t="shared" ca="1" si="62"/>
        <v>2920839.920671077</v>
      </c>
      <c r="N189" s="70">
        <f t="shared" ca="1" si="63"/>
        <v>-2.6386693109641014E-2</v>
      </c>
      <c r="O189" s="120">
        <f t="shared" ca="1" si="64"/>
        <v>-79160.079328923006</v>
      </c>
    </row>
    <row r="190" spans="1:15" ht="16.5" customHeight="1">
      <c r="A190" s="47">
        <v>17</v>
      </c>
      <c r="B190" s="133" t="str">
        <f>HYPERLINK("#'" &amp; TEXT(투자전략!$G$1+16, "[$-ko-KR]yyyy.mm.dd") &amp; "'!A121:O145", TEXT(투자전략!$G$1+16, "[$-ko-KR]yyyy.mm.dd"))</f>
        <v>2022.12.17</v>
      </c>
      <c r="C190" s="118">
        <f t="shared" ca="1" si="52"/>
        <v>3000000</v>
      </c>
      <c r="D190" s="122">
        <f t="shared" ca="1" si="53"/>
        <v>2768500.2348349597</v>
      </c>
      <c r="E190" s="70">
        <f t="shared" ca="1" si="54"/>
        <v>-7.7166588388346752E-2</v>
      </c>
      <c r="F190" s="120">
        <f t="shared" ca="1" si="55"/>
        <v>-231499.76516504033</v>
      </c>
      <c r="G190" s="122">
        <f t="shared" ca="1" si="56"/>
        <v>2768500.2348349597</v>
      </c>
      <c r="H190" s="70">
        <f t="shared" ca="1" si="57"/>
        <v>-7.7166588388346752E-2</v>
      </c>
      <c r="I190" s="120">
        <f t="shared" ca="1" si="58"/>
        <v>-231499.76516504033</v>
      </c>
      <c r="J190" s="122">
        <f t="shared" ca="1" si="59"/>
        <v>2768500.2348349597</v>
      </c>
      <c r="K190" s="70">
        <f t="shared" ca="1" si="60"/>
        <v>-7.7166588388346752E-2</v>
      </c>
      <c r="L190" s="120">
        <f t="shared" ca="1" si="61"/>
        <v>-231499.76516504033</v>
      </c>
      <c r="M190" s="122">
        <f t="shared" ca="1" si="62"/>
        <v>2765099.8030506298</v>
      </c>
      <c r="N190" s="70">
        <f t="shared" ca="1" si="63"/>
        <v>-7.8300065649790043E-2</v>
      </c>
      <c r="O190" s="120">
        <f t="shared" ca="1" si="64"/>
        <v>-234900.19694937023</v>
      </c>
    </row>
    <row r="191" spans="1:15" ht="16.5" customHeight="1">
      <c r="A191" s="47">
        <v>18</v>
      </c>
      <c r="B191" s="133" t="str">
        <f>HYPERLINK("#'" &amp; TEXT(투자전략!$G$1+17, "[$-ko-KR]yyyy.mm.dd") &amp; "'!A121:O145", TEXT(투자전략!$G$1+17, "[$-ko-KR]yyyy.mm.dd"))</f>
        <v>2022.12.18</v>
      </c>
      <c r="C191" s="118">
        <f t="shared" ca="1" si="52"/>
        <v>3000000</v>
      </c>
      <c r="D191" s="122">
        <f t="shared" ca="1" si="53"/>
        <v>3058376.2713642106</v>
      </c>
      <c r="E191" s="70">
        <f t="shared" ca="1" si="54"/>
        <v>1.9458757121403547E-2</v>
      </c>
      <c r="F191" s="120">
        <f t="shared" ca="1" si="55"/>
        <v>58376.271364210661</v>
      </c>
      <c r="G191" s="122">
        <f t="shared" ca="1" si="56"/>
        <v>3058376.2713642106</v>
      </c>
      <c r="H191" s="70">
        <f t="shared" ca="1" si="57"/>
        <v>1.9458757121403547E-2</v>
      </c>
      <c r="I191" s="120">
        <f t="shared" ca="1" si="58"/>
        <v>58376.271364210661</v>
      </c>
      <c r="J191" s="122">
        <f t="shared" ca="1" si="59"/>
        <v>3074866.70740582</v>
      </c>
      <c r="K191" s="70">
        <f t="shared" ca="1" si="60"/>
        <v>2.4955569135273394E-2</v>
      </c>
      <c r="L191" s="120">
        <f t="shared" ca="1" si="61"/>
        <v>74866.707405820169</v>
      </c>
      <c r="M191" s="122">
        <f t="shared" ca="1" si="62"/>
        <v>3057916.8169493945</v>
      </c>
      <c r="N191" s="70">
        <f t="shared" ca="1" si="63"/>
        <v>1.9305605649798292E-2</v>
      </c>
      <c r="O191" s="120">
        <f t="shared" ca="1" si="64"/>
        <v>57916.816949394866</v>
      </c>
    </row>
    <row r="192" spans="1:15" ht="16.5" customHeight="1">
      <c r="A192" s="47">
        <v>19</v>
      </c>
      <c r="B192" s="133" t="str">
        <f>HYPERLINK("#'" &amp; TEXT(투자전략!$G$1+18, "[$-ko-KR]yyyy.mm.dd") &amp; "'!A121:O145", TEXT(투자전략!$G$1+18, "[$-ko-KR]yyyy.mm.dd"))</f>
        <v>2022.12.19</v>
      </c>
      <c r="C192" s="118">
        <f t="shared" ca="1" si="52"/>
        <v>3000000</v>
      </c>
      <c r="D192" s="122">
        <f t="shared" ca="1" si="53"/>
        <v>2974931.1551479669</v>
      </c>
      <c r="E192" s="70">
        <f t="shared" ca="1" si="54"/>
        <v>-8.3562816173443112E-3</v>
      </c>
      <c r="F192" s="120">
        <f t="shared" ca="1" si="55"/>
        <v>-25068.844852032937</v>
      </c>
      <c r="G192" s="122">
        <f t="shared" ca="1" si="56"/>
        <v>2969512.5048139622</v>
      </c>
      <c r="H192" s="70">
        <f t="shared" ca="1" si="57"/>
        <v>-1.0162498395345877E-2</v>
      </c>
      <c r="I192" s="120">
        <f t="shared" ca="1" si="58"/>
        <v>-30487.495186037631</v>
      </c>
      <c r="J192" s="122">
        <f t="shared" ca="1" si="59"/>
        <v>2968816.9479853911</v>
      </c>
      <c r="K192" s="70">
        <f t="shared" ca="1" si="60"/>
        <v>-1.039435067153623E-2</v>
      </c>
      <c r="L192" s="120">
        <f t="shared" ca="1" si="61"/>
        <v>-31183.052014608689</v>
      </c>
      <c r="M192" s="122">
        <f t="shared" ca="1" si="62"/>
        <v>2956839.1243342017</v>
      </c>
      <c r="N192" s="70">
        <f t="shared" ca="1" si="63"/>
        <v>-1.4386958555266125E-2</v>
      </c>
      <c r="O192" s="120">
        <f t="shared" ca="1" si="64"/>
        <v>-43160.875665798369</v>
      </c>
    </row>
    <row r="193" spans="1:15" ht="16.5" customHeight="1">
      <c r="A193" s="47">
        <v>20</v>
      </c>
      <c r="B193" s="133" t="str">
        <f>HYPERLINK("#'" &amp; TEXT(투자전략!$G$1+19, "[$-ko-KR]yyyy.mm.dd") &amp; "'!A121:O145", TEXT(투자전략!$G$1+19, "[$-ko-KR]yyyy.mm.dd"))</f>
        <v>2022.12.20</v>
      </c>
      <c r="C193" s="118">
        <f t="shared" ca="1" si="52"/>
        <v>3000000</v>
      </c>
      <c r="D193" s="122">
        <f t="shared" ca="1" si="53"/>
        <v>3038345.0988834728</v>
      </c>
      <c r="E193" s="70">
        <f t="shared" ca="1" si="54"/>
        <v>1.2781699627824324E-2</v>
      </c>
      <c r="F193" s="120">
        <f t="shared" ca="1" si="55"/>
        <v>38345.098883472972</v>
      </c>
      <c r="G193" s="122">
        <f t="shared" ca="1" si="56"/>
        <v>3038345.0988834728</v>
      </c>
      <c r="H193" s="70">
        <f t="shared" ca="1" si="57"/>
        <v>1.2781699627824324E-2</v>
      </c>
      <c r="I193" s="120">
        <f t="shared" ca="1" si="58"/>
        <v>38345.098883472972</v>
      </c>
      <c r="J193" s="122">
        <f t="shared" ca="1" si="59"/>
        <v>3039681.4381386568</v>
      </c>
      <c r="K193" s="70">
        <f t="shared" ca="1" si="60"/>
        <v>1.3227146046219006E-2</v>
      </c>
      <c r="L193" s="120">
        <f t="shared" ca="1" si="61"/>
        <v>39681.438138657031</v>
      </c>
      <c r="M193" s="122">
        <f t="shared" ca="1" si="62"/>
        <v>3010261.2566371914</v>
      </c>
      <c r="N193" s="70">
        <f t="shared" ca="1" si="63"/>
        <v>3.4204188790638392E-3</v>
      </c>
      <c r="O193" s="120">
        <f t="shared" ca="1" si="64"/>
        <v>10261.256637191516</v>
      </c>
    </row>
    <row r="194" spans="1:15" ht="16.5" customHeight="1" thickBot="1">
      <c r="A194" s="48">
        <v>21</v>
      </c>
      <c r="B194" s="134" t="str">
        <f>HYPERLINK("#'" &amp; TEXT(투자전략!$G$1+20, "[$-ko-KR]yyyy.mm.dd") &amp; "'!A121:O145", TEXT(투자전략!$G$1+20, "[$-ko-KR]yyyy.mm.dd"))</f>
        <v>2022.12.21</v>
      </c>
      <c r="C194" s="118">
        <f t="shared" ca="1" si="52"/>
        <v>3000000</v>
      </c>
      <c r="D194" s="122">
        <f t="shared" ca="1" si="53"/>
        <v>3031609.3826363948</v>
      </c>
      <c r="E194" s="70">
        <f t="shared" ca="1" si="54"/>
        <v>1.0536460878798417E-2</v>
      </c>
      <c r="F194" s="120">
        <f t="shared" ca="1" si="55"/>
        <v>31609.382636395247</v>
      </c>
      <c r="G194" s="122">
        <f t="shared" ca="1" si="56"/>
        <v>3041377.2397897821</v>
      </c>
      <c r="H194" s="70">
        <f t="shared" ca="1" si="57"/>
        <v>1.3792413263260844E-2</v>
      </c>
      <c r="I194" s="120">
        <f t="shared" ca="1" si="58"/>
        <v>41377.239789782536</v>
      </c>
      <c r="J194" s="122">
        <f t="shared" ca="1" si="59"/>
        <v>3041377.2397897821</v>
      </c>
      <c r="K194" s="70">
        <f t="shared" ca="1" si="60"/>
        <v>1.3792413263260844E-2</v>
      </c>
      <c r="L194" s="120">
        <f t="shared" ca="1" si="61"/>
        <v>41377.239789782536</v>
      </c>
      <c r="M194" s="122">
        <f t="shared" ca="1" si="62"/>
        <v>3039328.0887629446</v>
      </c>
      <c r="N194" s="70">
        <f t="shared" ca="1" si="63"/>
        <v>1.3109362920981438E-2</v>
      </c>
      <c r="O194" s="120">
        <f t="shared" ca="1" si="64"/>
        <v>39328.088762944317</v>
      </c>
    </row>
    <row r="195" spans="1:15" ht="16.5" customHeight="1">
      <c r="A195" s="46">
        <v>22</v>
      </c>
      <c r="B195" s="132" t="str">
        <f>HYPERLINK("#'" &amp; TEXT(투자전략!$G$1+21, "[$-ko-KR]yyyy.mm.dd") &amp; "'!A121:O145", TEXT(투자전략!$G$1+21, "[$-ko-KR]yyyy.mm.dd"))</f>
        <v>2022.12.22</v>
      </c>
      <c r="C195" s="117">
        <f t="shared" ca="1" si="52"/>
        <v>3000000</v>
      </c>
      <c r="D195" s="125">
        <f t="shared" ca="1" si="53"/>
        <v>3015556.8198393318</v>
      </c>
      <c r="E195" s="69">
        <f t="shared" ca="1" si="54"/>
        <v>5.18560661311068E-3</v>
      </c>
      <c r="F195" s="124">
        <f t="shared" ca="1" si="55"/>
        <v>15556.819839332049</v>
      </c>
      <c r="G195" s="125">
        <f t="shared" ca="1" si="56"/>
        <v>2995374.6517219767</v>
      </c>
      <c r="H195" s="69">
        <f t="shared" ca="1" si="57"/>
        <v>-1.5417827593410642E-3</v>
      </c>
      <c r="I195" s="124">
        <f t="shared" ca="1" si="58"/>
        <v>-4625.3482780231916</v>
      </c>
      <c r="J195" s="125">
        <f t="shared" ca="1" si="59"/>
        <v>2995374.6517219767</v>
      </c>
      <c r="K195" s="69">
        <f t="shared" ca="1" si="60"/>
        <v>-1.5417827593410642E-3</v>
      </c>
      <c r="L195" s="124">
        <f t="shared" ca="1" si="61"/>
        <v>-4625.3482780231916</v>
      </c>
      <c r="M195" s="125">
        <f t="shared" ca="1" si="62"/>
        <v>2972289.0816937368</v>
      </c>
      <c r="N195" s="69">
        <f t="shared" ca="1" si="63"/>
        <v>-9.2369727687542976E-3</v>
      </c>
      <c r="O195" s="124">
        <f t="shared" ca="1" si="64"/>
        <v>-27710.918306262894</v>
      </c>
    </row>
    <row r="196" spans="1:15" ht="16.5" customHeight="1">
      <c r="A196" s="47">
        <v>23</v>
      </c>
      <c r="B196" s="133" t="str">
        <f>HYPERLINK("#'" &amp; TEXT(투자전략!$G$1+22, "[$-ko-KR]yyyy.mm.dd") &amp; "'!A121:O145", TEXT(투자전략!$G$1+22, "[$-ko-KR]yyyy.mm.dd"))</f>
        <v>2022.12.23</v>
      </c>
      <c r="C196" s="118">
        <f t="shared" ca="1" si="52"/>
        <v>3000000</v>
      </c>
      <c r="D196" s="122">
        <f t="shared" ca="1" si="53"/>
        <v>3061396.9979179571</v>
      </c>
      <c r="E196" s="70">
        <f t="shared" ca="1" si="54"/>
        <v>2.0465665972652203E-2</v>
      </c>
      <c r="F196" s="120">
        <f t="shared" ca="1" si="55"/>
        <v>61396.997917956622</v>
      </c>
      <c r="G196" s="122">
        <f t="shared" ca="1" si="56"/>
        <v>3063763.5563723631</v>
      </c>
      <c r="H196" s="70">
        <f t="shared" ca="1" si="57"/>
        <v>2.1254518790787692E-2</v>
      </c>
      <c r="I196" s="120">
        <f t="shared" ca="1" si="58"/>
        <v>63763.556372363077</v>
      </c>
      <c r="J196" s="122">
        <f t="shared" ca="1" si="59"/>
        <v>3063763.5563723631</v>
      </c>
      <c r="K196" s="70">
        <f t="shared" ca="1" si="60"/>
        <v>2.1254518790787692E-2</v>
      </c>
      <c r="L196" s="120">
        <f t="shared" ca="1" si="61"/>
        <v>63763.556372363077</v>
      </c>
      <c r="M196" s="122">
        <f t="shared" ca="1" si="62"/>
        <v>3062483.0736954939</v>
      </c>
      <c r="N196" s="70">
        <f t="shared" ca="1" si="63"/>
        <v>2.0827691231831237E-2</v>
      </c>
      <c r="O196" s="120">
        <f t="shared" ca="1" si="64"/>
        <v>62483.073695493687</v>
      </c>
    </row>
    <row r="197" spans="1:15" ht="16.5" customHeight="1">
      <c r="A197" s="47">
        <v>24</v>
      </c>
      <c r="B197" s="133" t="str">
        <f>HYPERLINK("#'" &amp; TEXT(투자전략!$G$1+23, "[$-ko-KR]yyyy.mm.dd") &amp; "'!A121:O145", TEXT(투자전략!$G$1+23, "[$-ko-KR]yyyy.mm.dd"))</f>
        <v>2022.12.24</v>
      </c>
      <c r="C197" s="118">
        <f t="shared" ca="1" si="52"/>
        <v>3000000</v>
      </c>
      <c r="D197" s="122">
        <f t="shared" ca="1" si="53"/>
        <v>3029826.1877369457</v>
      </c>
      <c r="E197" s="70">
        <f t="shared" ca="1" si="54"/>
        <v>9.942062578981942E-3</v>
      </c>
      <c r="F197" s="120">
        <f t="shared" ca="1" si="55"/>
        <v>29826.187736945823</v>
      </c>
      <c r="G197" s="122">
        <f t="shared" ca="1" si="56"/>
        <v>3029826.1877369457</v>
      </c>
      <c r="H197" s="70">
        <f t="shared" ca="1" si="57"/>
        <v>9.942062578981942E-3</v>
      </c>
      <c r="I197" s="120">
        <f t="shared" ca="1" si="58"/>
        <v>29826.187736945823</v>
      </c>
      <c r="J197" s="122">
        <f t="shared" ca="1" si="59"/>
        <v>3029826.1877369457</v>
      </c>
      <c r="K197" s="70">
        <f t="shared" ca="1" si="60"/>
        <v>9.942062578981942E-3</v>
      </c>
      <c r="L197" s="120">
        <f t="shared" ca="1" si="61"/>
        <v>29826.187736945823</v>
      </c>
      <c r="M197" s="122">
        <f t="shared" ca="1" si="62"/>
        <v>3026394.8590612463</v>
      </c>
      <c r="N197" s="70">
        <f t="shared" ca="1" si="63"/>
        <v>8.7982863537487913E-3</v>
      </c>
      <c r="O197" s="120">
        <f t="shared" ca="1" si="64"/>
        <v>26394.85906124637</v>
      </c>
    </row>
    <row r="198" spans="1:15" ht="16.5" customHeight="1">
      <c r="A198" s="47">
        <v>25</v>
      </c>
      <c r="B198" s="133" t="str">
        <f>HYPERLINK("#'" &amp; TEXT(투자전략!$G$1+24, "[$-ko-KR]yyyy.mm.dd") &amp; "'!A121:O145", TEXT(투자전략!$G$1+24, "[$-ko-KR]yyyy.mm.dd"))</f>
        <v>2022.12.25</v>
      </c>
      <c r="C198" s="118">
        <f t="shared" ca="1" si="52"/>
        <v>3000000</v>
      </c>
      <c r="D198" s="122">
        <f t="shared" ca="1" si="53"/>
        <v>2987497.8715660609</v>
      </c>
      <c r="E198" s="70">
        <f t="shared" ca="1" si="54"/>
        <v>-4.167376144646317E-3</v>
      </c>
      <c r="F198" s="120">
        <f t="shared" ca="1" si="55"/>
        <v>-12502.128433938946</v>
      </c>
      <c r="G198" s="122">
        <f t="shared" ca="1" si="56"/>
        <v>2961157.4891142976</v>
      </c>
      <c r="H198" s="70">
        <f t="shared" ca="1" si="57"/>
        <v>-1.2947503628567582E-2</v>
      </c>
      <c r="I198" s="120">
        <f t="shared" ca="1" si="58"/>
        <v>-38842.510885702752</v>
      </c>
      <c r="J198" s="122">
        <f t="shared" ca="1" si="59"/>
        <v>2971485.6206489331</v>
      </c>
      <c r="K198" s="70">
        <f t="shared" ca="1" si="60"/>
        <v>-9.5047931170221863E-3</v>
      </c>
      <c r="L198" s="120">
        <f t="shared" ca="1" si="61"/>
        <v>-28514.379351066556</v>
      </c>
      <c r="M198" s="122">
        <f t="shared" ca="1" si="62"/>
        <v>2938721.0485402993</v>
      </c>
      <c r="N198" s="70">
        <f t="shared" ca="1" si="63"/>
        <v>-2.0426317153233547E-2</v>
      </c>
      <c r="O198" s="120">
        <f t="shared" ca="1" si="64"/>
        <v>-61278.951459700649</v>
      </c>
    </row>
    <row r="199" spans="1:15" ht="16.5" customHeight="1">
      <c r="A199" s="47">
        <v>26</v>
      </c>
      <c r="B199" s="133" t="str">
        <f>HYPERLINK("#'" &amp; TEXT(투자전략!$G$1+25, "[$-ko-KR]yyyy.mm.dd") &amp; "'!A121:O145", TEXT(투자전략!$G$1+25, "[$-ko-KR]yyyy.mm.dd"))</f>
        <v>2022.12.26</v>
      </c>
      <c r="C199" s="118">
        <f t="shared" ca="1" si="52"/>
        <v>3000000</v>
      </c>
      <c r="D199" s="122">
        <f t="shared" ca="1" si="53"/>
        <v>2972953.1402337356</v>
      </c>
      <c r="E199" s="70">
        <f t="shared" ca="1" si="54"/>
        <v>-9.0156199220881392E-3</v>
      </c>
      <c r="F199" s="120">
        <f t="shared" ca="1" si="55"/>
        <v>-27046.859766264417</v>
      </c>
      <c r="G199" s="122">
        <f t="shared" ca="1" si="56"/>
        <v>3000000</v>
      </c>
      <c r="H199" s="70">
        <f t="shared" ca="1" si="57"/>
        <v>0</v>
      </c>
      <c r="I199" s="120">
        <f t="shared" ca="1" si="58"/>
        <v>0</v>
      </c>
      <c r="J199" s="122">
        <f t="shared" ca="1" si="59"/>
        <v>3000000</v>
      </c>
      <c r="K199" s="70">
        <f t="shared" ca="1" si="60"/>
        <v>0</v>
      </c>
      <c r="L199" s="120">
        <f t="shared" ca="1" si="61"/>
        <v>0</v>
      </c>
      <c r="M199" s="122">
        <f t="shared" ca="1" si="62"/>
        <v>3000000</v>
      </c>
      <c r="N199" s="70">
        <f t="shared" ca="1" si="63"/>
        <v>0</v>
      </c>
      <c r="O199" s="120">
        <f t="shared" ca="1" si="64"/>
        <v>0</v>
      </c>
    </row>
    <row r="200" spans="1:15" ht="16.5" customHeight="1">
      <c r="A200" s="47">
        <v>27</v>
      </c>
      <c r="B200" s="133" t="str">
        <f>HYPERLINK("#'" &amp; TEXT(투자전략!$G$1+26, "[$-ko-KR]yyyy.mm.dd") &amp; "'!A121:O145", TEXT(투자전략!$G$1+26, "[$-ko-KR]yyyy.mm.dd"))</f>
        <v>2022.12.27</v>
      </c>
      <c r="C200" s="118" t="str">
        <f t="shared" ca="1" si="52"/>
        <v/>
      </c>
      <c r="D200" s="122" t="str">
        <f t="shared" ca="1" si="53"/>
        <v/>
      </c>
      <c r="E200" s="70" t="str">
        <f t="shared" ca="1" si="54"/>
        <v/>
      </c>
      <c r="F200" s="120" t="str">
        <f t="shared" ca="1" si="55"/>
        <v/>
      </c>
      <c r="G200" s="122" t="str">
        <f t="shared" ca="1" si="56"/>
        <v/>
      </c>
      <c r="H200" s="70" t="str">
        <f t="shared" ca="1" si="57"/>
        <v/>
      </c>
      <c r="I200" s="120" t="str">
        <f t="shared" ca="1" si="58"/>
        <v/>
      </c>
      <c r="J200" s="122" t="str">
        <f t="shared" ca="1" si="59"/>
        <v/>
      </c>
      <c r="K200" s="70" t="str">
        <f t="shared" ca="1" si="60"/>
        <v/>
      </c>
      <c r="L200" s="120" t="str">
        <f t="shared" ca="1" si="61"/>
        <v/>
      </c>
      <c r="M200" s="122" t="str">
        <f t="shared" ca="1" si="62"/>
        <v/>
      </c>
      <c r="N200" s="70" t="str">
        <f t="shared" ca="1" si="63"/>
        <v/>
      </c>
      <c r="O200" s="120" t="str">
        <f t="shared" ca="1" si="64"/>
        <v/>
      </c>
    </row>
    <row r="201" spans="1:15" ht="16.5" customHeight="1" thickBot="1">
      <c r="A201" s="48">
        <v>28</v>
      </c>
      <c r="B201" s="134" t="str">
        <f>HYPERLINK("#'" &amp; TEXT(투자전략!$G$1+27, "[$-ko-KR]yyyy.mm.dd") &amp; "'!A121:O145", TEXT(투자전략!$G$1+27, "[$-ko-KR]yyyy.mm.dd"))</f>
        <v>2022.12.28</v>
      </c>
      <c r="C201" s="119" t="str">
        <f t="shared" ca="1" si="52"/>
        <v/>
      </c>
      <c r="D201" s="123" t="str">
        <f t="shared" ca="1" si="53"/>
        <v/>
      </c>
      <c r="E201" s="72" t="str">
        <f t="shared" ca="1" si="54"/>
        <v/>
      </c>
      <c r="F201" s="121" t="str">
        <f t="shared" ca="1" si="55"/>
        <v/>
      </c>
      <c r="G201" s="123" t="str">
        <f t="shared" ca="1" si="56"/>
        <v/>
      </c>
      <c r="H201" s="72" t="str">
        <f t="shared" ca="1" si="57"/>
        <v/>
      </c>
      <c r="I201" s="121" t="str">
        <f t="shared" ca="1" si="58"/>
        <v/>
      </c>
      <c r="J201" s="123" t="str">
        <f t="shared" ca="1" si="59"/>
        <v/>
      </c>
      <c r="K201" s="72" t="str">
        <f t="shared" ca="1" si="60"/>
        <v/>
      </c>
      <c r="L201" s="121" t="str">
        <f t="shared" ca="1" si="61"/>
        <v/>
      </c>
      <c r="M201" s="123" t="str">
        <f t="shared" ca="1" si="62"/>
        <v/>
      </c>
      <c r="N201" s="72" t="str">
        <f t="shared" ca="1" si="63"/>
        <v/>
      </c>
      <c r="O201" s="121" t="str">
        <f t="shared" ca="1" si="64"/>
        <v/>
      </c>
    </row>
    <row r="202" spans="1:15" ht="16.5" customHeight="1">
      <c r="A202" s="105">
        <v>29</v>
      </c>
      <c r="B202" s="132" t="str">
        <f>HYPERLINK("#'" &amp; TEXT(투자전략!$G$1+28, "[$-ko-KR]yyyy.mm.dd") &amp; "'!A121:O145", TEXT(투자전략!$G$1+28, "[$-ko-KR]yyyy.mm.dd"))</f>
        <v>2022.12.29</v>
      </c>
      <c r="C202" s="118" t="str">
        <f t="shared" ca="1" si="52"/>
        <v/>
      </c>
      <c r="D202" s="122" t="str">
        <f t="shared" ca="1" si="53"/>
        <v/>
      </c>
      <c r="E202" s="70" t="str">
        <f t="shared" ca="1" si="54"/>
        <v/>
      </c>
      <c r="F202" s="120" t="str">
        <f t="shared" ca="1" si="55"/>
        <v/>
      </c>
      <c r="G202" s="122" t="str">
        <f t="shared" ca="1" si="56"/>
        <v/>
      </c>
      <c r="H202" s="70" t="str">
        <f t="shared" ca="1" si="57"/>
        <v/>
      </c>
      <c r="I202" s="120" t="str">
        <f t="shared" ca="1" si="58"/>
        <v/>
      </c>
      <c r="J202" s="122" t="str">
        <f t="shared" ca="1" si="59"/>
        <v/>
      </c>
      <c r="K202" s="70" t="str">
        <f t="shared" ca="1" si="60"/>
        <v/>
      </c>
      <c r="L202" s="120" t="str">
        <f t="shared" ca="1" si="61"/>
        <v/>
      </c>
      <c r="M202" s="122" t="str">
        <f t="shared" ca="1" si="62"/>
        <v/>
      </c>
      <c r="N202" s="70" t="str">
        <f t="shared" ca="1" si="63"/>
        <v/>
      </c>
      <c r="O202" s="120" t="str">
        <f t="shared" ca="1" si="64"/>
        <v/>
      </c>
    </row>
    <row r="203" spans="1:15" ht="16.5" customHeight="1">
      <c r="A203" s="105">
        <v>30</v>
      </c>
      <c r="B203" s="133" t="str">
        <f>HYPERLINK("#'" &amp; TEXT(투자전략!$G$1+29, "[$-ko-KR]yyyy.mm.dd") &amp; "'!A121:O145", TEXT(투자전략!$G$1+29, "[$-ko-KR]yyyy.mm.dd"))</f>
        <v>2022.12.30</v>
      </c>
      <c r="C203" s="118" t="str">
        <f t="shared" ca="1" si="52"/>
        <v/>
      </c>
      <c r="D203" s="122" t="str">
        <f t="shared" ca="1" si="53"/>
        <v/>
      </c>
      <c r="E203" s="70" t="str">
        <f t="shared" ca="1" si="54"/>
        <v/>
      </c>
      <c r="F203" s="120" t="str">
        <f t="shared" ca="1" si="55"/>
        <v/>
      </c>
      <c r="G203" s="122" t="str">
        <f t="shared" ca="1" si="56"/>
        <v/>
      </c>
      <c r="H203" s="70" t="str">
        <f t="shared" ca="1" si="57"/>
        <v/>
      </c>
      <c r="I203" s="120" t="str">
        <f t="shared" ca="1" si="58"/>
        <v/>
      </c>
      <c r="J203" s="122" t="str">
        <f t="shared" ca="1" si="59"/>
        <v/>
      </c>
      <c r="K203" s="70" t="str">
        <f t="shared" ca="1" si="60"/>
        <v/>
      </c>
      <c r="L203" s="120" t="str">
        <f t="shared" ca="1" si="61"/>
        <v/>
      </c>
      <c r="M203" s="122" t="str">
        <f t="shared" ca="1" si="62"/>
        <v/>
      </c>
      <c r="N203" s="70" t="str">
        <f t="shared" ca="1" si="63"/>
        <v/>
      </c>
      <c r="O203" s="120" t="str">
        <f t="shared" ca="1" si="64"/>
        <v/>
      </c>
    </row>
    <row r="204" spans="1:15" ht="16.5" customHeight="1" thickBot="1">
      <c r="A204" s="105">
        <v>31</v>
      </c>
      <c r="B204" s="133" t="str">
        <f>HYPERLINK("#'" &amp; TEXT(투자전략!$G$1+30, "[$-ko-KR]yyyy.mm.dd") &amp; "'!A121:O145", TEXT(투자전략!$G$1+30, "[$-ko-KR]yyyy.mm.dd"))</f>
        <v>2022.12.31</v>
      </c>
      <c r="C204" s="119" t="str">
        <f t="shared" ca="1" si="52"/>
        <v/>
      </c>
      <c r="D204" s="123" t="str">
        <f t="shared" ca="1" si="53"/>
        <v/>
      </c>
      <c r="E204" s="72" t="str">
        <f t="shared" ca="1" si="54"/>
        <v/>
      </c>
      <c r="F204" s="121" t="str">
        <f t="shared" ca="1" si="55"/>
        <v/>
      </c>
      <c r="G204" s="123" t="str">
        <f t="shared" ca="1" si="56"/>
        <v/>
      </c>
      <c r="H204" s="72" t="str">
        <f t="shared" ca="1" si="57"/>
        <v/>
      </c>
      <c r="I204" s="121" t="str">
        <f t="shared" ca="1" si="58"/>
        <v/>
      </c>
      <c r="J204" s="123" t="str">
        <f t="shared" ca="1" si="59"/>
        <v/>
      </c>
      <c r="K204" s="72" t="str">
        <f t="shared" ca="1" si="60"/>
        <v/>
      </c>
      <c r="L204" s="121" t="str">
        <f t="shared" ca="1" si="61"/>
        <v/>
      </c>
      <c r="M204" s="123" t="str">
        <f t="shared" ca="1" si="62"/>
        <v/>
      </c>
      <c r="N204" s="72" t="str">
        <f t="shared" ca="1" si="63"/>
        <v/>
      </c>
      <c r="O204" s="121" t="str">
        <f t="shared" ca="1" si="64"/>
        <v/>
      </c>
    </row>
    <row r="205" spans="1:15" ht="16.5" customHeight="1" thickBot="1">
      <c r="A205" s="144" t="s">
        <v>273</v>
      </c>
      <c r="B205" s="146"/>
      <c r="C205" s="116" t="s">
        <v>268</v>
      </c>
      <c r="D205" s="9" t="s">
        <v>269</v>
      </c>
      <c r="E205" s="63" t="s">
        <v>270</v>
      </c>
      <c r="F205" s="64" t="s">
        <v>271</v>
      </c>
      <c r="G205" s="9" t="s">
        <v>269</v>
      </c>
      <c r="H205" s="63" t="s">
        <v>270</v>
      </c>
      <c r="I205" s="64" t="s">
        <v>271</v>
      </c>
      <c r="J205" s="9" t="s">
        <v>269</v>
      </c>
      <c r="K205" s="63" t="s">
        <v>270</v>
      </c>
      <c r="L205" s="64" t="s">
        <v>271</v>
      </c>
      <c r="M205" s="9" t="s">
        <v>269</v>
      </c>
      <c r="N205" s="63" t="s">
        <v>270</v>
      </c>
      <c r="O205" s="64" t="s">
        <v>271</v>
      </c>
    </row>
    <row r="206" spans="1:15" ht="16.5" customHeight="1" thickBot="1">
      <c r="A206" s="150"/>
      <c r="B206" s="152"/>
      <c r="C206" s="119">
        <f ca="1">SUM(C174:C204)</f>
        <v>78000000</v>
      </c>
      <c r="D206" s="123">
        <f ca="1">SUM(D174:D204)</f>
        <v>77769135.817427099</v>
      </c>
      <c r="E206" s="72">
        <f ca="1">IFERROR(F206 / (SUM($C174:$C204) / COUNT($C174:$C204)), 0)</f>
        <v>-7.6954727524301825E-2</v>
      </c>
      <c r="F206" s="121">
        <f ca="1">SUM(F174:F204)</f>
        <v>-230864.18257290547</v>
      </c>
      <c r="G206" s="123">
        <f ca="1">SUM(G174:G204)</f>
        <v>77797273.414336145</v>
      </c>
      <c r="H206" s="72">
        <f ca="1">IFERROR(I206 / (SUM($C174:$C204) / COUNT($C174:$C204)), 0)</f>
        <v>-6.7575528554617376E-2</v>
      </c>
      <c r="I206" s="121">
        <f ca="1">SUM(I174:I204)</f>
        <v>-202726.58566385211</v>
      </c>
      <c r="J206" s="123">
        <f ca="1">SUM(J174:J204)</f>
        <v>77885848.785854802</v>
      </c>
      <c r="K206" s="72">
        <f ca="1">IFERROR(L206 / (SUM($C174:$C204) / COUNT($C174:$C204)), 0)</f>
        <v>-3.80504047150622E-2</v>
      </c>
      <c r="L206" s="121">
        <f ca="1">SUM(L174:L204)</f>
        <v>-114151.2141451866</v>
      </c>
      <c r="M206" s="123">
        <f ca="1">SUM(M174:M204)</f>
        <v>77695482.884454653</v>
      </c>
      <c r="N206" s="72">
        <f ca="1">IFERROR(O206 / (SUM($C174:$C204) / COUNT($C174:$C204)), 0)</f>
        <v>-0.10150570518177848</v>
      </c>
      <c r="O206" s="121">
        <f ca="1">SUM(O174:O204)</f>
        <v>-304517.11554533546</v>
      </c>
    </row>
    <row r="208" spans="1:15" ht="16.5" customHeight="1" thickBot="1"/>
    <row r="209" spans="1:15" ht="16.5" customHeight="1" thickBot="1">
      <c r="A209" s="135" t="str">
        <f>TEXT(투자전략!$G$1, "[$-ko-KR]yyyy년 mm월 ") &amp; "[동전코인] 전일대비 상승률 Bottom20 월말결산"</f>
        <v>2022년 12월 [동전코인] 전일대비 상승률 Bottom20 월말결산</v>
      </c>
      <c r="B209" s="136"/>
      <c r="C209" s="136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7"/>
    </row>
    <row r="210" spans="1:15" ht="16.5" customHeight="1" thickBot="1">
      <c r="A210" s="196" t="s">
        <v>274</v>
      </c>
      <c r="B210" s="150" t="s">
        <v>272</v>
      </c>
      <c r="C210" s="152"/>
      <c r="D210" s="150" t="s">
        <v>264</v>
      </c>
      <c r="E210" s="151"/>
      <c r="F210" s="152"/>
      <c r="G210" s="150" t="s">
        <v>265</v>
      </c>
      <c r="H210" s="151"/>
      <c r="I210" s="152"/>
      <c r="J210" s="150" t="s">
        <v>266</v>
      </c>
      <c r="K210" s="151"/>
      <c r="L210" s="152"/>
      <c r="M210" s="150" t="s">
        <v>267</v>
      </c>
      <c r="N210" s="151"/>
      <c r="O210" s="152"/>
    </row>
    <row r="211" spans="1:15" ht="16.5" customHeight="1" thickBot="1">
      <c r="A211" s="200"/>
      <c r="B211" s="46" t="s">
        <v>262</v>
      </c>
      <c r="C211" s="46" t="s">
        <v>42</v>
      </c>
      <c r="D211" s="105" t="s">
        <v>263</v>
      </c>
      <c r="E211" s="106" t="s">
        <v>40</v>
      </c>
      <c r="F211" s="81" t="s">
        <v>41</v>
      </c>
      <c r="G211" s="105" t="s">
        <v>263</v>
      </c>
      <c r="H211" s="106" t="s">
        <v>40</v>
      </c>
      <c r="I211" s="81" t="s">
        <v>41</v>
      </c>
      <c r="J211" s="105" t="s">
        <v>263</v>
      </c>
      <c r="K211" s="106" t="s">
        <v>40</v>
      </c>
      <c r="L211" s="81" t="s">
        <v>41</v>
      </c>
      <c r="M211" s="105" t="s">
        <v>263</v>
      </c>
      <c r="N211" s="106" t="s">
        <v>40</v>
      </c>
      <c r="O211" s="81" t="s">
        <v>41</v>
      </c>
    </row>
    <row r="212" spans="1:15" ht="16.5" customHeight="1">
      <c r="A212" s="46">
        <v>1</v>
      </c>
      <c r="B212" s="132" t="str">
        <f>HYPERLINK("#'" &amp; TEXT(투자전략!$G$1+0, "[$-ko-KR]yyyy.mm.dd") &amp; "'!A148:O172", TEXT(투자전략!$G$1+0, "[$-ko-KR]yyyy.mm.dd"))</f>
        <v>2022.12.01</v>
      </c>
      <c r="C212" s="117">
        <f ca="1">IFERROR(COUNTA(INDIRECT($B212&amp;"!A152:A171")) * INDIRECT($B212&amp;"!B172"), "")</f>
        <v>3000000</v>
      </c>
      <c r="D212" s="125">
        <f ca="1">IFERROR($C212 * (1 + E212), "")</f>
        <v>3038045.4889271217</v>
      </c>
      <c r="E212" s="69">
        <f ca="1">IFERROR(INDIRECT($B212&amp;"!E172"), "")</f>
        <v>1.2681829642373854E-2</v>
      </c>
      <c r="F212" s="124">
        <f ca="1">IFERROR(INDIRECT($B212&amp;"!F172"), "")</f>
        <v>38045.488927121572</v>
      </c>
      <c r="G212" s="125">
        <f ca="1">IFERROR($C212 * (1 + H212), "")</f>
        <v>3038045.4889271217</v>
      </c>
      <c r="H212" s="69">
        <f ca="1">IFERROR(INDIRECT($B212&amp;"!H172"), "")</f>
        <v>1.2681829642373854E-2</v>
      </c>
      <c r="I212" s="124">
        <f ca="1">IFERROR(INDIRECT($B212&amp;"!I172"), "")</f>
        <v>38045.488927121572</v>
      </c>
      <c r="J212" s="125">
        <f ca="1">IFERROR($C212 * (1 + K212), "")</f>
        <v>3038045.4889271217</v>
      </c>
      <c r="K212" s="69">
        <f ca="1">IFERROR(INDIRECT($B212&amp;"!K172"), "")</f>
        <v>1.2681829642373854E-2</v>
      </c>
      <c r="L212" s="124">
        <f ca="1">IFERROR(INDIRECT($B212&amp;"!L172"), "")</f>
        <v>38045.488927121572</v>
      </c>
      <c r="M212" s="125">
        <f ca="1">IFERROR($C212 * (1 + N212), "")</f>
        <v>2960084.0642972686</v>
      </c>
      <c r="N212" s="69">
        <f ca="1">IFERROR(INDIRECT($B212&amp;"!N172"), "")</f>
        <v>-1.3305311900910463E-2</v>
      </c>
      <c r="O212" s="124">
        <f ca="1">IFERROR(INDIRECT($B212&amp;"!O172"), "")</f>
        <v>-39915.935702731396</v>
      </c>
    </row>
    <row r="213" spans="1:15" ht="16.5" customHeight="1">
      <c r="A213" s="47">
        <v>2</v>
      </c>
      <c r="B213" s="133" t="str">
        <f>HYPERLINK("#'" &amp; TEXT(투자전략!$G$1+1, "[$-ko-KR]yyyy.mm.dd") &amp; "'!A148:O172", TEXT(투자전략!$G$1+1, "[$-ko-KR]yyyy.mm.dd"))</f>
        <v>2022.12.02</v>
      </c>
      <c r="C213" s="118">
        <f t="shared" ref="C213:C242" ca="1" si="65">IFERROR(COUNTA(INDIRECT($B213&amp;"!A152:A171")) * INDIRECT($B213&amp;"!B172"), "")</f>
        <v>3000000</v>
      </c>
      <c r="D213" s="122">
        <f t="shared" ref="D213:D242" ca="1" si="66">IFERROR($C213 * (1 + E213), "")</f>
        <v>2980632.6423356701</v>
      </c>
      <c r="E213" s="70">
        <f t="shared" ref="E213:E242" ca="1" si="67">IFERROR(INDIRECT($B213&amp;"!E172"), "")</f>
        <v>-6.4557858881098733E-3</v>
      </c>
      <c r="F213" s="120">
        <f t="shared" ref="F213:F242" ca="1" si="68">IFERROR(INDIRECT($B213&amp;"!F172"), "")</f>
        <v>-19367.357664329618</v>
      </c>
      <c r="G213" s="122">
        <f t="shared" ref="G213:G242" ca="1" si="69">IFERROR($C213 * (1 + H213), "")</f>
        <v>2992531.1440080605</v>
      </c>
      <c r="H213" s="70">
        <f t="shared" ref="H213:H242" ca="1" si="70">IFERROR(INDIRECT($B213&amp;"!H172"), "")</f>
        <v>-2.4896186639797487E-3</v>
      </c>
      <c r="I213" s="120">
        <f t="shared" ref="I213:I242" ca="1" si="71">IFERROR(INDIRECT($B213&amp;"!I172"), "")</f>
        <v>-7468.8559919392446</v>
      </c>
      <c r="J213" s="122">
        <f t="shared" ref="J213:J242" ca="1" si="72">IFERROR($C213 * (1 + K213), "")</f>
        <v>3010680.3345931545</v>
      </c>
      <c r="K213" s="70">
        <f t="shared" ref="K213:K242" ca="1" si="73">IFERROR(INDIRECT($B213&amp;"!K172"), "")</f>
        <v>3.560111531051438E-3</v>
      </c>
      <c r="L213" s="120">
        <f t="shared" ref="L213:L242" ca="1" si="74">IFERROR(INDIRECT($B213&amp;"!L172"), "")</f>
        <v>10680.33459315431</v>
      </c>
      <c r="M213" s="122">
        <f t="shared" ref="M213:M242" ca="1" si="75">IFERROR($C213 * (1 + N213), "")</f>
        <v>3015088.7016941928</v>
      </c>
      <c r="N213" s="70">
        <f t="shared" ref="N213:N242" ca="1" si="76">IFERROR(INDIRECT($B213&amp;"!N172"), "")</f>
        <v>5.0295672313975005E-3</v>
      </c>
      <c r="O213" s="120">
        <f t="shared" ref="O213:O242" ca="1" si="77">IFERROR(INDIRECT($B213&amp;"!O172"), "")</f>
        <v>15088.701694192501</v>
      </c>
    </row>
    <row r="214" spans="1:15" ht="16.5" customHeight="1">
      <c r="A214" s="47">
        <v>3</v>
      </c>
      <c r="B214" s="133" t="str">
        <f>HYPERLINK("#'" &amp; TEXT(투자전략!$G$1+2, "[$-ko-KR]yyyy.mm.dd") &amp; "'!A148:O172", TEXT(투자전략!$G$1+2, "[$-ko-KR]yyyy.mm.dd"))</f>
        <v>2022.12.03</v>
      </c>
      <c r="C214" s="118">
        <f t="shared" ca="1" si="65"/>
        <v>3000000</v>
      </c>
      <c r="D214" s="122">
        <f t="shared" ca="1" si="66"/>
        <v>3011528.6150568919</v>
      </c>
      <c r="E214" s="70">
        <f t="shared" ca="1" si="67"/>
        <v>3.8428716856306862E-3</v>
      </c>
      <c r="F214" s="120">
        <f t="shared" ca="1" si="68"/>
        <v>11528.615056892058</v>
      </c>
      <c r="G214" s="122">
        <f t="shared" ca="1" si="69"/>
        <v>3008806.0304245888</v>
      </c>
      <c r="H214" s="70">
        <f t="shared" ca="1" si="70"/>
        <v>2.9353434748629636E-3</v>
      </c>
      <c r="I214" s="120">
        <f t="shared" ca="1" si="71"/>
        <v>8806.0304245888892</v>
      </c>
      <c r="J214" s="122">
        <f t="shared" ca="1" si="72"/>
        <v>3043939.9703347567</v>
      </c>
      <c r="K214" s="70">
        <f t="shared" ca="1" si="73"/>
        <v>1.4646656778252234E-2</v>
      </c>
      <c r="L214" s="120">
        <f t="shared" ca="1" si="74"/>
        <v>43939.970334756705</v>
      </c>
      <c r="M214" s="122">
        <f t="shared" ca="1" si="75"/>
        <v>3030408.246027343</v>
      </c>
      <c r="N214" s="70">
        <f t="shared" ca="1" si="76"/>
        <v>1.0136082009114335E-2</v>
      </c>
      <c r="O214" s="120">
        <f t="shared" ca="1" si="77"/>
        <v>30408.246027343008</v>
      </c>
    </row>
    <row r="215" spans="1:15" ht="16.5" customHeight="1">
      <c r="A215" s="47">
        <v>4</v>
      </c>
      <c r="B215" s="133" t="str">
        <f>HYPERLINK("#'" &amp; TEXT(투자전략!$G$1+3, "[$-ko-KR]yyyy.mm.dd") &amp; "'!A148:O172", TEXT(투자전략!$G$1+3, "[$-ko-KR]yyyy.mm.dd"))</f>
        <v>2022.12.04</v>
      </c>
      <c r="C215" s="118">
        <f t="shared" ca="1" si="65"/>
        <v>3000000</v>
      </c>
      <c r="D215" s="122">
        <f t="shared" ca="1" si="66"/>
        <v>3020146.9011832834</v>
      </c>
      <c r="E215" s="70">
        <f t="shared" ca="1" si="67"/>
        <v>6.7156337277612579E-3</v>
      </c>
      <c r="F215" s="120">
        <f t="shared" ca="1" si="68"/>
        <v>20146.901183283771</v>
      </c>
      <c r="G215" s="122">
        <f t="shared" ca="1" si="69"/>
        <v>3013146.676400749</v>
      </c>
      <c r="H215" s="70">
        <f t="shared" ca="1" si="70"/>
        <v>4.3822254669163719E-3</v>
      </c>
      <c r="I215" s="120">
        <f t="shared" ca="1" si="71"/>
        <v>13146.676400749109</v>
      </c>
      <c r="J215" s="122">
        <f t="shared" ca="1" si="72"/>
        <v>3005180.0911693447</v>
      </c>
      <c r="K215" s="70">
        <f t="shared" ca="1" si="73"/>
        <v>1.726697056448236E-3</v>
      </c>
      <c r="L215" s="120">
        <f t="shared" ca="1" si="74"/>
        <v>5180.0911693447088</v>
      </c>
      <c r="M215" s="122">
        <f t="shared" ca="1" si="75"/>
        <v>3007600.3369161943</v>
      </c>
      <c r="N215" s="70">
        <f t="shared" ca="1" si="76"/>
        <v>2.5334456387313383E-3</v>
      </c>
      <c r="O215" s="120">
        <f t="shared" ca="1" si="77"/>
        <v>7600.3369161940118</v>
      </c>
    </row>
    <row r="216" spans="1:15" ht="16.5" customHeight="1">
      <c r="A216" s="47">
        <v>5</v>
      </c>
      <c r="B216" s="133" t="str">
        <f>HYPERLINK("#'" &amp; TEXT(투자전략!$G$1+4, "[$-ko-KR]yyyy.mm.dd") &amp; "'!A148:O172", TEXT(투자전략!$G$1+4, "[$-ko-KR]yyyy.mm.dd"))</f>
        <v>2022.12.05</v>
      </c>
      <c r="C216" s="118">
        <f t="shared" ca="1" si="65"/>
        <v>3000000</v>
      </c>
      <c r="D216" s="122">
        <f t="shared" ca="1" si="66"/>
        <v>3017188.5225045825</v>
      </c>
      <c r="E216" s="70">
        <f t="shared" ca="1" si="67"/>
        <v>5.7295075015275122E-3</v>
      </c>
      <c r="F216" s="120">
        <f t="shared" ca="1" si="68"/>
        <v>17188.522504582539</v>
      </c>
      <c r="G216" s="122">
        <f t="shared" ca="1" si="69"/>
        <v>3017165.4033998521</v>
      </c>
      <c r="H216" s="70">
        <f t="shared" ca="1" si="70"/>
        <v>5.721801133283912E-3</v>
      </c>
      <c r="I216" s="120">
        <f t="shared" ca="1" si="71"/>
        <v>17165.403399851737</v>
      </c>
      <c r="J216" s="122">
        <f t="shared" ca="1" si="72"/>
        <v>3017092.0811908497</v>
      </c>
      <c r="K216" s="70">
        <f t="shared" ca="1" si="73"/>
        <v>5.6973603969499593E-3</v>
      </c>
      <c r="L216" s="120">
        <f t="shared" ca="1" si="74"/>
        <v>17092.08119084988</v>
      </c>
      <c r="M216" s="122">
        <f t="shared" ca="1" si="75"/>
        <v>3006539.268141984</v>
      </c>
      <c r="N216" s="70">
        <f t="shared" ca="1" si="76"/>
        <v>2.1797560473279564E-3</v>
      </c>
      <c r="O216" s="120">
        <f t="shared" ca="1" si="77"/>
        <v>6539.2681419838682</v>
      </c>
    </row>
    <row r="217" spans="1:15" ht="16.5" customHeight="1">
      <c r="A217" s="47">
        <v>6</v>
      </c>
      <c r="B217" s="133" t="str">
        <f>HYPERLINK("#'" &amp; TEXT(투자전략!$G$1+5, "[$-ko-KR]yyyy.mm.dd") &amp; "'!A148:O172", TEXT(투자전략!$G$1+5, "[$-ko-KR]yyyy.mm.dd"))</f>
        <v>2022.12.06</v>
      </c>
      <c r="C217" s="118">
        <f t="shared" ca="1" si="65"/>
        <v>3000000</v>
      </c>
      <c r="D217" s="122">
        <f t="shared" ca="1" si="66"/>
        <v>3009395.8298664899</v>
      </c>
      <c r="E217" s="70">
        <f t="shared" ca="1" si="67"/>
        <v>3.1319432888299941E-3</v>
      </c>
      <c r="F217" s="120">
        <f t="shared" ca="1" si="68"/>
        <v>9395.8298664899867</v>
      </c>
      <c r="G217" s="122">
        <f t="shared" ca="1" si="69"/>
        <v>3007984.5968185388</v>
      </c>
      <c r="H217" s="70">
        <f t="shared" ca="1" si="70"/>
        <v>2.6615322728461995E-3</v>
      </c>
      <c r="I217" s="120">
        <f t="shared" ca="1" si="71"/>
        <v>7984.5968185385946</v>
      </c>
      <c r="J217" s="122">
        <f t="shared" ca="1" si="72"/>
        <v>3004341.5651220805</v>
      </c>
      <c r="K217" s="70">
        <f t="shared" ca="1" si="73"/>
        <v>1.4471883740268658E-3</v>
      </c>
      <c r="L217" s="120">
        <f t="shared" ca="1" si="74"/>
        <v>4341.5651220805958</v>
      </c>
      <c r="M217" s="122">
        <f t="shared" ca="1" si="75"/>
        <v>2994345.894124547</v>
      </c>
      <c r="N217" s="70">
        <f t="shared" ca="1" si="76"/>
        <v>-1.8847019584843458E-3</v>
      </c>
      <c r="O217" s="120">
        <f t="shared" ca="1" si="77"/>
        <v>-5654.105875453035</v>
      </c>
    </row>
    <row r="218" spans="1:15" ht="16.5" customHeight="1" thickBot="1">
      <c r="A218" s="48">
        <v>7</v>
      </c>
      <c r="B218" s="134" t="str">
        <f>HYPERLINK("#'" &amp; TEXT(투자전략!$G$1+6, "[$-ko-KR]yyyy.mm.dd") &amp; "'!A148:O172", TEXT(투자전략!$G$1+6, "[$-ko-KR]yyyy.mm.dd"))</f>
        <v>2022.12.07</v>
      </c>
      <c r="C218" s="118">
        <f t="shared" ca="1" si="65"/>
        <v>3000000</v>
      </c>
      <c r="D218" s="122">
        <f t="shared" ca="1" si="66"/>
        <v>2948201.604520041</v>
      </c>
      <c r="E218" s="70">
        <f t="shared" ca="1" si="67"/>
        <v>-1.7266131826653052E-2</v>
      </c>
      <c r="F218" s="120">
        <f t="shared" ca="1" si="68"/>
        <v>-49208.475705961187</v>
      </c>
      <c r="G218" s="122">
        <f t="shared" ca="1" si="69"/>
        <v>2866488.5911884131</v>
      </c>
      <c r="H218" s="70">
        <f t="shared" ca="1" si="70"/>
        <v>-4.4503802937195587E-2</v>
      </c>
      <c r="I218" s="120">
        <f t="shared" ca="1" si="71"/>
        <v>-126835.83837100743</v>
      </c>
      <c r="J218" s="122">
        <f t="shared" ca="1" si="72"/>
        <v>2897301.4030113705</v>
      </c>
      <c r="K218" s="70">
        <f t="shared" ca="1" si="73"/>
        <v>-3.4232865662876477E-2</v>
      </c>
      <c r="L218" s="120">
        <f t="shared" ca="1" si="74"/>
        <v>-97563.667139197947</v>
      </c>
      <c r="M218" s="122">
        <f t="shared" ca="1" si="75"/>
        <v>2875715.0691460115</v>
      </c>
      <c r="N218" s="70">
        <f t="shared" ca="1" si="76"/>
        <v>-4.1428310284662893E-2</v>
      </c>
      <c r="O218" s="120">
        <f t="shared" ca="1" si="77"/>
        <v>-118070.68431128925</v>
      </c>
    </row>
    <row r="219" spans="1:15" ht="16.5" customHeight="1">
      <c r="A219" s="46">
        <v>8</v>
      </c>
      <c r="B219" s="132" t="str">
        <f>HYPERLINK("#'" &amp; TEXT(투자전략!$G$1+7, "[$-ko-KR]yyyy.mm.dd") &amp; "'!A148:O172", TEXT(투자전략!$G$1+7, "[$-ko-KR]yyyy.mm.dd"))</f>
        <v>2022.12.08</v>
      </c>
      <c r="C219" s="117">
        <f t="shared" ca="1" si="65"/>
        <v>3000000</v>
      </c>
      <c r="D219" s="125">
        <f t="shared" ca="1" si="66"/>
        <v>2930926.505106173</v>
      </c>
      <c r="E219" s="69">
        <f t="shared" ca="1" si="67"/>
        <v>-2.3024498297942404E-2</v>
      </c>
      <c r="F219" s="124">
        <f t="shared" ca="1" si="68"/>
        <v>-69073.494893827214</v>
      </c>
      <c r="G219" s="125">
        <f t="shared" ca="1" si="69"/>
        <v>2991967.4309431282</v>
      </c>
      <c r="H219" s="69">
        <f t="shared" ca="1" si="70"/>
        <v>-2.6775230189573446E-3</v>
      </c>
      <c r="I219" s="124">
        <f t="shared" ca="1" si="71"/>
        <v>-7630.9406040284312</v>
      </c>
      <c r="J219" s="125">
        <f t="shared" ca="1" si="72"/>
        <v>2980618.6079928312</v>
      </c>
      <c r="K219" s="69">
        <f t="shared" ca="1" si="73"/>
        <v>-6.4604640023896492E-3</v>
      </c>
      <c r="L219" s="124">
        <f t="shared" ca="1" si="74"/>
        <v>-18412.322406810497</v>
      </c>
      <c r="M219" s="125">
        <f t="shared" ca="1" si="75"/>
        <v>2990209.9564199829</v>
      </c>
      <c r="N219" s="69">
        <f t="shared" ca="1" si="76"/>
        <v>-3.263347860005711E-3</v>
      </c>
      <c r="O219" s="124">
        <f t="shared" ca="1" si="77"/>
        <v>-9300.5414010162749</v>
      </c>
    </row>
    <row r="220" spans="1:15" ht="16.5" customHeight="1">
      <c r="A220" s="47">
        <v>9</v>
      </c>
      <c r="B220" s="133" t="str">
        <f>HYPERLINK("#'" &amp; TEXT(투자전략!$G$1+8, "[$-ko-KR]yyyy.mm.dd") &amp; "'!A148:O172", TEXT(투자전략!$G$1+8, "[$-ko-KR]yyyy.mm.dd"))</f>
        <v>2022.12.09</v>
      </c>
      <c r="C220" s="118">
        <f t="shared" ca="1" si="65"/>
        <v>3000000</v>
      </c>
      <c r="D220" s="122">
        <f t="shared" ca="1" si="66"/>
        <v>3027279.1523628472</v>
      </c>
      <c r="E220" s="70">
        <f t="shared" ca="1" si="67"/>
        <v>9.0930507876157852E-3</v>
      </c>
      <c r="F220" s="120">
        <f t="shared" ca="1" si="68"/>
        <v>27279.152362847351</v>
      </c>
      <c r="G220" s="122">
        <f t="shared" ca="1" si="69"/>
        <v>3038683.8515807739</v>
      </c>
      <c r="H220" s="70">
        <f t="shared" ca="1" si="70"/>
        <v>1.2894617193591241E-2</v>
      </c>
      <c r="I220" s="120">
        <f t="shared" ca="1" si="71"/>
        <v>38683.851580773728</v>
      </c>
      <c r="J220" s="122">
        <f t="shared" ca="1" si="72"/>
        <v>3038683.8515807739</v>
      </c>
      <c r="K220" s="70">
        <f t="shared" ca="1" si="73"/>
        <v>1.2894617193591241E-2</v>
      </c>
      <c r="L220" s="120">
        <f t="shared" ca="1" si="74"/>
        <v>38683.851580773728</v>
      </c>
      <c r="M220" s="122">
        <f t="shared" ca="1" si="75"/>
        <v>3026772.8003507713</v>
      </c>
      <c r="N220" s="70">
        <f t="shared" ca="1" si="76"/>
        <v>8.9242667835905641E-3</v>
      </c>
      <c r="O220" s="120">
        <f t="shared" ca="1" si="77"/>
        <v>26772.800350771682</v>
      </c>
    </row>
    <row r="221" spans="1:15" ht="16.5" customHeight="1">
      <c r="A221" s="47">
        <v>10</v>
      </c>
      <c r="B221" s="133" t="str">
        <f>HYPERLINK("#'" &amp; TEXT(투자전략!$G$1+9, "[$-ko-KR]yyyy.mm.dd") &amp; "'!A148:O172", TEXT(투자전략!$G$1+9, "[$-ko-KR]yyyy.mm.dd"))</f>
        <v>2022.12.10</v>
      </c>
      <c r="C221" s="118">
        <f t="shared" ca="1" si="65"/>
        <v>3000000</v>
      </c>
      <c r="D221" s="122">
        <f t="shared" ca="1" si="66"/>
        <v>3036881.3290510019</v>
      </c>
      <c r="E221" s="70">
        <f t="shared" ca="1" si="67"/>
        <v>1.2293776350334009E-2</v>
      </c>
      <c r="F221" s="120">
        <f t="shared" ca="1" si="68"/>
        <v>36881.329051002031</v>
      </c>
      <c r="G221" s="122">
        <f t="shared" ca="1" si="69"/>
        <v>3022754.4394342182</v>
      </c>
      <c r="H221" s="70">
        <f t="shared" ca="1" si="70"/>
        <v>7.5848131447393318E-3</v>
      </c>
      <c r="I221" s="120">
        <f t="shared" ca="1" si="71"/>
        <v>22754.439434217991</v>
      </c>
      <c r="J221" s="122">
        <f t="shared" ca="1" si="72"/>
        <v>3022754.4394342182</v>
      </c>
      <c r="K221" s="70">
        <f t="shared" ca="1" si="73"/>
        <v>7.5848131447393318E-3</v>
      </c>
      <c r="L221" s="120">
        <f t="shared" ca="1" si="74"/>
        <v>22754.439434217991</v>
      </c>
      <c r="M221" s="122">
        <f t="shared" ca="1" si="75"/>
        <v>3029634.8990781154</v>
      </c>
      <c r="N221" s="70">
        <f t="shared" ca="1" si="76"/>
        <v>9.8782996927052058E-3</v>
      </c>
      <c r="O221" s="120">
        <f t="shared" ca="1" si="77"/>
        <v>29634.899078115617</v>
      </c>
    </row>
    <row r="222" spans="1:15" ht="16.5" customHeight="1">
      <c r="A222" s="47">
        <v>11</v>
      </c>
      <c r="B222" s="133" t="str">
        <f>HYPERLINK("#'" &amp; TEXT(투자전략!$G$1+10, "[$-ko-KR]yyyy.mm.dd") &amp; "'!A148:O172", TEXT(투자전략!$G$1+10, "[$-ko-KR]yyyy.mm.dd"))</f>
        <v>2022.12.11</v>
      </c>
      <c r="C222" s="118">
        <f t="shared" ca="1" si="65"/>
        <v>3000000</v>
      </c>
      <c r="D222" s="122">
        <f t="shared" ca="1" si="66"/>
        <v>3027435.0906061749</v>
      </c>
      <c r="E222" s="70">
        <f t="shared" ca="1" si="67"/>
        <v>9.1450302020584639E-3</v>
      </c>
      <c r="F222" s="120">
        <f t="shared" ca="1" si="68"/>
        <v>27435.090606175396</v>
      </c>
      <c r="G222" s="122">
        <f t="shared" ca="1" si="69"/>
        <v>3019194.1762851276</v>
      </c>
      <c r="H222" s="70">
        <f t="shared" ca="1" si="70"/>
        <v>6.3980587617092858E-3</v>
      </c>
      <c r="I222" s="120">
        <f t="shared" ca="1" si="71"/>
        <v>19194.176285127858</v>
      </c>
      <c r="J222" s="122">
        <f t="shared" ca="1" si="72"/>
        <v>3019194.1762851276</v>
      </c>
      <c r="K222" s="70">
        <f t="shared" ca="1" si="73"/>
        <v>6.3980587617092858E-3</v>
      </c>
      <c r="L222" s="120">
        <f t="shared" ca="1" si="74"/>
        <v>19194.176285127858</v>
      </c>
      <c r="M222" s="122">
        <f t="shared" ca="1" si="75"/>
        <v>3026988.5711943619</v>
      </c>
      <c r="N222" s="70">
        <f t="shared" ca="1" si="76"/>
        <v>8.9961903981205099E-3</v>
      </c>
      <c r="O222" s="120">
        <f t="shared" ca="1" si="77"/>
        <v>26988.571194361528</v>
      </c>
    </row>
    <row r="223" spans="1:15" ht="16.5" customHeight="1">
      <c r="A223" s="47">
        <v>12</v>
      </c>
      <c r="B223" s="133" t="str">
        <f>HYPERLINK("#'" &amp; TEXT(투자전략!$G$1+11, "[$-ko-KR]yyyy.mm.dd") &amp; "'!A148:O172", TEXT(투자전략!$G$1+11, "[$-ko-KR]yyyy.mm.dd"))</f>
        <v>2022.12.12</v>
      </c>
      <c r="C223" s="118">
        <f t="shared" ca="1" si="65"/>
        <v>3000000</v>
      </c>
      <c r="D223" s="122">
        <f t="shared" ca="1" si="66"/>
        <v>2845437.9876636313</v>
      </c>
      <c r="E223" s="70">
        <f t="shared" ca="1" si="67"/>
        <v>-5.1520670778789558E-2</v>
      </c>
      <c r="F223" s="120">
        <f t="shared" ca="1" si="68"/>
        <v>-154562.01233636867</v>
      </c>
      <c r="G223" s="122">
        <f t="shared" ca="1" si="69"/>
        <v>2845437.9876636313</v>
      </c>
      <c r="H223" s="70">
        <f t="shared" ca="1" si="70"/>
        <v>-5.1520670778789558E-2</v>
      </c>
      <c r="I223" s="120">
        <f t="shared" ca="1" si="71"/>
        <v>-154562.01233636867</v>
      </c>
      <c r="J223" s="122">
        <f t="shared" ca="1" si="72"/>
        <v>2845437.9876636313</v>
      </c>
      <c r="K223" s="70">
        <f t="shared" ca="1" si="73"/>
        <v>-5.1520670778789558E-2</v>
      </c>
      <c r="L223" s="120">
        <f t="shared" ca="1" si="74"/>
        <v>-154562.01233636867</v>
      </c>
      <c r="M223" s="122">
        <f t="shared" ca="1" si="75"/>
        <v>2849508.2947573359</v>
      </c>
      <c r="N223" s="70">
        <f t="shared" ca="1" si="76"/>
        <v>-5.0163901747554654E-2</v>
      </c>
      <c r="O223" s="120">
        <f t="shared" ca="1" si="77"/>
        <v>-150491.70524266394</v>
      </c>
    </row>
    <row r="224" spans="1:15" ht="16.5" customHeight="1">
      <c r="A224" s="47">
        <v>13</v>
      </c>
      <c r="B224" s="133" t="str">
        <f>HYPERLINK("#'" &amp; TEXT(투자전략!$G$1+12, "[$-ko-KR]yyyy.mm.dd") &amp; "'!A148:O172", TEXT(투자전략!$G$1+12, "[$-ko-KR]yyyy.mm.dd"))</f>
        <v>2022.12.13</v>
      </c>
      <c r="C224" s="118">
        <f t="shared" ca="1" si="65"/>
        <v>3000000</v>
      </c>
      <c r="D224" s="122">
        <f t="shared" ca="1" si="66"/>
        <v>2924845.1931468062</v>
      </c>
      <c r="E224" s="70">
        <f t="shared" ca="1" si="67"/>
        <v>-2.5051602284397977E-2</v>
      </c>
      <c r="F224" s="120">
        <f t="shared" ca="1" si="68"/>
        <v>-75154.806853193964</v>
      </c>
      <c r="G224" s="122">
        <f t="shared" ca="1" si="69"/>
        <v>3050367.4526042175</v>
      </c>
      <c r="H224" s="70">
        <f t="shared" ca="1" si="70"/>
        <v>1.6789150868072419E-2</v>
      </c>
      <c r="I224" s="120">
        <f t="shared" ca="1" si="71"/>
        <v>50367.452604217266</v>
      </c>
      <c r="J224" s="122">
        <f t="shared" ca="1" si="72"/>
        <v>3050367.4526042175</v>
      </c>
      <c r="K224" s="70">
        <f t="shared" ca="1" si="73"/>
        <v>1.6789150868072419E-2</v>
      </c>
      <c r="L224" s="120">
        <f t="shared" ca="1" si="74"/>
        <v>50367.452604217266</v>
      </c>
      <c r="M224" s="122">
        <f t="shared" ca="1" si="75"/>
        <v>3028025.1086302237</v>
      </c>
      <c r="N224" s="70">
        <f t="shared" ca="1" si="76"/>
        <v>9.3417028767413101E-3</v>
      </c>
      <c r="O224" s="120">
        <f t="shared" ca="1" si="77"/>
        <v>28025.108630223927</v>
      </c>
    </row>
    <row r="225" spans="1:15" ht="16.5" customHeight="1" thickBot="1">
      <c r="A225" s="48">
        <v>14</v>
      </c>
      <c r="B225" s="134" t="str">
        <f>HYPERLINK("#'" &amp; TEXT(투자전략!$G$1+13, "[$-ko-KR]yyyy.mm.dd") &amp; "'!A148:O172", TEXT(투자전략!$G$1+13, "[$-ko-KR]yyyy.mm.dd"))</f>
        <v>2022.12.14</v>
      </c>
      <c r="C225" s="119">
        <f t="shared" ca="1" si="65"/>
        <v>3000000</v>
      </c>
      <c r="D225" s="123">
        <f t="shared" ca="1" si="66"/>
        <v>2992841.0377089535</v>
      </c>
      <c r="E225" s="72">
        <f t="shared" ca="1" si="67"/>
        <v>-2.3863207636822164E-3</v>
      </c>
      <c r="F225" s="121">
        <f t="shared" ca="1" si="68"/>
        <v>-7158.9622910466478</v>
      </c>
      <c r="G225" s="123">
        <f t="shared" ca="1" si="69"/>
        <v>3006769.6338184406</v>
      </c>
      <c r="H225" s="72">
        <f t="shared" ca="1" si="70"/>
        <v>2.2565446061468602E-3</v>
      </c>
      <c r="I225" s="121">
        <f t="shared" ca="1" si="71"/>
        <v>6769.6338184405804</v>
      </c>
      <c r="J225" s="123">
        <f t="shared" ca="1" si="72"/>
        <v>3006769.6338184406</v>
      </c>
      <c r="K225" s="72">
        <f t="shared" ca="1" si="73"/>
        <v>2.2565446061468602E-3</v>
      </c>
      <c r="L225" s="121">
        <f t="shared" ca="1" si="74"/>
        <v>6769.6338184405804</v>
      </c>
      <c r="M225" s="123">
        <f t="shared" ca="1" si="75"/>
        <v>3004311.9656010517</v>
      </c>
      <c r="N225" s="72">
        <f t="shared" ca="1" si="76"/>
        <v>1.4373218670172411E-3</v>
      </c>
      <c r="O225" s="121">
        <f t="shared" ca="1" si="77"/>
        <v>4311.9656010517228</v>
      </c>
    </row>
    <row r="226" spans="1:15" ht="16.5" customHeight="1">
      <c r="A226" s="46">
        <v>15</v>
      </c>
      <c r="B226" s="132" t="str">
        <f>HYPERLINK("#'" &amp; TEXT(투자전략!$G$1+14, "[$-ko-KR]yyyy.mm.dd") &amp; "'!A148:O172", TEXT(투자전략!$G$1+14, "[$-ko-KR]yyyy.mm.dd"))</f>
        <v>2022.12.15</v>
      </c>
      <c r="C226" s="118">
        <f t="shared" ca="1" si="65"/>
        <v>3000000</v>
      </c>
      <c r="D226" s="122">
        <f t="shared" ca="1" si="66"/>
        <v>2938830.340801205</v>
      </c>
      <c r="E226" s="70">
        <f t="shared" ca="1" si="67"/>
        <v>-2.038988639959843E-2</v>
      </c>
      <c r="F226" s="120">
        <f t="shared" ca="1" si="68"/>
        <v>-61169.659198795285</v>
      </c>
      <c r="G226" s="122">
        <f t="shared" ca="1" si="69"/>
        <v>2938830.340801205</v>
      </c>
      <c r="H226" s="70">
        <f t="shared" ca="1" si="70"/>
        <v>-2.038988639959843E-2</v>
      </c>
      <c r="I226" s="120">
        <f t="shared" ca="1" si="71"/>
        <v>-61169.659198795285</v>
      </c>
      <c r="J226" s="122">
        <f t="shared" ca="1" si="72"/>
        <v>2938830.340801205</v>
      </c>
      <c r="K226" s="70">
        <f t="shared" ca="1" si="73"/>
        <v>-2.038988639959843E-2</v>
      </c>
      <c r="L226" s="120">
        <f t="shared" ca="1" si="74"/>
        <v>-61169.659198795285</v>
      </c>
      <c r="M226" s="122">
        <f t="shared" ca="1" si="75"/>
        <v>2938830.340801205</v>
      </c>
      <c r="N226" s="70">
        <f t="shared" ca="1" si="76"/>
        <v>-2.038988639959843E-2</v>
      </c>
      <c r="O226" s="120">
        <f t="shared" ca="1" si="77"/>
        <v>-61169.659198795285</v>
      </c>
    </row>
    <row r="227" spans="1:15" ht="16.5" customHeight="1">
      <c r="A227" s="47">
        <v>16</v>
      </c>
      <c r="B227" s="133" t="str">
        <f>HYPERLINK("#'" &amp; TEXT(투자전략!$G$1+15, "[$-ko-KR]yyyy.mm.dd") &amp; "'!A148:O172", TEXT(투자전략!$G$1+15, "[$-ko-KR]yyyy.mm.dd"))</f>
        <v>2022.12.16</v>
      </c>
      <c r="C227" s="118">
        <f t="shared" ca="1" si="65"/>
        <v>3000000</v>
      </c>
      <c r="D227" s="122">
        <f t="shared" ca="1" si="66"/>
        <v>2977630.4179317825</v>
      </c>
      <c r="E227" s="70">
        <f t="shared" ca="1" si="67"/>
        <v>-7.4565273560724867E-3</v>
      </c>
      <c r="F227" s="120">
        <f t="shared" ca="1" si="68"/>
        <v>-22369.582068217467</v>
      </c>
      <c r="G227" s="122">
        <f t="shared" ca="1" si="69"/>
        <v>2886799.7571756593</v>
      </c>
      <c r="H227" s="70">
        <f t="shared" ca="1" si="70"/>
        <v>-3.7733414274780178E-2</v>
      </c>
      <c r="I227" s="120">
        <f t="shared" ca="1" si="71"/>
        <v>-113200.24282434054</v>
      </c>
      <c r="J227" s="122">
        <f t="shared" ca="1" si="72"/>
        <v>2887022.5891216449</v>
      </c>
      <c r="K227" s="70">
        <f t="shared" ca="1" si="73"/>
        <v>-3.7659136959451681E-2</v>
      </c>
      <c r="L227" s="120">
        <f t="shared" ca="1" si="74"/>
        <v>-112977.41087835506</v>
      </c>
      <c r="M227" s="122">
        <f t="shared" ca="1" si="75"/>
        <v>2875810.063938614</v>
      </c>
      <c r="N227" s="70">
        <f t="shared" ca="1" si="76"/>
        <v>-4.1396645353795405E-2</v>
      </c>
      <c r="O227" s="120">
        <f t="shared" ca="1" si="77"/>
        <v>-124189.93606138622</v>
      </c>
    </row>
    <row r="228" spans="1:15" ht="16.5" customHeight="1">
      <c r="A228" s="47">
        <v>17</v>
      </c>
      <c r="B228" s="133" t="str">
        <f>HYPERLINK("#'" &amp; TEXT(투자전략!$G$1+16, "[$-ko-KR]yyyy.mm.dd") &amp; "'!A148:O172", TEXT(투자전략!$G$1+16, "[$-ko-KR]yyyy.mm.dd"))</f>
        <v>2022.12.17</v>
      </c>
      <c r="C228" s="118">
        <f t="shared" ca="1" si="65"/>
        <v>3000000</v>
      </c>
      <c r="D228" s="122">
        <f t="shared" ca="1" si="66"/>
        <v>2721328.0584713356</v>
      </c>
      <c r="E228" s="70">
        <f t="shared" ca="1" si="67"/>
        <v>-9.2890647176221391E-2</v>
      </c>
      <c r="F228" s="120">
        <f t="shared" ca="1" si="68"/>
        <v>-278671.9415286642</v>
      </c>
      <c r="G228" s="122">
        <f t="shared" ca="1" si="69"/>
        <v>2721328.0584713356</v>
      </c>
      <c r="H228" s="70">
        <f t="shared" ca="1" si="70"/>
        <v>-9.2890647176221391E-2</v>
      </c>
      <c r="I228" s="120">
        <f t="shared" ca="1" si="71"/>
        <v>-278671.9415286642</v>
      </c>
      <c r="J228" s="122">
        <f t="shared" ca="1" si="72"/>
        <v>2721328.0584713356</v>
      </c>
      <c r="K228" s="70">
        <f t="shared" ca="1" si="73"/>
        <v>-9.2890647176221391E-2</v>
      </c>
      <c r="L228" s="120">
        <f t="shared" ca="1" si="74"/>
        <v>-278671.9415286642</v>
      </c>
      <c r="M228" s="122">
        <f t="shared" ca="1" si="75"/>
        <v>2723739.4725983609</v>
      </c>
      <c r="N228" s="70">
        <f t="shared" ca="1" si="76"/>
        <v>-9.2086842467212965E-2</v>
      </c>
      <c r="O228" s="120">
        <f t="shared" ca="1" si="77"/>
        <v>-276260.52740163892</v>
      </c>
    </row>
    <row r="229" spans="1:15" ht="16.5" customHeight="1">
      <c r="A229" s="47">
        <v>18</v>
      </c>
      <c r="B229" s="133" t="str">
        <f>HYPERLINK("#'" &amp; TEXT(투자전략!$G$1+17, "[$-ko-KR]yyyy.mm.dd") &amp; "'!A148:O172", TEXT(투자전략!$G$1+17, "[$-ko-KR]yyyy.mm.dd"))</f>
        <v>2022.12.18</v>
      </c>
      <c r="C229" s="118">
        <f t="shared" ca="1" si="65"/>
        <v>3000000</v>
      </c>
      <c r="D229" s="122">
        <f t="shared" ca="1" si="66"/>
        <v>3040933.4282217268</v>
      </c>
      <c r="E229" s="70">
        <f t="shared" ca="1" si="67"/>
        <v>1.3644476073908918E-2</v>
      </c>
      <c r="F229" s="120">
        <f t="shared" ca="1" si="68"/>
        <v>40933.428221726768</v>
      </c>
      <c r="G229" s="122">
        <f t="shared" ca="1" si="69"/>
        <v>3040933.4282217268</v>
      </c>
      <c r="H229" s="70">
        <f t="shared" ca="1" si="70"/>
        <v>1.3644476073908918E-2</v>
      </c>
      <c r="I229" s="120">
        <f t="shared" ca="1" si="71"/>
        <v>40933.428221726768</v>
      </c>
      <c r="J229" s="122">
        <f t="shared" ca="1" si="72"/>
        <v>3062200.2152895159</v>
      </c>
      <c r="K229" s="70">
        <f t="shared" ca="1" si="73"/>
        <v>2.0733405096505345E-2</v>
      </c>
      <c r="L229" s="120">
        <f t="shared" ca="1" si="74"/>
        <v>62200.21528951604</v>
      </c>
      <c r="M229" s="122">
        <f t="shared" ca="1" si="75"/>
        <v>3034100.1012225188</v>
      </c>
      <c r="N229" s="70">
        <f t="shared" ca="1" si="76"/>
        <v>1.1366700407506234E-2</v>
      </c>
      <c r="O229" s="120">
        <f t="shared" ca="1" si="77"/>
        <v>34100.101222518701</v>
      </c>
    </row>
    <row r="230" spans="1:15" ht="16.5" customHeight="1">
      <c r="A230" s="47">
        <v>19</v>
      </c>
      <c r="B230" s="133" t="str">
        <f>HYPERLINK("#'" &amp; TEXT(투자전략!$G$1+18, "[$-ko-KR]yyyy.mm.dd") &amp; "'!A148:O172", TEXT(투자전략!$G$1+18, "[$-ko-KR]yyyy.mm.dd"))</f>
        <v>2022.12.19</v>
      </c>
      <c r="C230" s="118">
        <f t="shared" ca="1" si="65"/>
        <v>3000000</v>
      </c>
      <c r="D230" s="122">
        <f t="shared" ca="1" si="66"/>
        <v>2991769.1427189377</v>
      </c>
      <c r="E230" s="70">
        <f t="shared" ca="1" si="67"/>
        <v>-2.7436190936874884E-3</v>
      </c>
      <c r="F230" s="120">
        <f t="shared" ca="1" si="68"/>
        <v>-8230.8572810624664</v>
      </c>
      <c r="G230" s="122">
        <f t="shared" ca="1" si="69"/>
        <v>2989420.203814507</v>
      </c>
      <c r="H230" s="70">
        <f t="shared" ca="1" si="70"/>
        <v>-3.5265987284976812E-3</v>
      </c>
      <c r="I230" s="120">
        <f t="shared" ca="1" si="71"/>
        <v>-10579.796185493042</v>
      </c>
      <c r="J230" s="122">
        <f t="shared" ca="1" si="72"/>
        <v>2983654.3371014791</v>
      </c>
      <c r="K230" s="70">
        <f t="shared" ca="1" si="73"/>
        <v>-5.4485542995069535E-3</v>
      </c>
      <c r="L230" s="120">
        <f t="shared" ca="1" si="74"/>
        <v>-16345.662898520857</v>
      </c>
      <c r="M230" s="122">
        <f t="shared" ca="1" si="75"/>
        <v>2973163.2720773136</v>
      </c>
      <c r="N230" s="70">
        <f t="shared" ca="1" si="76"/>
        <v>-8.9455759742286829E-3</v>
      </c>
      <c r="O230" s="120">
        <f t="shared" ca="1" si="77"/>
        <v>-26836.727922686048</v>
      </c>
    </row>
    <row r="231" spans="1:15" ht="16.5" customHeight="1">
      <c r="A231" s="47">
        <v>20</v>
      </c>
      <c r="B231" s="133" t="str">
        <f>HYPERLINK("#'" &amp; TEXT(투자전략!$G$1+19, "[$-ko-KR]yyyy.mm.dd") &amp; "'!A148:O172", TEXT(투자전략!$G$1+19, "[$-ko-KR]yyyy.mm.dd"))</f>
        <v>2022.12.20</v>
      </c>
      <c r="C231" s="118">
        <f t="shared" ca="1" si="65"/>
        <v>3000000</v>
      </c>
      <c r="D231" s="122">
        <f t="shared" ca="1" si="66"/>
        <v>2993565.1561620929</v>
      </c>
      <c r="E231" s="70">
        <f t="shared" ca="1" si="67"/>
        <v>-2.1449479459690556E-3</v>
      </c>
      <c r="F231" s="120">
        <f t="shared" ca="1" si="68"/>
        <v>-6434.8438379071667</v>
      </c>
      <c r="G231" s="122">
        <f t="shared" ca="1" si="69"/>
        <v>2993565.1561620929</v>
      </c>
      <c r="H231" s="70">
        <f t="shared" ca="1" si="70"/>
        <v>-2.1449479459690556E-3</v>
      </c>
      <c r="I231" s="120">
        <f t="shared" ca="1" si="71"/>
        <v>-6434.8438379071667</v>
      </c>
      <c r="J231" s="122">
        <f t="shared" ca="1" si="72"/>
        <v>3000428.4350269386</v>
      </c>
      <c r="K231" s="70">
        <f t="shared" ca="1" si="73"/>
        <v>1.4281167564610285E-4</v>
      </c>
      <c r="L231" s="120">
        <f t="shared" ca="1" si="74"/>
        <v>428.43502693830783</v>
      </c>
      <c r="M231" s="122">
        <f t="shared" ca="1" si="75"/>
        <v>2980302.8870802619</v>
      </c>
      <c r="N231" s="70">
        <f t="shared" ca="1" si="76"/>
        <v>-6.5657043065793065E-3</v>
      </c>
      <c r="O231" s="120">
        <f t="shared" ca="1" si="77"/>
        <v>-19697.11291973792</v>
      </c>
    </row>
    <row r="232" spans="1:15" ht="16.5" customHeight="1" thickBot="1">
      <c r="A232" s="48">
        <v>21</v>
      </c>
      <c r="B232" s="134" t="str">
        <f>HYPERLINK("#'" &amp; TEXT(투자전략!$G$1+20, "[$-ko-KR]yyyy.mm.dd") &amp; "'!A148:O172", TEXT(투자전략!$G$1+20, "[$-ko-KR]yyyy.mm.dd"))</f>
        <v>2022.12.21</v>
      </c>
      <c r="C232" s="118">
        <f t="shared" ca="1" si="65"/>
        <v>3000000</v>
      </c>
      <c r="D232" s="122">
        <f t="shared" ca="1" si="66"/>
        <v>2998793.4179395721</v>
      </c>
      <c r="E232" s="70">
        <f t="shared" ca="1" si="67"/>
        <v>-4.021940201426764E-4</v>
      </c>
      <c r="F232" s="120">
        <f t="shared" ca="1" si="68"/>
        <v>-1206.5820604280279</v>
      </c>
      <c r="G232" s="122">
        <f t="shared" ca="1" si="69"/>
        <v>3043091.24990504</v>
      </c>
      <c r="H232" s="70">
        <f t="shared" ca="1" si="70"/>
        <v>1.436374996834657E-2</v>
      </c>
      <c r="I232" s="120">
        <f t="shared" ca="1" si="71"/>
        <v>43091.249905039709</v>
      </c>
      <c r="J232" s="122">
        <f t="shared" ca="1" si="72"/>
        <v>3043091.24990504</v>
      </c>
      <c r="K232" s="70">
        <f t="shared" ca="1" si="73"/>
        <v>1.436374996834657E-2</v>
      </c>
      <c r="L232" s="120">
        <f t="shared" ca="1" si="74"/>
        <v>43091.249905039709</v>
      </c>
      <c r="M232" s="122">
        <f t="shared" ca="1" si="75"/>
        <v>3011590.746996609</v>
      </c>
      <c r="N232" s="70">
        <f t="shared" ca="1" si="76"/>
        <v>3.8635823322031642E-3</v>
      </c>
      <c r="O232" s="120">
        <f t="shared" ca="1" si="77"/>
        <v>11590.74699660949</v>
      </c>
    </row>
    <row r="233" spans="1:15" ht="16.5" customHeight="1">
      <c r="A233" s="46">
        <v>22</v>
      </c>
      <c r="B233" s="132" t="str">
        <f>HYPERLINK("#'" &amp; TEXT(투자전략!$G$1+21, "[$-ko-KR]yyyy.mm.dd") &amp; "'!A148:O172", TEXT(투자전략!$G$1+21, "[$-ko-KR]yyyy.mm.dd"))</f>
        <v>2022.12.22</v>
      </c>
      <c r="C233" s="117">
        <f t="shared" ca="1" si="65"/>
        <v>3000000</v>
      </c>
      <c r="D233" s="125">
        <f t="shared" ca="1" si="66"/>
        <v>2978548.8457099749</v>
      </c>
      <c r="E233" s="69">
        <f t="shared" ca="1" si="67"/>
        <v>-7.150384763341777E-3</v>
      </c>
      <c r="F233" s="124">
        <f t="shared" ca="1" si="68"/>
        <v>-21451.154290025333</v>
      </c>
      <c r="G233" s="125">
        <f t="shared" ca="1" si="69"/>
        <v>2979045.7308946885</v>
      </c>
      <c r="H233" s="69">
        <f t="shared" ca="1" si="70"/>
        <v>-6.9847563684370395E-3</v>
      </c>
      <c r="I233" s="124">
        <f t="shared" ca="1" si="71"/>
        <v>-20954.269105311119</v>
      </c>
      <c r="J233" s="125">
        <f t="shared" ca="1" si="72"/>
        <v>2979045.7308946885</v>
      </c>
      <c r="K233" s="69">
        <f t="shared" ca="1" si="73"/>
        <v>-6.9847563684370395E-3</v>
      </c>
      <c r="L233" s="124">
        <f t="shared" ca="1" si="74"/>
        <v>-20954.269105311119</v>
      </c>
      <c r="M233" s="125">
        <f t="shared" ca="1" si="75"/>
        <v>2949818.2089847936</v>
      </c>
      <c r="N233" s="69">
        <f t="shared" ca="1" si="76"/>
        <v>-1.6727263671735361E-2</v>
      </c>
      <c r="O233" s="124">
        <f t="shared" ca="1" si="77"/>
        <v>-50181.791015206079</v>
      </c>
    </row>
    <row r="234" spans="1:15" ht="16.5" customHeight="1">
      <c r="A234" s="47">
        <v>23</v>
      </c>
      <c r="B234" s="133" t="str">
        <f>HYPERLINK("#'" &amp; TEXT(투자전략!$G$1+22, "[$-ko-KR]yyyy.mm.dd") &amp; "'!A148:O172", TEXT(투자전략!$G$1+22, "[$-ko-KR]yyyy.mm.dd"))</f>
        <v>2022.12.23</v>
      </c>
      <c r="C234" s="118">
        <f t="shared" ca="1" si="65"/>
        <v>3000000</v>
      </c>
      <c r="D234" s="122">
        <f t="shared" ca="1" si="66"/>
        <v>3094263.2517126012</v>
      </c>
      <c r="E234" s="70">
        <f t="shared" ca="1" si="67"/>
        <v>3.1421083904200404E-2</v>
      </c>
      <c r="F234" s="120">
        <f t="shared" ca="1" si="68"/>
        <v>94263.25171260121</v>
      </c>
      <c r="G234" s="122">
        <f t="shared" ca="1" si="69"/>
        <v>3097354.900406546</v>
      </c>
      <c r="H234" s="70">
        <f t="shared" ca="1" si="70"/>
        <v>3.2451633468848627E-2</v>
      </c>
      <c r="I234" s="120">
        <f t="shared" ca="1" si="71"/>
        <v>97354.900406545887</v>
      </c>
      <c r="J234" s="122">
        <f t="shared" ca="1" si="72"/>
        <v>3097354.900406546</v>
      </c>
      <c r="K234" s="70">
        <f t="shared" ca="1" si="73"/>
        <v>3.2451633468848627E-2</v>
      </c>
      <c r="L234" s="120">
        <f t="shared" ca="1" si="74"/>
        <v>97354.900406545887</v>
      </c>
      <c r="M234" s="122">
        <f t="shared" ca="1" si="75"/>
        <v>3084748.96461422</v>
      </c>
      <c r="N234" s="70">
        <f t="shared" ca="1" si="76"/>
        <v>2.8249654871406522E-2</v>
      </c>
      <c r="O234" s="120">
        <f t="shared" ca="1" si="77"/>
        <v>84748.964614219571</v>
      </c>
    </row>
    <row r="235" spans="1:15" ht="16.5" customHeight="1">
      <c r="A235" s="47">
        <v>24</v>
      </c>
      <c r="B235" s="133" t="str">
        <f>HYPERLINK("#'" &amp; TEXT(투자전략!$G$1+23, "[$-ko-KR]yyyy.mm.dd") &amp; "'!A148:O172", TEXT(투자전략!$G$1+23, "[$-ko-KR]yyyy.mm.dd"))</f>
        <v>2022.12.24</v>
      </c>
      <c r="C235" s="118">
        <f t="shared" ca="1" si="65"/>
        <v>3000000</v>
      </c>
      <c r="D235" s="122">
        <f t="shared" ca="1" si="66"/>
        <v>3034695.8541209395</v>
      </c>
      <c r="E235" s="70">
        <f t="shared" ca="1" si="67"/>
        <v>1.1565284706979866E-2</v>
      </c>
      <c r="F235" s="120">
        <f t="shared" ca="1" si="68"/>
        <v>34695.854120939592</v>
      </c>
      <c r="G235" s="122">
        <f t="shared" ca="1" si="69"/>
        <v>3034695.8541209395</v>
      </c>
      <c r="H235" s="70">
        <f t="shared" ca="1" si="70"/>
        <v>1.1565284706979866E-2</v>
      </c>
      <c r="I235" s="120">
        <f t="shared" ca="1" si="71"/>
        <v>34695.854120939592</v>
      </c>
      <c r="J235" s="122">
        <f t="shared" ca="1" si="72"/>
        <v>3034695.8541209395</v>
      </c>
      <c r="K235" s="70">
        <f t="shared" ca="1" si="73"/>
        <v>1.1565284706979866E-2</v>
      </c>
      <c r="L235" s="120">
        <f t="shared" ca="1" si="74"/>
        <v>34695.854120939592</v>
      </c>
      <c r="M235" s="122">
        <f t="shared" ca="1" si="75"/>
        <v>3035235.3930161898</v>
      </c>
      <c r="N235" s="70">
        <f t="shared" ca="1" si="76"/>
        <v>1.1745131005396585E-2</v>
      </c>
      <c r="O235" s="120">
        <f t="shared" ca="1" si="77"/>
        <v>35235.393016189744</v>
      </c>
    </row>
    <row r="236" spans="1:15" ht="16.5" customHeight="1">
      <c r="A236" s="47">
        <v>25</v>
      </c>
      <c r="B236" s="133" t="str">
        <f>HYPERLINK("#'" &amp; TEXT(투자전략!$G$1+24, "[$-ko-KR]yyyy.mm.dd") &amp; "'!A148:O172", TEXT(투자전략!$G$1+24, "[$-ko-KR]yyyy.mm.dd"))</f>
        <v>2022.12.25</v>
      </c>
      <c r="C236" s="118">
        <f t="shared" ca="1" si="65"/>
        <v>3000000</v>
      </c>
      <c r="D236" s="122">
        <f t="shared" ca="1" si="66"/>
        <v>3007274.3077524626</v>
      </c>
      <c r="E236" s="70">
        <f t="shared" ca="1" si="67"/>
        <v>2.4247692508208821E-3</v>
      </c>
      <c r="F236" s="120">
        <f t="shared" ca="1" si="68"/>
        <v>7274.3077524626442</v>
      </c>
      <c r="G236" s="122">
        <f t="shared" ca="1" si="69"/>
        <v>3002041.7197492248</v>
      </c>
      <c r="H236" s="70">
        <f t="shared" ca="1" si="70"/>
        <v>6.8057324974167891E-4</v>
      </c>
      <c r="I236" s="120">
        <f t="shared" ca="1" si="71"/>
        <v>2041.719749225038</v>
      </c>
      <c r="J236" s="122">
        <f t="shared" ca="1" si="72"/>
        <v>2989629.7367061907</v>
      </c>
      <c r="K236" s="70">
        <f t="shared" ca="1" si="73"/>
        <v>-3.4567544312697532E-3</v>
      </c>
      <c r="L236" s="120">
        <f t="shared" ca="1" si="74"/>
        <v>-10370.263293809261</v>
      </c>
      <c r="M236" s="122">
        <f t="shared" ca="1" si="75"/>
        <v>2968431.4394853674</v>
      </c>
      <c r="N236" s="70">
        <f t="shared" ca="1" si="76"/>
        <v>-1.0522853504877513E-2</v>
      </c>
      <c r="O236" s="120">
        <f t="shared" ca="1" si="77"/>
        <v>-31568.56051463254</v>
      </c>
    </row>
    <row r="237" spans="1:15" ht="16.5" customHeight="1">
      <c r="A237" s="47">
        <v>26</v>
      </c>
      <c r="B237" s="133" t="str">
        <f>HYPERLINK("#'" &amp; TEXT(투자전략!$G$1+25, "[$-ko-KR]yyyy.mm.dd") &amp; "'!A148:O172", TEXT(투자전략!$G$1+25, "[$-ko-KR]yyyy.mm.dd"))</f>
        <v>2022.12.26</v>
      </c>
      <c r="C237" s="118">
        <f t="shared" ca="1" si="65"/>
        <v>3000000</v>
      </c>
      <c r="D237" s="122">
        <f t="shared" ca="1" si="66"/>
        <v>2966442.7386017758</v>
      </c>
      <c r="E237" s="70">
        <f t="shared" ca="1" si="67"/>
        <v>-1.1185753799407984E-2</v>
      </c>
      <c r="F237" s="120">
        <f t="shared" ca="1" si="68"/>
        <v>-33557.261398223949</v>
      </c>
      <c r="G237" s="122">
        <f t="shared" ca="1" si="69"/>
        <v>3000000</v>
      </c>
      <c r="H237" s="70">
        <f t="shared" ca="1" si="70"/>
        <v>0</v>
      </c>
      <c r="I237" s="120">
        <f t="shared" ca="1" si="71"/>
        <v>0</v>
      </c>
      <c r="J237" s="122">
        <f t="shared" ca="1" si="72"/>
        <v>3000000</v>
      </c>
      <c r="K237" s="70">
        <f t="shared" ca="1" si="73"/>
        <v>0</v>
      </c>
      <c r="L237" s="120">
        <f t="shared" ca="1" si="74"/>
        <v>0</v>
      </c>
      <c r="M237" s="122">
        <f t="shared" ca="1" si="75"/>
        <v>3000000</v>
      </c>
      <c r="N237" s="70">
        <f t="shared" ca="1" si="76"/>
        <v>0</v>
      </c>
      <c r="O237" s="120">
        <f t="shared" ca="1" si="77"/>
        <v>0</v>
      </c>
    </row>
    <row r="238" spans="1:15" ht="16.5" customHeight="1">
      <c r="A238" s="47">
        <v>27</v>
      </c>
      <c r="B238" s="133" t="str">
        <f>HYPERLINK("#'" &amp; TEXT(투자전략!$G$1+26, "[$-ko-KR]yyyy.mm.dd") &amp; "'!A148:O172", TEXT(투자전략!$G$1+26, "[$-ko-KR]yyyy.mm.dd"))</f>
        <v>2022.12.27</v>
      </c>
      <c r="C238" s="118" t="str">
        <f t="shared" ca="1" si="65"/>
        <v/>
      </c>
      <c r="D238" s="122" t="str">
        <f t="shared" ca="1" si="66"/>
        <v/>
      </c>
      <c r="E238" s="70" t="str">
        <f t="shared" ca="1" si="67"/>
        <v/>
      </c>
      <c r="F238" s="120" t="str">
        <f t="shared" ca="1" si="68"/>
        <v/>
      </c>
      <c r="G238" s="122" t="str">
        <f t="shared" ca="1" si="69"/>
        <v/>
      </c>
      <c r="H238" s="70" t="str">
        <f t="shared" ca="1" si="70"/>
        <v/>
      </c>
      <c r="I238" s="120" t="str">
        <f t="shared" ca="1" si="71"/>
        <v/>
      </c>
      <c r="J238" s="122" t="str">
        <f t="shared" ca="1" si="72"/>
        <v/>
      </c>
      <c r="K238" s="70" t="str">
        <f t="shared" ca="1" si="73"/>
        <v/>
      </c>
      <c r="L238" s="120" t="str">
        <f t="shared" ca="1" si="74"/>
        <v/>
      </c>
      <c r="M238" s="122" t="str">
        <f t="shared" ca="1" si="75"/>
        <v/>
      </c>
      <c r="N238" s="70" t="str">
        <f t="shared" ca="1" si="76"/>
        <v/>
      </c>
      <c r="O238" s="120" t="str">
        <f t="shared" ca="1" si="77"/>
        <v/>
      </c>
    </row>
    <row r="239" spans="1:15" ht="16.5" customHeight="1" thickBot="1">
      <c r="A239" s="48">
        <v>28</v>
      </c>
      <c r="B239" s="134" t="str">
        <f>HYPERLINK("#'" &amp; TEXT(투자전략!$G$1+27, "[$-ko-KR]yyyy.mm.dd") &amp; "'!A148:O172", TEXT(투자전략!$G$1+27, "[$-ko-KR]yyyy.mm.dd"))</f>
        <v>2022.12.28</v>
      </c>
      <c r="C239" s="119" t="str">
        <f t="shared" ca="1" si="65"/>
        <v/>
      </c>
      <c r="D239" s="123" t="str">
        <f t="shared" ca="1" si="66"/>
        <v/>
      </c>
      <c r="E239" s="72" t="str">
        <f t="shared" ca="1" si="67"/>
        <v/>
      </c>
      <c r="F239" s="121" t="str">
        <f t="shared" ca="1" si="68"/>
        <v/>
      </c>
      <c r="G239" s="123" t="str">
        <f t="shared" ca="1" si="69"/>
        <v/>
      </c>
      <c r="H239" s="72" t="str">
        <f t="shared" ca="1" si="70"/>
        <v/>
      </c>
      <c r="I239" s="121" t="str">
        <f t="shared" ca="1" si="71"/>
        <v/>
      </c>
      <c r="J239" s="123" t="str">
        <f t="shared" ca="1" si="72"/>
        <v/>
      </c>
      <c r="K239" s="72" t="str">
        <f t="shared" ca="1" si="73"/>
        <v/>
      </c>
      <c r="L239" s="121" t="str">
        <f t="shared" ca="1" si="74"/>
        <v/>
      </c>
      <c r="M239" s="123" t="str">
        <f t="shared" ca="1" si="75"/>
        <v/>
      </c>
      <c r="N239" s="72" t="str">
        <f t="shared" ca="1" si="76"/>
        <v/>
      </c>
      <c r="O239" s="121" t="str">
        <f t="shared" ca="1" si="77"/>
        <v/>
      </c>
    </row>
    <row r="240" spans="1:15" ht="16.5" customHeight="1">
      <c r="A240" s="105">
        <v>29</v>
      </c>
      <c r="B240" s="132" t="str">
        <f>HYPERLINK("#'" &amp; TEXT(투자전략!$G$1+28, "[$-ko-KR]yyyy.mm.dd") &amp; "'!A148:O172", TEXT(투자전략!$G$1+28, "[$-ko-KR]yyyy.mm.dd"))</f>
        <v>2022.12.29</v>
      </c>
      <c r="C240" s="118" t="str">
        <f t="shared" ca="1" si="65"/>
        <v/>
      </c>
      <c r="D240" s="122" t="str">
        <f t="shared" ca="1" si="66"/>
        <v/>
      </c>
      <c r="E240" s="70" t="str">
        <f t="shared" ca="1" si="67"/>
        <v/>
      </c>
      <c r="F240" s="120" t="str">
        <f t="shared" ca="1" si="68"/>
        <v/>
      </c>
      <c r="G240" s="122" t="str">
        <f t="shared" ca="1" si="69"/>
        <v/>
      </c>
      <c r="H240" s="70" t="str">
        <f t="shared" ca="1" si="70"/>
        <v/>
      </c>
      <c r="I240" s="120" t="str">
        <f t="shared" ca="1" si="71"/>
        <v/>
      </c>
      <c r="J240" s="122" t="str">
        <f t="shared" ca="1" si="72"/>
        <v/>
      </c>
      <c r="K240" s="70" t="str">
        <f t="shared" ca="1" si="73"/>
        <v/>
      </c>
      <c r="L240" s="120" t="str">
        <f t="shared" ca="1" si="74"/>
        <v/>
      </c>
      <c r="M240" s="122" t="str">
        <f t="shared" ca="1" si="75"/>
        <v/>
      </c>
      <c r="N240" s="70" t="str">
        <f t="shared" ca="1" si="76"/>
        <v/>
      </c>
      <c r="O240" s="120" t="str">
        <f t="shared" ca="1" si="77"/>
        <v/>
      </c>
    </row>
    <row r="241" spans="1:15" ht="16.5" customHeight="1">
      <c r="A241" s="105">
        <v>30</v>
      </c>
      <c r="B241" s="133" t="str">
        <f>HYPERLINK("#'" &amp; TEXT(투자전략!$G$1+29, "[$-ko-KR]yyyy.mm.dd") &amp; "'!A148:O172", TEXT(투자전략!$G$1+29, "[$-ko-KR]yyyy.mm.dd"))</f>
        <v>2022.12.30</v>
      </c>
      <c r="C241" s="118" t="str">
        <f t="shared" ca="1" si="65"/>
        <v/>
      </c>
      <c r="D241" s="122" t="str">
        <f t="shared" ca="1" si="66"/>
        <v/>
      </c>
      <c r="E241" s="70" t="str">
        <f t="shared" ca="1" si="67"/>
        <v/>
      </c>
      <c r="F241" s="120" t="str">
        <f t="shared" ca="1" si="68"/>
        <v/>
      </c>
      <c r="G241" s="122" t="str">
        <f t="shared" ca="1" si="69"/>
        <v/>
      </c>
      <c r="H241" s="70" t="str">
        <f t="shared" ca="1" si="70"/>
        <v/>
      </c>
      <c r="I241" s="120" t="str">
        <f t="shared" ca="1" si="71"/>
        <v/>
      </c>
      <c r="J241" s="122" t="str">
        <f t="shared" ca="1" si="72"/>
        <v/>
      </c>
      <c r="K241" s="70" t="str">
        <f t="shared" ca="1" si="73"/>
        <v/>
      </c>
      <c r="L241" s="120" t="str">
        <f t="shared" ca="1" si="74"/>
        <v/>
      </c>
      <c r="M241" s="122" t="str">
        <f t="shared" ca="1" si="75"/>
        <v/>
      </c>
      <c r="N241" s="70" t="str">
        <f t="shared" ca="1" si="76"/>
        <v/>
      </c>
      <c r="O241" s="120" t="str">
        <f t="shared" ca="1" si="77"/>
        <v/>
      </c>
    </row>
    <row r="242" spans="1:15" ht="16.5" customHeight="1" thickBot="1">
      <c r="A242" s="105">
        <v>31</v>
      </c>
      <c r="B242" s="133" t="str">
        <f>HYPERLINK("#'" &amp; TEXT(투자전략!$G$1+30, "[$-ko-KR]yyyy.mm.dd") &amp; "'!A148:O172", TEXT(투자전략!$G$1+30, "[$-ko-KR]yyyy.mm.dd"))</f>
        <v>2022.12.31</v>
      </c>
      <c r="C242" s="119" t="str">
        <f t="shared" ca="1" si="65"/>
        <v/>
      </c>
      <c r="D242" s="123" t="str">
        <f t="shared" ca="1" si="66"/>
        <v/>
      </c>
      <c r="E242" s="72" t="str">
        <f t="shared" ca="1" si="67"/>
        <v/>
      </c>
      <c r="F242" s="121" t="str">
        <f t="shared" ca="1" si="68"/>
        <v/>
      </c>
      <c r="G242" s="123" t="str">
        <f t="shared" ca="1" si="69"/>
        <v/>
      </c>
      <c r="H242" s="72" t="str">
        <f t="shared" ca="1" si="70"/>
        <v/>
      </c>
      <c r="I242" s="121" t="str">
        <f t="shared" ca="1" si="71"/>
        <v/>
      </c>
      <c r="J242" s="123" t="str">
        <f t="shared" ca="1" si="72"/>
        <v/>
      </c>
      <c r="K242" s="72" t="str">
        <f t="shared" ca="1" si="73"/>
        <v/>
      </c>
      <c r="L242" s="121" t="str">
        <f t="shared" ca="1" si="74"/>
        <v/>
      </c>
      <c r="M242" s="123" t="str">
        <f t="shared" ca="1" si="75"/>
        <v/>
      </c>
      <c r="N242" s="72" t="str">
        <f t="shared" ca="1" si="76"/>
        <v/>
      </c>
      <c r="O242" s="121" t="str">
        <f t="shared" ca="1" si="77"/>
        <v/>
      </c>
    </row>
    <row r="243" spans="1:15" ht="16.5" customHeight="1" thickBot="1">
      <c r="A243" s="144" t="s">
        <v>273</v>
      </c>
      <c r="B243" s="146"/>
      <c r="C243" s="116" t="s">
        <v>268</v>
      </c>
      <c r="D243" s="9" t="s">
        <v>269</v>
      </c>
      <c r="E243" s="63" t="s">
        <v>270</v>
      </c>
      <c r="F243" s="64" t="s">
        <v>271</v>
      </c>
      <c r="G243" s="9" t="s">
        <v>269</v>
      </c>
      <c r="H243" s="63" t="s">
        <v>270</v>
      </c>
      <c r="I243" s="64" t="s">
        <v>271</v>
      </c>
      <c r="J243" s="9" t="s">
        <v>269</v>
      </c>
      <c r="K243" s="63" t="s">
        <v>270</v>
      </c>
      <c r="L243" s="64" t="s">
        <v>271</v>
      </c>
      <c r="M243" s="9" t="s">
        <v>269</v>
      </c>
      <c r="N243" s="63" t="s">
        <v>270</v>
      </c>
      <c r="O243" s="64" t="s">
        <v>271</v>
      </c>
    </row>
    <row r="244" spans="1:15" ht="16.5" customHeight="1" thickBot="1">
      <c r="A244" s="150"/>
      <c r="B244" s="152"/>
      <c r="C244" s="119">
        <f ca="1">SUM(C212:C242)</f>
        <v>78000000</v>
      </c>
      <c r="D244" s="123">
        <f ca="1">SUM(D212:D242)</f>
        <v>77554860.860184073</v>
      </c>
      <c r="E244" s="72">
        <f ca="1">IFERROR(F244 / (SUM($C212:$C242) / COUNT($C212:$C242)), 0)</f>
        <v>-0.14751640668064211</v>
      </c>
      <c r="F244" s="121">
        <f ca="1">SUM(F212:F242)</f>
        <v>-442549.22004192631</v>
      </c>
      <c r="G244" s="123">
        <f ca="1">SUM(G212:G242)</f>
        <v>77646449.303219825</v>
      </c>
      <c r="H244" s="72">
        <f ca="1">IFERROR(I244 / (SUM($C212:$C242) / COUNT($C212:$C242)), 0)</f>
        <v>-0.11549116596225026</v>
      </c>
      <c r="I244" s="121">
        <f ca="1">SUM(I212:I242)</f>
        <v>-346473.49788675079</v>
      </c>
      <c r="J244" s="123">
        <f ca="1">SUM(J212:J242)</f>
        <v>77717688.531573445</v>
      </c>
      <c r="K244" s="72">
        <f ca="1">IFERROR(L244 / (SUM($C212:$C242) / COUNT($C212:$C242)), 0)</f>
        <v>-9.2069156325589402E-2</v>
      </c>
      <c r="L244" s="121">
        <f ca="1">SUM(L212:L242)</f>
        <v>-276207.4689767682</v>
      </c>
      <c r="M244" s="123">
        <f ca="1">SUM(M212:M242)</f>
        <v>77421004.067194819</v>
      </c>
      <c r="N244" s="72">
        <f ca="1">IFERROR(O244 / (SUM($C212:$C242) / COUNT($C212:$C242)), 0)</f>
        <v>-0.19076406136115381</v>
      </c>
      <c r="O244" s="121">
        <f ca="1">SUM(O212:O242)</f>
        <v>-572292.18408346141</v>
      </c>
    </row>
    <row r="246" spans="1:15" ht="16.5" customHeight="1" thickBot="1"/>
    <row r="247" spans="1:15" ht="16.5" customHeight="1" thickBot="1">
      <c r="A247" s="135" t="str">
        <f>TEXT(투자전략!$G$1, "[$-ko-KR]yyyy년 mm월 ") &amp; "전일대비 상승률 Bottom20 월말결산"</f>
        <v>2022년 12월 전일대비 상승률 Bottom20 월말결산</v>
      </c>
      <c r="B247" s="136"/>
      <c r="C247" s="136"/>
      <c r="D247" s="136"/>
      <c r="E247" s="136"/>
      <c r="F247" s="136"/>
      <c r="G247" s="136"/>
      <c r="H247" s="136"/>
      <c r="I247" s="136"/>
      <c r="J247" s="136"/>
      <c r="K247" s="136"/>
      <c r="L247" s="136"/>
      <c r="M247" s="136"/>
      <c r="N247" s="136"/>
      <c r="O247" s="137"/>
    </row>
    <row r="248" spans="1:15" ht="16.5" customHeight="1" thickBot="1">
      <c r="A248" s="196" t="s">
        <v>274</v>
      </c>
      <c r="B248" s="150" t="s">
        <v>272</v>
      </c>
      <c r="C248" s="152"/>
      <c r="D248" s="150" t="s">
        <v>264</v>
      </c>
      <c r="E248" s="151"/>
      <c r="F248" s="152"/>
      <c r="G248" s="150" t="s">
        <v>265</v>
      </c>
      <c r="H248" s="151"/>
      <c r="I248" s="152"/>
      <c r="J248" s="150" t="s">
        <v>266</v>
      </c>
      <c r="K248" s="151"/>
      <c r="L248" s="152"/>
      <c r="M248" s="150" t="s">
        <v>267</v>
      </c>
      <c r="N248" s="151"/>
      <c r="O248" s="152"/>
    </row>
    <row r="249" spans="1:15" ht="16.5" customHeight="1" thickBot="1">
      <c r="A249" s="200"/>
      <c r="B249" s="46" t="s">
        <v>262</v>
      </c>
      <c r="C249" s="46" t="s">
        <v>42</v>
      </c>
      <c r="D249" s="105" t="s">
        <v>263</v>
      </c>
      <c r="E249" s="106" t="s">
        <v>40</v>
      </c>
      <c r="F249" s="81" t="s">
        <v>41</v>
      </c>
      <c r="G249" s="105" t="s">
        <v>263</v>
      </c>
      <c r="H249" s="106" t="s">
        <v>40</v>
      </c>
      <c r="I249" s="81" t="s">
        <v>41</v>
      </c>
      <c r="J249" s="105" t="s">
        <v>263</v>
      </c>
      <c r="K249" s="106" t="s">
        <v>40</v>
      </c>
      <c r="L249" s="81" t="s">
        <v>41</v>
      </c>
      <c r="M249" s="105" t="s">
        <v>263</v>
      </c>
      <c r="N249" s="106" t="s">
        <v>40</v>
      </c>
      <c r="O249" s="81" t="s">
        <v>41</v>
      </c>
    </row>
    <row r="250" spans="1:15" ht="16.5" customHeight="1">
      <c r="A250" s="46">
        <v>1</v>
      </c>
      <c r="B250" s="132" t="str">
        <f>HYPERLINK("#'" &amp; TEXT(투자전략!$G$1+0, "[$-ko-KR]yyyy.mm.dd") &amp; "'!A175:O199", TEXT(투자전략!$G$1+0, "[$-ko-KR]yyyy.mm.dd"))</f>
        <v>2022.12.01</v>
      </c>
      <c r="C250" s="117">
        <f ca="1">IFERROR(COUNTA(INDIRECT($B250&amp;"!A179:A198")) * INDIRECT($B250&amp;"!B199"), "")</f>
        <v>3000000</v>
      </c>
      <c r="D250" s="125">
        <f ca="1">IFERROR($C250 * (1 + E250), "")</f>
        <v>3060201.3578781644</v>
      </c>
      <c r="E250" s="69">
        <f ca="1">IFERROR(INDIRECT($B250&amp;"!E199"), "")</f>
        <v>2.0067119292721536E-2</v>
      </c>
      <c r="F250" s="124">
        <f ca="1">IFERROR(INDIRECT($B250&amp;"!F199"), "")</f>
        <v>60201.357878164607</v>
      </c>
      <c r="G250" s="125">
        <f ca="1">IFERROR($C250 * (1 + H250), "")</f>
        <v>3060201.3578781644</v>
      </c>
      <c r="H250" s="69">
        <f ca="1">IFERROR(INDIRECT($B250&amp;"!H199"), "")</f>
        <v>2.0067119292721536E-2</v>
      </c>
      <c r="I250" s="124">
        <f ca="1">IFERROR(INDIRECT($B250&amp;"!I199"), "")</f>
        <v>60201.357878164607</v>
      </c>
      <c r="J250" s="125">
        <f ca="1">IFERROR($C250 * (1 + K250), "")</f>
        <v>3060201.3578781644</v>
      </c>
      <c r="K250" s="69">
        <f ca="1">IFERROR(INDIRECT($B250&amp;"!K199"), "")</f>
        <v>2.0067119292721536E-2</v>
      </c>
      <c r="L250" s="124">
        <f ca="1">IFERROR(INDIRECT($B250&amp;"!L199"), "")</f>
        <v>60201.357878164607</v>
      </c>
      <c r="M250" s="125">
        <f ca="1">IFERROR($C250 * (1 + N250), "")</f>
        <v>3026895.0232707341</v>
      </c>
      <c r="N250" s="69">
        <f ca="1">IFERROR(INDIRECT($B250&amp;"!N199"), "")</f>
        <v>8.9650077569115045E-3</v>
      </c>
      <c r="O250" s="124">
        <f ca="1">IFERROR(INDIRECT($B250&amp;"!O199"), "")</f>
        <v>26895.023270734513</v>
      </c>
    </row>
    <row r="251" spans="1:15" ht="16.5" customHeight="1">
      <c r="A251" s="47">
        <v>2</v>
      </c>
      <c r="B251" s="133" t="str">
        <f>HYPERLINK("#'" &amp; TEXT(투자전략!$G$1+1, "[$-ko-KR]yyyy.mm.dd") &amp; "'!A175:O199", TEXT(투자전략!$G$1+1, "[$-ko-KR]yyyy.mm.dd"))</f>
        <v>2022.12.02</v>
      </c>
      <c r="C251" s="118">
        <f t="shared" ref="C251:C280" ca="1" si="78">IFERROR(COUNTA(INDIRECT($B251&amp;"!A179:A198")) * INDIRECT($B251&amp;"!B199"), "")</f>
        <v>3000000</v>
      </c>
      <c r="D251" s="122">
        <f t="shared" ref="D251:D280" ca="1" si="79">IFERROR($C251 * (1 + E251), "")</f>
        <v>2987273.6130578639</v>
      </c>
      <c r="E251" s="70">
        <f t="shared" ref="E251:E280" ca="1" si="80">IFERROR(INDIRECT($B251&amp;"!E199"), "")</f>
        <v>-4.2421289807119695E-3</v>
      </c>
      <c r="F251" s="120">
        <f t="shared" ref="F251:F280" ca="1" si="81">IFERROR(INDIRECT($B251&amp;"!F199"), "")</f>
        <v>-12726.386942135907</v>
      </c>
      <c r="G251" s="122">
        <f t="shared" ref="G251:G280" ca="1" si="82">IFERROR($C251 * (1 + H251), "")</f>
        <v>3004736.0899854498</v>
      </c>
      <c r="H251" s="70">
        <f t="shared" ref="H251:H280" ca="1" si="83">IFERROR(INDIRECT($B251&amp;"!H199"), "")</f>
        <v>1.5786966618165318E-3</v>
      </c>
      <c r="I251" s="120">
        <f t="shared" ref="I251:I280" ca="1" si="84">IFERROR(INDIRECT($B251&amp;"!I199"), "")</f>
        <v>4736.0899854495983</v>
      </c>
      <c r="J251" s="122">
        <f t="shared" ref="J251:J280" ca="1" si="85">IFERROR($C251 * (1 + K251), "")</f>
        <v>3019719.9245387586</v>
      </c>
      <c r="K251" s="70">
        <f t="shared" ref="K251:K280" ca="1" si="86">IFERROR(INDIRECT($B251&amp;"!K199"), "")</f>
        <v>6.5733081795861627E-3</v>
      </c>
      <c r="L251" s="120">
        <f t="shared" ref="L251:L280" ca="1" si="87">IFERROR(INDIRECT($B251&amp;"!L199"), "")</f>
        <v>19719.924538758492</v>
      </c>
      <c r="M251" s="122">
        <f t="shared" ref="M251:M280" ca="1" si="88">IFERROR($C251 * (1 + N251), "")</f>
        <v>3023312.4599083844</v>
      </c>
      <c r="N251" s="70">
        <f t="shared" ref="N251:N280" ca="1" si="89">IFERROR(INDIRECT($B251&amp;"!N199"), "")</f>
        <v>7.7708199694614304E-3</v>
      </c>
      <c r="O251" s="120">
        <f t="shared" ref="O251:O280" ca="1" si="90">IFERROR(INDIRECT($B251&amp;"!O199"), "")</f>
        <v>23312.459908384284</v>
      </c>
    </row>
    <row r="252" spans="1:15" ht="16.5" customHeight="1">
      <c r="A252" s="47">
        <v>3</v>
      </c>
      <c r="B252" s="133" t="str">
        <f>HYPERLINK("#'" &amp; TEXT(투자전략!$G$1+2, "[$-ko-KR]yyyy.mm.dd") &amp; "'!A175:O199", TEXT(투자전략!$G$1+2, "[$-ko-KR]yyyy.mm.dd"))</f>
        <v>2022.12.03</v>
      </c>
      <c r="C252" s="118">
        <f t="shared" ca="1" si="78"/>
        <v>3000000</v>
      </c>
      <c r="D252" s="122">
        <f t="shared" ca="1" si="79"/>
        <v>3000070.1473578443</v>
      </c>
      <c r="E252" s="70">
        <f t="shared" ca="1" si="80"/>
        <v>2.3382452614814207E-5</v>
      </c>
      <c r="F252" s="120">
        <f t="shared" ca="1" si="81"/>
        <v>70.147357844442695</v>
      </c>
      <c r="G252" s="122">
        <f t="shared" ca="1" si="82"/>
        <v>3009034.8549264208</v>
      </c>
      <c r="H252" s="70">
        <f t="shared" ca="1" si="83"/>
        <v>3.0116183088068813E-3</v>
      </c>
      <c r="I252" s="120">
        <f t="shared" ca="1" si="84"/>
        <v>9034.8549264206449</v>
      </c>
      <c r="J252" s="122">
        <f t="shared" ca="1" si="85"/>
        <v>3020862.8283096352</v>
      </c>
      <c r="K252" s="70">
        <f t="shared" ca="1" si="86"/>
        <v>6.9542761032117305E-3</v>
      </c>
      <c r="L252" s="120">
        <f t="shared" ca="1" si="87"/>
        <v>20862.828309635192</v>
      </c>
      <c r="M252" s="122">
        <f t="shared" ca="1" si="88"/>
        <v>3008292.605072652</v>
      </c>
      <c r="N252" s="70">
        <f t="shared" ca="1" si="89"/>
        <v>2.764201690883949E-3</v>
      </c>
      <c r="O252" s="120">
        <f t="shared" ca="1" si="90"/>
        <v>8292.6050726518479</v>
      </c>
    </row>
    <row r="253" spans="1:15" ht="16.5" customHeight="1">
      <c r="A253" s="47">
        <v>4</v>
      </c>
      <c r="B253" s="133" t="str">
        <f>HYPERLINK("#'" &amp; TEXT(투자전략!$G$1+3, "[$-ko-KR]yyyy.mm.dd") &amp; "'!A175:O199", TEXT(투자전략!$G$1+3, "[$-ko-KR]yyyy.mm.dd"))</f>
        <v>2022.12.04</v>
      </c>
      <c r="C253" s="118">
        <f t="shared" ca="1" si="78"/>
        <v>3000000</v>
      </c>
      <c r="D253" s="122">
        <f t="shared" ca="1" si="79"/>
        <v>2984856.1307528047</v>
      </c>
      <c r="E253" s="70">
        <f t="shared" ca="1" si="80"/>
        <v>-5.0479564157317903E-3</v>
      </c>
      <c r="F253" s="120">
        <f t="shared" ca="1" si="81"/>
        <v>-15143.869247195373</v>
      </c>
      <c r="G253" s="122">
        <f t="shared" ca="1" si="82"/>
        <v>2975539.7270441921</v>
      </c>
      <c r="H253" s="70">
        <f t="shared" ca="1" si="83"/>
        <v>-8.1534243186025049E-3</v>
      </c>
      <c r="I253" s="120">
        <f t="shared" ca="1" si="84"/>
        <v>-24460.272955807519</v>
      </c>
      <c r="J253" s="122">
        <f t="shared" ca="1" si="85"/>
        <v>2967553.6735829776</v>
      </c>
      <c r="K253" s="70">
        <f t="shared" ca="1" si="86"/>
        <v>-1.081544213900759E-2</v>
      </c>
      <c r="L253" s="120">
        <f t="shared" ca="1" si="87"/>
        <v>-32446.326417022778</v>
      </c>
      <c r="M253" s="122">
        <f t="shared" ca="1" si="88"/>
        <v>2972704.3251020727</v>
      </c>
      <c r="N253" s="70">
        <f t="shared" ca="1" si="89"/>
        <v>-9.0985582993090633E-3</v>
      </c>
      <c r="O253" s="120">
        <f t="shared" ca="1" si="90"/>
        <v>-27295.674897927187</v>
      </c>
    </row>
    <row r="254" spans="1:15" ht="16.5" customHeight="1">
      <c r="A254" s="47">
        <v>5</v>
      </c>
      <c r="B254" s="133" t="str">
        <f>HYPERLINK("#'" &amp; TEXT(투자전략!$G$1+4, "[$-ko-KR]yyyy.mm.dd") &amp; "'!A175:O199", TEXT(투자전략!$G$1+4, "[$-ko-KR]yyyy.mm.dd"))</f>
        <v>2022.12.05</v>
      </c>
      <c r="C254" s="118">
        <f t="shared" ca="1" si="78"/>
        <v>3000000</v>
      </c>
      <c r="D254" s="122">
        <f t="shared" ca="1" si="79"/>
        <v>3000649.6508731614</v>
      </c>
      <c r="E254" s="70">
        <f t="shared" ca="1" si="80"/>
        <v>2.1655029105375809E-4</v>
      </c>
      <c r="F254" s="120">
        <f t="shared" ca="1" si="81"/>
        <v>649.65087316127438</v>
      </c>
      <c r="G254" s="122">
        <f t="shared" ca="1" si="82"/>
        <v>2986347.1044858</v>
      </c>
      <c r="H254" s="70">
        <f t="shared" ca="1" si="83"/>
        <v>-4.5509651713999885E-3</v>
      </c>
      <c r="I254" s="120">
        <f t="shared" ca="1" si="84"/>
        <v>-13652.895514199965</v>
      </c>
      <c r="J254" s="122">
        <f t="shared" ca="1" si="85"/>
        <v>2984389.72691597</v>
      </c>
      <c r="K254" s="70">
        <f t="shared" ca="1" si="86"/>
        <v>-5.2034243613433701E-3</v>
      </c>
      <c r="L254" s="120">
        <f t="shared" ca="1" si="87"/>
        <v>-15610.27308403011</v>
      </c>
      <c r="M254" s="122">
        <f t="shared" ca="1" si="88"/>
        <v>2973584.1794401202</v>
      </c>
      <c r="N254" s="70">
        <f t="shared" ca="1" si="89"/>
        <v>-8.8052735199599594E-3</v>
      </c>
      <c r="O254" s="120">
        <f t="shared" ca="1" si="90"/>
        <v>-26415.820559879874</v>
      </c>
    </row>
    <row r="255" spans="1:15" ht="16.5" customHeight="1">
      <c r="A255" s="47">
        <v>6</v>
      </c>
      <c r="B255" s="133" t="str">
        <f>HYPERLINK("#'" &amp; TEXT(투자전략!$G$1+5, "[$-ko-KR]yyyy.mm.dd") &amp; "'!A175:O199", TEXT(투자전략!$G$1+5, "[$-ko-KR]yyyy.mm.dd"))</f>
        <v>2022.12.06</v>
      </c>
      <c r="C255" s="118">
        <f t="shared" ca="1" si="78"/>
        <v>3000000</v>
      </c>
      <c r="D255" s="122">
        <f t="shared" ca="1" si="79"/>
        <v>2996509.3882792522</v>
      </c>
      <c r="E255" s="70">
        <f t="shared" ca="1" si="80"/>
        <v>-1.1635372402493394E-3</v>
      </c>
      <c r="F255" s="120">
        <f t="shared" ca="1" si="81"/>
        <v>-3490.6117207480183</v>
      </c>
      <c r="G255" s="122">
        <f t="shared" ca="1" si="82"/>
        <v>2989544.0381024997</v>
      </c>
      <c r="H255" s="70">
        <f t="shared" ca="1" si="83"/>
        <v>-3.4853206325001383E-3</v>
      </c>
      <c r="I255" s="120">
        <f t="shared" ca="1" si="84"/>
        <v>-10455.96189750042</v>
      </c>
      <c r="J255" s="122">
        <f t="shared" ca="1" si="85"/>
        <v>2977337.8950346038</v>
      </c>
      <c r="K255" s="70">
        <f t="shared" ca="1" si="86"/>
        <v>-7.5540349884654244E-3</v>
      </c>
      <c r="L255" s="120">
        <f t="shared" ca="1" si="87"/>
        <v>-22662.104965396273</v>
      </c>
      <c r="M255" s="122">
        <f t="shared" ca="1" si="88"/>
        <v>2967736.1076910705</v>
      </c>
      <c r="N255" s="70">
        <f t="shared" ca="1" si="89"/>
        <v>-1.07546307696431E-2</v>
      </c>
      <c r="O255" s="120">
        <f t="shared" ca="1" si="90"/>
        <v>-32263.892308929302</v>
      </c>
    </row>
    <row r="256" spans="1:15" ht="16.5" customHeight="1" thickBot="1">
      <c r="A256" s="48">
        <v>7</v>
      </c>
      <c r="B256" s="134" t="str">
        <f>HYPERLINK("#'" &amp; TEXT(투자전략!$G$1+6, "[$-ko-KR]yyyy.mm.dd") &amp; "'!A175:O199", TEXT(투자전략!$G$1+6, "[$-ko-KR]yyyy.mm.dd"))</f>
        <v>2022.12.07</v>
      </c>
      <c r="C256" s="118">
        <f t="shared" ca="1" si="78"/>
        <v>3000000</v>
      </c>
      <c r="D256" s="122">
        <f t="shared" ca="1" si="79"/>
        <v>2946372.445979509</v>
      </c>
      <c r="E256" s="70">
        <f t="shared" ca="1" si="80"/>
        <v>-1.7875851340163701E-2</v>
      </c>
      <c r="F256" s="120">
        <f t="shared" ca="1" si="81"/>
        <v>-50946.176319466562</v>
      </c>
      <c r="G256" s="122">
        <f t="shared" ca="1" si="82"/>
        <v>2891035.5399620947</v>
      </c>
      <c r="H256" s="70">
        <f t="shared" ca="1" si="83"/>
        <v>-3.6321486679301851E-2</v>
      </c>
      <c r="I256" s="120">
        <f t="shared" ca="1" si="84"/>
        <v>-103516.23703601029</v>
      </c>
      <c r="J256" s="122">
        <f t="shared" ca="1" si="85"/>
        <v>2831823.4605351766</v>
      </c>
      <c r="K256" s="70">
        <f t="shared" ca="1" si="86"/>
        <v>-5.6058846488274444E-2</v>
      </c>
      <c r="L256" s="120">
        <f t="shared" ca="1" si="87"/>
        <v>-159767.71249158215</v>
      </c>
      <c r="M256" s="122">
        <f t="shared" ca="1" si="88"/>
        <v>2796536.285053615</v>
      </c>
      <c r="N256" s="70">
        <f t="shared" ca="1" si="89"/>
        <v>-6.7821238315461635E-2</v>
      </c>
      <c r="O256" s="120">
        <f t="shared" ca="1" si="90"/>
        <v>-193290.5291990657</v>
      </c>
    </row>
    <row r="257" spans="1:15" ht="16.5" customHeight="1">
      <c r="A257" s="46">
        <v>8</v>
      </c>
      <c r="B257" s="132" t="str">
        <f>HYPERLINK("#'" &amp; TEXT(투자전략!$G$1+7, "[$-ko-KR]yyyy.mm.dd") &amp; "'!A175:O199", TEXT(투자전략!$G$1+7, "[$-ko-KR]yyyy.mm.dd"))</f>
        <v>2022.12.08</v>
      </c>
      <c r="C257" s="117">
        <f t="shared" ca="1" si="78"/>
        <v>3000000</v>
      </c>
      <c r="D257" s="125">
        <f t="shared" ca="1" si="79"/>
        <v>2958135.6317120721</v>
      </c>
      <c r="E257" s="69">
        <f t="shared" ca="1" si="80"/>
        <v>-1.3954789429309427E-2</v>
      </c>
      <c r="F257" s="124">
        <f t="shared" ca="1" si="81"/>
        <v>-41864.368287928271</v>
      </c>
      <c r="G257" s="125">
        <f t="shared" ca="1" si="82"/>
        <v>3013658.7815775881</v>
      </c>
      <c r="H257" s="69">
        <f t="shared" ca="1" si="83"/>
        <v>4.552927192529233E-3</v>
      </c>
      <c r="I257" s="124">
        <f t="shared" ca="1" si="84"/>
        <v>12975.842498708318</v>
      </c>
      <c r="J257" s="125">
        <f t="shared" ca="1" si="85"/>
        <v>2989064.0485580838</v>
      </c>
      <c r="K257" s="69">
        <f t="shared" ca="1" si="86"/>
        <v>-3.645317147305338E-3</v>
      </c>
      <c r="L257" s="124">
        <f t="shared" ca="1" si="87"/>
        <v>-10389.153869820209</v>
      </c>
      <c r="M257" s="125">
        <f t="shared" ca="1" si="88"/>
        <v>2996084.7791982722</v>
      </c>
      <c r="N257" s="69">
        <f t="shared" ca="1" si="89"/>
        <v>-1.3050736005759313E-3</v>
      </c>
      <c r="O257" s="124">
        <f t="shared" ca="1" si="90"/>
        <v>-3719.459761641403</v>
      </c>
    </row>
    <row r="258" spans="1:15" ht="16.5" customHeight="1">
      <c r="A258" s="47">
        <v>9</v>
      </c>
      <c r="B258" s="133" t="str">
        <f>HYPERLINK("#'" &amp; TEXT(투자전략!$G$1+8, "[$-ko-KR]yyyy.mm.dd") &amp; "'!A175:O199", TEXT(투자전략!$G$1+8, "[$-ko-KR]yyyy.mm.dd"))</f>
        <v>2022.12.09</v>
      </c>
      <c r="C258" s="118">
        <f t="shared" ca="1" si="78"/>
        <v>3000000</v>
      </c>
      <c r="D258" s="122">
        <f t="shared" ca="1" si="79"/>
        <v>3049023.4915886363</v>
      </c>
      <c r="E258" s="70">
        <f t="shared" ca="1" si="80"/>
        <v>1.6341163862878837E-2</v>
      </c>
      <c r="F258" s="120">
        <f t="shared" ca="1" si="81"/>
        <v>49023.491588636505</v>
      </c>
      <c r="G258" s="122">
        <f t="shared" ca="1" si="82"/>
        <v>3055921.896221559</v>
      </c>
      <c r="H258" s="70">
        <f t="shared" ca="1" si="83"/>
        <v>1.8640632073853126E-2</v>
      </c>
      <c r="I258" s="120">
        <f t="shared" ca="1" si="84"/>
        <v>55921.896221559386</v>
      </c>
      <c r="J258" s="122">
        <f t="shared" ca="1" si="85"/>
        <v>3055921.896221559</v>
      </c>
      <c r="K258" s="70">
        <f t="shared" ca="1" si="86"/>
        <v>1.8640632073853126E-2</v>
      </c>
      <c r="L258" s="120">
        <f t="shared" ca="1" si="87"/>
        <v>55921.896221559386</v>
      </c>
      <c r="M258" s="122">
        <f t="shared" ca="1" si="88"/>
        <v>3044746.6059789052</v>
      </c>
      <c r="N258" s="70">
        <f t="shared" ca="1" si="89"/>
        <v>1.4915535326301771E-2</v>
      </c>
      <c r="O258" s="120">
        <f t="shared" ca="1" si="90"/>
        <v>44746.605978905318</v>
      </c>
    </row>
    <row r="259" spans="1:15" ht="16.5" customHeight="1">
      <c r="A259" s="47">
        <v>10</v>
      </c>
      <c r="B259" s="133" t="str">
        <f>HYPERLINK("#'" &amp; TEXT(투자전략!$G$1+9, "[$-ko-KR]yyyy.mm.dd") &amp; "'!A175:O199", TEXT(투자전략!$G$1+9, "[$-ko-KR]yyyy.mm.dd"))</f>
        <v>2022.12.10</v>
      </c>
      <c r="C259" s="118">
        <f t="shared" ca="1" si="78"/>
        <v>3000000</v>
      </c>
      <c r="D259" s="122">
        <f t="shared" ca="1" si="79"/>
        <v>2997247.8959569517</v>
      </c>
      <c r="E259" s="70">
        <f t="shared" ca="1" si="80"/>
        <v>-9.1736801434949588E-4</v>
      </c>
      <c r="F259" s="120">
        <f t="shared" ca="1" si="81"/>
        <v>-2752.1040430484882</v>
      </c>
      <c r="G259" s="122">
        <f t="shared" ca="1" si="82"/>
        <v>2998155.7532133441</v>
      </c>
      <c r="H259" s="70">
        <f t="shared" ca="1" si="83"/>
        <v>-6.1474892888538292E-4</v>
      </c>
      <c r="I259" s="120">
        <f t="shared" ca="1" si="84"/>
        <v>-1844.2467866561474</v>
      </c>
      <c r="J259" s="122">
        <f t="shared" ca="1" si="85"/>
        <v>2998155.7532133441</v>
      </c>
      <c r="K259" s="70">
        <f t="shared" ca="1" si="86"/>
        <v>-6.1474892888538292E-4</v>
      </c>
      <c r="L259" s="120">
        <f t="shared" ca="1" si="87"/>
        <v>-1844.2467866561474</v>
      </c>
      <c r="M259" s="122">
        <f t="shared" ca="1" si="88"/>
        <v>3003557.918589273</v>
      </c>
      <c r="N259" s="70">
        <f t="shared" ca="1" si="89"/>
        <v>1.1859728630909624E-3</v>
      </c>
      <c r="O259" s="120">
        <f t="shared" ca="1" si="90"/>
        <v>3557.9185892728856</v>
      </c>
    </row>
    <row r="260" spans="1:15" ht="16.5" customHeight="1">
      <c r="A260" s="47">
        <v>11</v>
      </c>
      <c r="B260" s="133" t="str">
        <f>HYPERLINK("#'" &amp; TEXT(투자전략!$G$1+10, "[$-ko-KR]yyyy.mm.dd") &amp; "'!A175:O199", TEXT(투자전략!$G$1+10, "[$-ko-KR]yyyy.mm.dd"))</f>
        <v>2022.12.11</v>
      </c>
      <c r="C260" s="118">
        <f t="shared" ca="1" si="78"/>
        <v>3000000</v>
      </c>
      <c r="D260" s="122">
        <f t="shared" ca="1" si="79"/>
        <v>2988750.6904644715</v>
      </c>
      <c r="E260" s="70">
        <f t="shared" ca="1" si="80"/>
        <v>-3.7497698451761678E-3</v>
      </c>
      <c r="F260" s="120">
        <f t="shared" ca="1" si="81"/>
        <v>-11249.309535528506</v>
      </c>
      <c r="G260" s="122">
        <f t="shared" ca="1" si="82"/>
        <v>2969116.1071481584</v>
      </c>
      <c r="H260" s="70">
        <f t="shared" ca="1" si="83"/>
        <v>-1.029463095061384E-2</v>
      </c>
      <c r="I260" s="120">
        <f t="shared" ca="1" si="84"/>
        <v>-30883.892851841523</v>
      </c>
      <c r="J260" s="122">
        <f t="shared" ca="1" si="85"/>
        <v>2969116.1071481584</v>
      </c>
      <c r="K260" s="70">
        <f t="shared" ca="1" si="86"/>
        <v>-1.029463095061384E-2</v>
      </c>
      <c r="L260" s="120">
        <f t="shared" ca="1" si="87"/>
        <v>-30883.892851841523</v>
      </c>
      <c r="M260" s="122">
        <f t="shared" ca="1" si="88"/>
        <v>2952926.6227205549</v>
      </c>
      <c r="N260" s="70">
        <f t="shared" ca="1" si="89"/>
        <v>-1.5691125759814968E-2</v>
      </c>
      <c r="O260" s="120">
        <f t="shared" ca="1" si="90"/>
        <v>-47073.377279444889</v>
      </c>
    </row>
    <row r="261" spans="1:15" ht="16.5" customHeight="1">
      <c r="A261" s="47">
        <v>12</v>
      </c>
      <c r="B261" s="133" t="str">
        <f>HYPERLINK("#'" &amp; TEXT(투자전략!$G$1+11, "[$-ko-KR]yyyy.mm.dd") &amp; "'!A175:O199", TEXT(투자전략!$G$1+11, "[$-ko-KR]yyyy.mm.dd"))</f>
        <v>2022.12.12</v>
      </c>
      <c r="C261" s="118">
        <f t="shared" ca="1" si="78"/>
        <v>3000000</v>
      </c>
      <c r="D261" s="122">
        <f t="shared" ca="1" si="79"/>
        <v>2869601.4590993589</v>
      </c>
      <c r="E261" s="70">
        <f t="shared" ca="1" si="80"/>
        <v>-4.3466180300213604E-2</v>
      </c>
      <c r="F261" s="120">
        <f t="shared" ca="1" si="81"/>
        <v>-130398.54090064083</v>
      </c>
      <c r="G261" s="122">
        <f t="shared" ca="1" si="82"/>
        <v>2869601.4590993589</v>
      </c>
      <c r="H261" s="70">
        <f t="shared" ca="1" si="83"/>
        <v>-4.3466180300213604E-2</v>
      </c>
      <c r="I261" s="120">
        <f t="shared" ca="1" si="84"/>
        <v>-130398.54090064083</v>
      </c>
      <c r="J261" s="122">
        <f t="shared" ca="1" si="85"/>
        <v>2869601.4590993589</v>
      </c>
      <c r="K261" s="70">
        <f t="shared" ca="1" si="86"/>
        <v>-4.3466180300213604E-2</v>
      </c>
      <c r="L261" s="120">
        <f t="shared" ca="1" si="87"/>
        <v>-130398.54090064083</v>
      </c>
      <c r="M261" s="122">
        <f t="shared" ca="1" si="88"/>
        <v>2878695.5569717744</v>
      </c>
      <c r="N261" s="70">
        <f t="shared" ca="1" si="89"/>
        <v>-4.0434814342741834E-2</v>
      </c>
      <c r="O261" s="120">
        <f t="shared" ca="1" si="90"/>
        <v>-121304.44302822553</v>
      </c>
    </row>
    <row r="262" spans="1:15" ht="16.5" customHeight="1">
      <c r="A262" s="47">
        <v>13</v>
      </c>
      <c r="B262" s="133" t="str">
        <f>HYPERLINK("#'" &amp; TEXT(투자전략!$G$1+12, "[$-ko-KR]yyyy.mm.dd") &amp; "'!A175:O199", TEXT(투자전략!$G$1+12, "[$-ko-KR]yyyy.mm.dd"))</f>
        <v>2022.12.13</v>
      </c>
      <c r="C262" s="118">
        <f t="shared" ca="1" si="78"/>
        <v>3000000</v>
      </c>
      <c r="D262" s="122">
        <f t="shared" ca="1" si="79"/>
        <v>2902781.0708877724</v>
      </c>
      <c r="E262" s="70">
        <f t="shared" ca="1" si="80"/>
        <v>-3.2406309704075861E-2</v>
      </c>
      <c r="F262" s="120">
        <f t="shared" ca="1" si="81"/>
        <v>-97218.929112227546</v>
      </c>
      <c r="G262" s="122">
        <f t="shared" ca="1" si="82"/>
        <v>3039296.0958572533</v>
      </c>
      <c r="H262" s="70">
        <f t="shared" ca="1" si="83"/>
        <v>1.3098698619084378E-2</v>
      </c>
      <c r="I262" s="120">
        <f t="shared" ca="1" si="84"/>
        <v>39296.095857253131</v>
      </c>
      <c r="J262" s="122">
        <f t="shared" ca="1" si="85"/>
        <v>3039296.0958572533</v>
      </c>
      <c r="K262" s="70">
        <f t="shared" ca="1" si="86"/>
        <v>1.3098698619084378E-2</v>
      </c>
      <c r="L262" s="120">
        <f t="shared" ca="1" si="87"/>
        <v>39296.095857253131</v>
      </c>
      <c r="M262" s="122">
        <f t="shared" ca="1" si="88"/>
        <v>3014671.3188422704</v>
      </c>
      <c r="N262" s="70">
        <f t="shared" ca="1" si="89"/>
        <v>4.8904396140900617E-3</v>
      </c>
      <c r="O262" s="120">
        <f t="shared" ca="1" si="90"/>
        <v>14671.31884227019</v>
      </c>
    </row>
    <row r="263" spans="1:15" ht="16.5" customHeight="1" thickBot="1">
      <c r="A263" s="48">
        <v>14</v>
      </c>
      <c r="B263" s="134" t="str">
        <f>HYPERLINK("#'" &amp; TEXT(투자전략!$G$1+13, "[$-ko-KR]yyyy.mm.dd") &amp; "'!A175:O199", TEXT(투자전략!$G$1+13, "[$-ko-KR]yyyy.mm.dd"))</f>
        <v>2022.12.14</v>
      </c>
      <c r="C263" s="119">
        <f t="shared" ca="1" si="78"/>
        <v>3000000</v>
      </c>
      <c r="D263" s="123">
        <f t="shared" ca="1" si="79"/>
        <v>2994127.7505150717</v>
      </c>
      <c r="E263" s="72">
        <f t="shared" ca="1" si="80"/>
        <v>-1.9574164949760684E-3</v>
      </c>
      <c r="F263" s="121">
        <f t="shared" ca="1" si="81"/>
        <v>-5872.2494849282011</v>
      </c>
      <c r="G263" s="123">
        <f t="shared" ca="1" si="82"/>
        <v>3001303.9814257263</v>
      </c>
      <c r="H263" s="72">
        <f t="shared" ca="1" si="83"/>
        <v>4.3466047524217912E-4</v>
      </c>
      <c r="I263" s="121">
        <f t="shared" ca="1" si="84"/>
        <v>1303.9814257265396</v>
      </c>
      <c r="J263" s="123">
        <f t="shared" ca="1" si="85"/>
        <v>3001303.9814257263</v>
      </c>
      <c r="K263" s="72">
        <f t="shared" ca="1" si="86"/>
        <v>4.3466047524217912E-4</v>
      </c>
      <c r="L263" s="121">
        <f t="shared" ca="1" si="87"/>
        <v>1303.9814257265396</v>
      </c>
      <c r="M263" s="123">
        <f t="shared" ca="1" si="88"/>
        <v>3001616.2912173709</v>
      </c>
      <c r="N263" s="72">
        <f t="shared" ca="1" si="89"/>
        <v>5.3876373912364916E-4</v>
      </c>
      <c r="O263" s="121">
        <f t="shared" ca="1" si="90"/>
        <v>1616.2912173709483</v>
      </c>
    </row>
    <row r="264" spans="1:15" ht="16.5" customHeight="1">
      <c r="A264" s="46">
        <v>15</v>
      </c>
      <c r="B264" s="132" t="str">
        <f>HYPERLINK("#'" &amp; TEXT(투자전략!$G$1+14, "[$-ko-KR]yyyy.mm.dd") &amp; "'!A175:O199", TEXT(투자전략!$G$1+14, "[$-ko-KR]yyyy.mm.dd"))</f>
        <v>2022.12.15</v>
      </c>
      <c r="C264" s="118">
        <f t="shared" ca="1" si="78"/>
        <v>3000000</v>
      </c>
      <c r="D264" s="122">
        <f t="shared" ca="1" si="79"/>
        <v>2955392.8256847858</v>
      </c>
      <c r="E264" s="70">
        <f t="shared" ca="1" si="80"/>
        <v>-1.4869058105071281E-2</v>
      </c>
      <c r="F264" s="120">
        <f t="shared" ca="1" si="81"/>
        <v>-44607.174315213837</v>
      </c>
      <c r="G264" s="122">
        <f t="shared" ca="1" si="82"/>
        <v>2955392.8256847858</v>
      </c>
      <c r="H264" s="70">
        <f t="shared" ca="1" si="83"/>
        <v>-1.4869058105071281E-2</v>
      </c>
      <c r="I264" s="120">
        <f t="shared" ca="1" si="84"/>
        <v>-44607.174315213837</v>
      </c>
      <c r="J264" s="122">
        <f t="shared" ca="1" si="85"/>
        <v>2955392.8256847858</v>
      </c>
      <c r="K264" s="70">
        <f t="shared" ca="1" si="86"/>
        <v>-1.4869058105071281E-2</v>
      </c>
      <c r="L264" s="120">
        <f t="shared" ca="1" si="87"/>
        <v>-44607.174315213837</v>
      </c>
      <c r="M264" s="122">
        <f t="shared" ca="1" si="88"/>
        <v>2955392.8256847858</v>
      </c>
      <c r="N264" s="70">
        <f t="shared" ca="1" si="89"/>
        <v>-1.4869058105071281E-2</v>
      </c>
      <c r="O264" s="120">
        <f t="shared" ca="1" si="90"/>
        <v>-44607.174315213837</v>
      </c>
    </row>
    <row r="265" spans="1:15" ht="16.5" customHeight="1">
      <c r="A265" s="47">
        <v>16</v>
      </c>
      <c r="B265" s="133" t="str">
        <f>HYPERLINK("#'" &amp; TEXT(투자전략!$G$1+15, "[$-ko-KR]yyyy.mm.dd") &amp; "'!A175:O199", TEXT(투자전략!$G$1+15, "[$-ko-KR]yyyy.mm.dd"))</f>
        <v>2022.12.16</v>
      </c>
      <c r="C265" s="118">
        <f t="shared" ca="1" si="78"/>
        <v>3000000</v>
      </c>
      <c r="D265" s="122">
        <f t="shared" ca="1" si="79"/>
        <v>2976063.0268112542</v>
      </c>
      <c r="E265" s="70">
        <f t="shared" ca="1" si="80"/>
        <v>-7.978991062915242E-3</v>
      </c>
      <c r="F265" s="120">
        <f t="shared" ca="1" si="81"/>
        <v>-23936.973188745724</v>
      </c>
      <c r="G265" s="122">
        <f t="shared" ca="1" si="82"/>
        <v>2903003.1538713453</v>
      </c>
      <c r="H265" s="70">
        <f t="shared" ca="1" si="83"/>
        <v>-3.2332282042884831E-2</v>
      </c>
      <c r="I265" s="120">
        <f t="shared" ca="1" si="84"/>
        <v>-96996.846128654521</v>
      </c>
      <c r="J265" s="122">
        <f t="shared" ca="1" si="85"/>
        <v>2920982.8458007541</v>
      </c>
      <c r="K265" s="70">
        <f t="shared" ca="1" si="86"/>
        <v>-2.6339051399748514E-2</v>
      </c>
      <c r="L265" s="120">
        <f t="shared" ca="1" si="87"/>
        <v>-79017.154199245546</v>
      </c>
      <c r="M265" s="122">
        <f t="shared" ca="1" si="88"/>
        <v>2911126.9440632509</v>
      </c>
      <c r="N265" s="70">
        <f t="shared" ca="1" si="89"/>
        <v>-2.9624351978916282E-2</v>
      </c>
      <c r="O265" s="120">
        <f t="shared" ca="1" si="90"/>
        <v>-88873.055936748846</v>
      </c>
    </row>
    <row r="266" spans="1:15" ht="16.5" customHeight="1">
      <c r="A266" s="47">
        <v>17</v>
      </c>
      <c r="B266" s="133" t="str">
        <f>HYPERLINK("#'" &amp; TEXT(투자전략!$G$1+16, "[$-ko-KR]yyyy.mm.dd") &amp; "'!A175:O199", TEXT(투자전략!$G$1+16, "[$-ko-KR]yyyy.mm.dd"))</f>
        <v>2022.12.17</v>
      </c>
      <c r="C266" s="118">
        <f t="shared" ca="1" si="78"/>
        <v>3000000</v>
      </c>
      <c r="D266" s="122">
        <f t="shared" ca="1" si="79"/>
        <v>2728961.9193550232</v>
      </c>
      <c r="E266" s="70">
        <f t="shared" ca="1" si="80"/>
        <v>-9.0346026881658895E-2</v>
      </c>
      <c r="F266" s="120">
        <f t="shared" ca="1" si="81"/>
        <v>-271038.08064497658</v>
      </c>
      <c r="G266" s="122">
        <f t="shared" ca="1" si="82"/>
        <v>2728961.9193550232</v>
      </c>
      <c r="H266" s="70">
        <f t="shared" ca="1" si="83"/>
        <v>-9.0346026881658895E-2</v>
      </c>
      <c r="I266" s="120">
        <f t="shared" ca="1" si="84"/>
        <v>-271038.08064497658</v>
      </c>
      <c r="J266" s="122">
        <f t="shared" ca="1" si="85"/>
        <v>2728961.9193550232</v>
      </c>
      <c r="K266" s="70">
        <f t="shared" ca="1" si="86"/>
        <v>-9.0346026881658895E-2</v>
      </c>
      <c r="L266" s="120">
        <f t="shared" ca="1" si="87"/>
        <v>-271038.08064497658</v>
      </c>
      <c r="M266" s="122">
        <f t="shared" ca="1" si="88"/>
        <v>2727626.3222531336</v>
      </c>
      <c r="N266" s="70">
        <f t="shared" ca="1" si="89"/>
        <v>-9.0791225915622095E-2</v>
      </c>
      <c r="O266" s="120">
        <f t="shared" ca="1" si="90"/>
        <v>-272373.67774686625</v>
      </c>
    </row>
    <row r="267" spans="1:15" ht="16.5" customHeight="1">
      <c r="A267" s="47">
        <v>18</v>
      </c>
      <c r="B267" s="133" t="str">
        <f>HYPERLINK("#'" &amp; TEXT(투자전략!$G$1+17, "[$-ko-KR]yyyy.mm.dd") &amp; "'!A175:O199", TEXT(투자전략!$G$1+17, "[$-ko-KR]yyyy.mm.dd"))</f>
        <v>2022.12.18</v>
      </c>
      <c r="C267" s="118">
        <f t="shared" ca="1" si="78"/>
        <v>3000000</v>
      </c>
      <c r="D267" s="122">
        <f t="shared" ca="1" si="79"/>
        <v>3027335.3900151388</v>
      </c>
      <c r="E267" s="70">
        <f t="shared" ca="1" si="80"/>
        <v>9.1117966717129892E-3</v>
      </c>
      <c r="F267" s="120">
        <f t="shared" ca="1" si="81"/>
        <v>27335.390015138975</v>
      </c>
      <c r="G267" s="122">
        <f t="shared" ca="1" si="82"/>
        <v>3027335.3900151388</v>
      </c>
      <c r="H267" s="70">
        <f t="shared" ca="1" si="83"/>
        <v>9.1117966717129892E-3</v>
      </c>
      <c r="I267" s="120">
        <f t="shared" ca="1" si="84"/>
        <v>27335.390015138975</v>
      </c>
      <c r="J267" s="122">
        <f t="shared" ca="1" si="85"/>
        <v>3046848.6315442645</v>
      </c>
      <c r="K267" s="70">
        <f t="shared" ca="1" si="86"/>
        <v>1.5616210514754817E-2</v>
      </c>
      <c r="L267" s="120">
        <f t="shared" ca="1" si="87"/>
        <v>46848.631544264455</v>
      </c>
      <c r="M267" s="122">
        <f t="shared" ca="1" si="88"/>
        <v>3038748.1616680627</v>
      </c>
      <c r="N267" s="70">
        <f t="shared" ca="1" si="89"/>
        <v>1.2916053889354295E-2</v>
      </c>
      <c r="O267" s="120">
        <f t="shared" ca="1" si="90"/>
        <v>38748.161668062894</v>
      </c>
    </row>
    <row r="268" spans="1:15" ht="16.5" customHeight="1">
      <c r="A268" s="47">
        <v>19</v>
      </c>
      <c r="B268" s="133" t="str">
        <f>HYPERLINK("#'" &amp; TEXT(투자전략!$G$1+18, "[$-ko-KR]yyyy.mm.dd") &amp; "'!A175:O199", TEXT(투자전략!$G$1+18, "[$-ko-KR]yyyy.mm.dd"))</f>
        <v>2022.12.19</v>
      </c>
      <c r="C268" s="118">
        <f t="shared" ca="1" si="78"/>
        <v>3000000</v>
      </c>
      <c r="D268" s="122">
        <f t="shared" ca="1" si="79"/>
        <v>2987200.9875380746</v>
      </c>
      <c r="E268" s="70">
        <f t="shared" ca="1" si="80"/>
        <v>-4.2663374873085887E-3</v>
      </c>
      <c r="F268" s="120">
        <f t="shared" ca="1" si="81"/>
        <v>-12799.012461925762</v>
      </c>
      <c r="G268" s="122">
        <f t="shared" ca="1" si="82"/>
        <v>2982581.8826987804</v>
      </c>
      <c r="H268" s="70">
        <f t="shared" ca="1" si="83"/>
        <v>-5.8060391004065752E-3</v>
      </c>
      <c r="I268" s="120">
        <f t="shared" ca="1" si="84"/>
        <v>-17418.117301219721</v>
      </c>
      <c r="J268" s="122">
        <f t="shared" ca="1" si="85"/>
        <v>2977103.5355022545</v>
      </c>
      <c r="K268" s="70">
        <f t="shared" ca="1" si="86"/>
        <v>-7.6321548325817921E-3</v>
      </c>
      <c r="L268" s="120">
        <f t="shared" ca="1" si="87"/>
        <v>-22896.464497745375</v>
      </c>
      <c r="M268" s="122">
        <f t="shared" ca="1" si="88"/>
        <v>2970013.7812925712</v>
      </c>
      <c r="N268" s="70">
        <f t="shared" ca="1" si="89"/>
        <v>-9.9954062358096028E-3</v>
      </c>
      <c r="O268" s="120">
        <f t="shared" ca="1" si="90"/>
        <v>-29986.218707428809</v>
      </c>
    </row>
    <row r="269" spans="1:15" ht="16.5" customHeight="1">
      <c r="A269" s="47">
        <v>20</v>
      </c>
      <c r="B269" s="133" t="str">
        <f>HYPERLINK("#'" &amp; TEXT(투자전략!$G$1+19, "[$-ko-KR]yyyy.mm.dd") &amp; "'!A175:O199", TEXT(투자전략!$G$1+19, "[$-ko-KR]yyyy.mm.dd"))</f>
        <v>2022.12.20</v>
      </c>
      <c r="C269" s="118">
        <f t="shared" ca="1" si="78"/>
        <v>3000000</v>
      </c>
      <c r="D269" s="122">
        <f t="shared" ca="1" si="79"/>
        <v>3030662.058004017</v>
      </c>
      <c r="E269" s="70">
        <f t="shared" ca="1" si="80"/>
        <v>1.0220686001338916E-2</v>
      </c>
      <c r="F269" s="120">
        <f t="shared" ca="1" si="81"/>
        <v>30662.058004016748</v>
      </c>
      <c r="G269" s="122">
        <f t="shared" ca="1" si="82"/>
        <v>3030662.058004017</v>
      </c>
      <c r="H269" s="70">
        <f t="shared" ca="1" si="83"/>
        <v>1.0220686001338916E-2</v>
      </c>
      <c r="I269" s="120">
        <f t="shared" ca="1" si="84"/>
        <v>30662.058004016748</v>
      </c>
      <c r="J269" s="122">
        <f t="shared" ca="1" si="85"/>
        <v>3033210.7600318925</v>
      </c>
      <c r="K269" s="70">
        <f t="shared" ca="1" si="86"/>
        <v>1.1070253343964165E-2</v>
      </c>
      <c r="L269" s="120">
        <f t="shared" ca="1" si="87"/>
        <v>33210.760031892496</v>
      </c>
      <c r="M269" s="122">
        <f t="shared" ca="1" si="88"/>
        <v>3000821.7949637403</v>
      </c>
      <c r="N269" s="70">
        <f t="shared" ca="1" si="89"/>
        <v>2.7393165458001052E-4</v>
      </c>
      <c r="O269" s="120">
        <f t="shared" ca="1" si="90"/>
        <v>821.79496374003247</v>
      </c>
    </row>
    <row r="270" spans="1:15" ht="16.5" customHeight="1" thickBot="1">
      <c r="A270" s="48">
        <v>21</v>
      </c>
      <c r="B270" s="134" t="str">
        <f>HYPERLINK("#'" &amp; TEXT(투자전략!$G$1+20, "[$-ko-KR]yyyy.mm.dd") &amp; "'!A175:O199", TEXT(투자전략!$G$1+20, "[$-ko-KR]yyyy.mm.dd"))</f>
        <v>2022.12.21</v>
      </c>
      <c r="C270" s="118">
        <f t="shared" ca="1" si="78"/>
        <v>3000000</v>
      </c>
      <c r="D270" s="122">
        <f t="shared" ca="1" si="79"/>
        <v>3001979.2816773909</v>
      </c>
      <c r="E270" s="70">
        <f t="shared" ca="1" si="80"/>
        <v>6.5976055913029709E-4</v>
      </c>
      <c r="F270" s="120">
        <f t="shared" ca="1" si="81"/>
        <v>1979.2816773908926</v>
      </c>
      <c r="G270" s="122">
        <f t="shared" ca="1" si="82"/>
        <v>3010158.19101677</v>
      </c>
      <c r="H270" s="70">
        <f t="shared" ca="1" si="83"/>
        <v>3.386063672256709E-3</v>
      </c>
      <c r="I270" s="120">
        <f t="shared" ca="1" si="84"/>
        <v>10158.19101677013</v>
      </c>
      <c r="J270" s="122">
        <f t="shared" ca="1" si="85"/>
        <v>3010158.19101677</v>
      </c>
      <c r="K270" s="70">
        <f t="shared" ca="1" si="86"/>
        <v>3.386063672256709E-3</v>
      </c>
      <c r="L270" s="120">
        <f t="shared" ca="1" si="87"/>
        <v>10158.19101677013</v>
      </c>
      <c r="M270" s="122">
        <f t="shared" ca="1" si="88"/>
        <v>3002896.5234529376</v>
      </c>
      <c r="N270" s="70">
        <f t="shared" ca="1" si="89"/>
        <v>9.6550781764574646E-4</v>
      </c>
      <c r="O270" s="120">
        <f t="shared" ca="1" si="90"/>
        <v>2896.5234529372392</v>
      </c>
    </row>
    <row r="271" spans="1:15" ht="16.5" customHeight="1">
      <c r="A271" s="46">
        <v>22</v>
      </c>
      <c r="B271" s="132" t="str">
        <f>HYPERLINK("#'" &amp; TEXT(투자전략!$G$1+21, "[$-ko-KR]yyyy.mm.dd") &amp; "'!A175:O199", TEXT(투자전략!$G$1+21, "[$-ko-KR]yyyy.mm.dd"))</f>
        <v>2022.12.22</v>
      </c>
      <c r="C271" s="117">
        <f t="shared" ca="1" si="78"/>
        <v>3000000</v>
      </c>
      <c r="D271" s="125">
        <f t="shared" ca="1" si="79"/>
        <v>2968210.1768307085</v>
      </c>
      <c r="E271" s="69">
        <f t="shared" ca="1" si="80"/>
        <v>-1.0596607723097225E-2</v>
      </c>
      <c r="F271" s="124">
        <f t="shared" ca="1" si="81"/>
        <v>-31789.823169291682</v>
      </c>
      <c r="G271" s="125">
        <f t="shared" ca="1" si="82"/>
        <v>2968662.5633423426</v>
      </c>
      <c r="H271" s="69">
        <f t="shared" ca="1" si="83"/>
        <v>-1.04458122192191E-2</v>
      </c>
      <c r="I271" s="124">
        <f t="shared" ca="1" si="84"/>
        <v>-31337.436657657294</v>
      </c>
      <c r="J271" s="125">
        <f t="shared" ca="1" si="85"/>
        <v>2968662.5633423426</v>
      </c>
      <c r="K271" s="69">
        <f t="shared" ca="1" si="86"/>
        <v>-1.04458122192191E-2</v>
      </c>
      <c r="L271" s="124">
        <f t="shared" ca="1" si="87"/>
        <v>-31337.436657657294</v>
      </c>
      <c r="M271" s="125">
        <f t="shared" ca="1" si="88"/>
        <v>2944786.7006961145</v>
      </c>
      <c r="N271" s="69">
        <f t="shared" ca="1" si="89"/>
        <v>-1.8404433101295158E-2</v>
      </c>
      <c r="O271" s="124">
        <f t="shared" ca="1" si="90"/>
        <v>-55213.299303885455</v>
      </c>
    </row>
    <row r="272" spans="1:15" ht="16.5" customHeight="1">
      <c r="A272" s="47">
        <v>23</v>
      </c>
      <c r="B272" s="133" t="str">
        <f>HYPERLINK("#'" &amp; TEXT(투자전략!$G$1+22, "[$-ko-KR]yyyy.mm.dd") &amp; "'!A175:O199", TEXT(투자전략!$G$1+22, "[$-ko-KR]yyyy.mm.dd"))</f>
        <v>2022.12.23</v>
      </c>
      <c r="C272" s="118">
        <f t="shared" ca="1" si="78"/>
        <v>3000000</v>
      </c>
      <c r="D272" s="122">
        <f t="shared" ca="1" si="79"/>
        <v>3104325.8711978751</v>
      </c>
      <c r="E272" s="70">
        <f t="shared" ca="1" si="80"/>
        <v>3.4775290399291725E-2</v>
      </c>
      <c r="F272" s="120">
        <f t="shared" ca="1" si="81"/>
        <v>104325.87119787517</v>
      </c>
      <c r="G272" s="122">
        <f t="shared" ca="1" si="82"/>
        <v>3104943.4574565236</v>
      </c>
      <c r="H272" s="70">
        <f t="shared" ca="1" si="83"/>
        <v>3.4981152485508003E-2</v>
      </c>
      <c r="I272" s="120">
        <f t="shared" ca="1" si="84"/>
        <v>104943.457456524</v>
      </c>
      <c r="J272" s="122">
        <f t="shared" ca="1" si="85"/>
        <v>3104943.4574565236</v>
      </c>
      <c r="K272" s="70">
        <f t="shared" ca="1" si="86"/>
        <v>3.4981152485508003E-2</v>
      </c>
      <c r="L272" s="120">
        <f t="shared" ca="1" si="87"/>
        <v>104943.457456524</v>
      </c>
      <c r="M272" s="122">
        <f t="shared" ca="1" si="88"/>
        <v>3090891.4238915993</v>
      </c>
      <c r="N272" s="70">
        <f t="shared" ca="1" si="89"/>
        <v>3.0297141297199737E-2</v>
      </c>
      <c r="O272" s="120">
        <f t="shared" ca="1" si="90"/>
        <v>90891.423891599232</v>
      </c>
    </row>
    <row r="273" spans="1:15" ht="16.5" customHeight="1">
      <c r="A273" s="47">
        <v>24</v>
      </c>
      <c r="B273" s="133" t="str">
        <f>HYPERLINK("#'" &amp; TEXT(투자전략!$G$1+23, "[$-ko-KR]yyyy.mm.dd") &amp; "'!A175:O199", TEXT(투자전략!$G$1+23, "[$-ko-KR]yyyy.mm.dd"))</f>
        <v>2022.12.24</v>
      </c>
      <c r="C273" s="118">
        <f t="shared" ca="1" si="78"/>
        <v>3000000</v>
      </c>
      <c r="D273" s="122">
        <f t="shared" ca="1" si="79"/>
        <v>3015386.6318412805</v>
      </c>
      <c r="E273" s="70">
        <f t="shared" ca="1" si="80"/>
        <v>5.1288772804268679E-3</v>
      </c>
      <c r="F273" s="120">
        <f t="shared" ca="1" si="81"/>
        <v>15386.631841280603</v>
      </c>
      <c r="G273" s="122">
        <f t="shared" ca="1" si="82"/>
        <v>3015386.6318412805</v>
      </c>
      <c r="H273" s="70">
        <f t="shared" ca="1" si="83"/>
        <v>5.1288772804268679E-3</v>
      </c>
      <c r="I273" s="120">
        <f t="shared" ca="1" si="84"/>
        <v>15386.631841280603</v>
      </c>
      <c r="J273" s="122">
        <f t="shared" ca="1" si="85"/>
        <v>3015386.6318412805</v>
      </c>
      <c r="K273" s="70">
        <f t="shared" ca="1" si="86"/>
        <v>5.1288772804268679E-3</v>
      </c>
      <c r="L273" s="120">
        <f t="shared" ca="1" si="87"/>
        <v>15386.631841280603</v>
      </c>
      <c r="M273" s="122">
        <f t="shared" ca="1" si="88"/>
        <v>3009533.9814495253</v>
      </c>
      <c r="N273" s="70">
        <f t="shared" ca="1" si="89"/>
        <v>3.1779938165084334E-3</v>
      </c>
      <c r="O273" s="120">
        <f t="shared" ca="1" si="90"/>
        <v>9533.9814495252995</v>
      </c>
    </row>
    <row r="274" spans="1:15" ht="16.5" customHeight="1">
      <c r="A274" s="47">
        <v>25</v>
      </c>
      <c r="B274" s="133" t="str">
        <f>HYPERLINK("#'" &amp; TEXT(투자전략!$G$1+24, "[$-ko-KR]yyyy.mm.dd") &amp; "'!A175:O199", TEXT(투자전략!$G$1+24, "[$-ko-KR]yyyy.mm.dd"))</f>
        <v>2022.12.25</v>
      </c>
      <c r="C274" s="118">
        <f t="shared" ca="1" si="78"/>
        <v>3000000</v>
      </c>
      <c r="D274" s="122">
        <f t="shared" ca="1" si="79"/>
        <v>2995962.5495994189</v>
      </c>
      <c r="E274" s="70">
        <f t="shared" ca="1" si="80"/>
        <v>-1.3458168001937261E-3</v>
      </c>
      <c r="F274" s="120">
        <f t="shared" ca="1" si="81"/>
        <v>-4037.4504005811823</v>
      </c>
      <c r="G274" s="122">
        <f t="shared" ca="1" si="82"/>
        <v>2979921.0196442367</v>
      </c>
      <c r="H274" s="70">
        <f t="shared" ca="1" si="83"/>
        <v>-6.6929934519211354E-3</v>
      </c>
      <c r="I274" s="120">
        <f t="shared" ca="1" si="84"/>
        <v>-20078.9803557634</v>
      </c>
      <c r="J274" s="122">
        <f t="shared" ca="1" si="85"/>
        <v>2965878.1534945751</v>
      </c>
      <c r="K274" s="70">
        <f t="shared" ca="1" si="86"/>
        <v>-1.1373948835141597E-2</v>
      </c>
      <c r="L274" s="120">
        <f t="shared" ca="1" si="87"/>
        <v>-34121.846505424786</v>
      </c>
      <c r="M274" s="122">
        <f t="shared" ca="1" si="88"/>
        <v>2946843.4517949014</v>
      </c>
      <c r="N274" s="70">
        <f t="shared" ca="1" si="89"/>
        <v>-1.7718849401699509E-2</v>
      </c>
      <c r="O274" s="120">
        <f t="shared" ca="1" si="90"/>
        <v>-53156.548205098516</v>
      </c>
    </row>
    <row r="275" spans="1:15" ht="16.5" customHeight="1">
      <c r="A275" s="47">
        <v>26</v>
      </c>
      <c r="B275" s="133" t="str">
        <f>HYPERLINK("#'" &amp; TEXT(투자전략!$G$1+25, "[$-ko-KR]yyyy.mm.dd") &amp; "'!A175:O199", TEXT(투자전략!$G$1+25, "[$-ko-KR]yyyy.mm.dd"))</f>
        <v>2022.12.26</v>
      </c>
      <c r="C275" s="118">
        <f t="shared" ca="1" si="78"/>
        <v>3000000</v>
      </c>
      <c r="D275" s="122">
        <f t="shared" ca="1" si="79"/>
        <v>2967515.1926145605</v>
      </c>
      <c r="E275" s="70">
        <f t="shared" ca="1" si="80"/>
        <v>-1.0828269128479793E-2</v>
      </c>
      <c r="F275" s="120">
        <f t="shared" ca="1" si="81"/>
        <v>-32484.80738543937</v>
      </c>
      <c r="G275" s="122">
        <f t="shared" ca="1" si="82"/>
        <v>3000000</v>
      </c>
      <c r="H275" s="70">
        <f t="shared" ca="1" si="83"/>
        <v>0</v>
      </c>
      <c r="I275" s="120">
        <f t="shared" ca="1" si="84"/>
        <v>0</v>
      </c>
      <c r="J275" s="122">
        <f t="shared" ca="1" si="85"/>
        <v>3000000</v>
      </c>
      <c r="K275" s="70">
        <f t="shared" ca="1" si="86"/>
        <v>0</v>
      </c>
      <c r="L275" s="120">
        <f t="shared" ca="1" si="87"/>
        <v>0</v>
      </c>
      <c r="M275" s="122">
        <f t="shared" ca="1" si="88"/>
        <v>3000000</v>
      </c>
      <c r="N275" s="70">
        <f t="shared" ca="1" si="89"/>
        <v>0</v>
      </c>
      <c r="O275" s="120">
        <f t="shared" ca="1" si="90"/>
        <v>0</v>
      </c>
    </row>
    <row r="276" spans="1:15" ht="16.5" customHeight="1">
      <c r="A276" s="47">
        <v>27</v>
      </c>
      <c r="B276" s="133" t="str">
        <f>HYPERLINK("#'" &amp; TEXT(투자전략!$G$1+26, "[$-ko-KR]yyyy.mm.dd") &amp; "'!A175:O199", TEXT(투자전략!$G$1+26, "[$-ko-KR]yyyy.mm.dd"))</f>
        <v>2022.12.27</v>
      </c>
      <c r="C276" s="118" t="str">
        <f t="shared" ca="1" si="78"/>
        <v/>
      </c>
      <c r="D276" s="122" t="str">
        <f t="shared" ca="1" si="79"/>
        <v/>
      </c>
      <c r="E276" s="70" t="str">
        <f t="shared" ca="1" si="80"/>
        <v/>
      </c>
      <c r="F276" s="120" t="str">
        <f t="shared" ca="1" si="81"/>
        <v/>
      </c>
      <c r="G276" s="122" t="str">
        <f t="shared" ca="1" si="82"/>
        <v/>
      </c>
      <c r="H276" s="70" t="str">
        <f t="shared" ca="1" si="83"/>
        <v/>
      </c>
      <c r="I276" s="120" t="str">
        <f t="shared" ca="1" si="84"/>
        <v/>
      </c>
      <c r="J276" s="122" t="str">
        <f t="shared" ca="1" si="85"/>
        <v/>
      </c>
      <c r="K276" s="70" t="str">
        <f t="shared" ca="1" si="86"/>
        <v/>
      </c>
      <c r="L276" s="120" t="str">
        <f t="shared" ca="1" si="87"/>
        <v/>
      </c>
      <c r="M276" s="122" t="str">
        <f t="shared" ca="1" si="88"/>
        <v/>
      </c>
      <c r="N276" s="70" t="str">
        <f t="shared" ca="1" si="89"/>
        <v/>
      </c>
      <c r="O276" s="120" t="str">
        <f t="shared" ca="1" si="90"/>
        <v/>
      </c>
    </row>
    <row r="277" spans="1:15" ht="16.5" customHeight="1" thickBot="1">
      <c r="A277" s="48">
        <v>28</v>
      </c>
      <c r="B277" s="134" t="str">
        <f>HYPERLINK("#'" &amp; TEXT(투자전략!$G$1+27, "[$-ko-KR]yyyy.mm.dd") &amp; "'!A175:O199", TEXT(투자전략!$G$1+27, "[$-ko-KR]yyyy.mm.dd"))</f>
        <v>2022.12.28</v>
      </c>
      <c r="C277" s="119" t="str">
        <f t="shared" ca="1" si="78"/>
        <v/>
      </c>
      <c r="D277" s="123" t="str">
        <f t="shared" ca="1" si="79"/>
        <v/>
      </c>
      <c r="E277" s="72" t="str">
        <f t="shared" ca="1" si="80"/>
        <v/>
      </c>
      <c r="F277" s="121" t="str">
        <f t="shared" ca="1" si="81"/>
        <v/>
      </c>
      <c r="G277" s="123" t="str">
        <f t="shared" ca="1" si="82"/>
        <v/>
      </c>
      <c r="H277" s="72" t="str">
        <f t="shared" ca="1" si="83"/>
        <v/>
      </c>
      <c r="I277" s="121" t="str">
        <f t="shared" ca="1" si="84"/>
        <v/>
      </c>
      <c r="J277" s="123" t="str">
        <f t="shared" ca="1" si="85"/>
        <v/>
      </c>
      <c r="K277" s="72" t="str">
        <f t="shared" ca="1" si="86"/>
        <v/>
      </c>
      <c r="L277" s="121" t="str">
        <f t="shared" ca="1" si="87"/>
        <v/>
      </c>
      <c r="M277" s="123" t="str">
        <f t="shared" ca="1" si="88"/>
        <v/>
      </c>
      <c r="N277" s="72" t="str">
        <f t="shared" ca="1" si="89"/>
        <v/>
      </c>
      <c r="O277" s="121" t="str">
        <f t="shared" ca="1" si="90"/>
        <v/>
      </c>
    </row>
    <row r="278" spans="1:15" ht="16.5" customHeight="1">
      <c r="A278" s="105">
        <v>29</v>
      </c>
      <c r="B278" s="132" t="str">
        <f>HYPERLINK("#'" &amp; TEXT(투자전략!$G$1+28, "[$-ko-KR]yyyy.mm.dd") &amp; "'!A175:O199", TEXT(투자전략!$G$1+28, "[$-ko-KR]yyyy.mm.dd"))</f>
        <v>2022.12.29</v>
      </c>
      <c r="C278" s="118" t="str">
        <f t="shared" ca="1" si="78"/>
        <v/>
      </c>
      <c r="D278" s="122" t="str">
        <f t="shared" ca="1" si="79"/>
        <v/>
      </c>
      <c r="E278" s="70" t="str">
        <f t="shared" ca="1" si="80"/>
        <v/>
      </c>
      <c r="F278" s="120" t="str">
        <f t="shared" ca="1" si="81"/>
        <v/>
      </c>
      <c r="G278" s="122" t="str">
        <f t="shared" ca="1" si="82"/>
        <v/>
      </c>
      <c r="H278" s="70" t="str">
        <f t="shared" ca="1" si="83"/>
        <v/>
      </c>
      <c r="I278" s="120" t="str">
        <f t="shared" ca="1" si="84"/>
        <v/>
      </c>
      <c r="J278" s="122" t="str">
        <f t="shared" ca="1" si="85"/>
        <v/>
      </c>
      <c r="K278" s="70" t="str">
        <f t="shared" ca="1" si="86"/>
        <v/>
      </c>
      <c r="L278" s="120" t="str">
        <f t="shared" ca="1" si="87"/>
        <v/>
      </c>
      <c r="M278" s="122" t="str">
        <f t="shared" ca="1" si="88"/>
        <v/>
      </c>
      <c r="N278" s="70" t="str">
        <f t="shared" ca="1" si="89"/>
        <v/>
      </c>
      <c r="O278" s="120" t="str">
        <f t="shared" ca="1" si="90"/>
        <v/>
      </c>
    </row>
    <row r="279" spans="1:15" ht="16.5" customHeight="1">
      <c r="A279" s="105">
        <v>30</v>
      </c>
      <c r="B279" s="133" t="str">
        <f>HYPERLINK("#'" &amp; TEXT(투자전략!$G$1+29, "[$-ko-KR]yyyy.mm.dd") &amp; "'!A175:O199", TEXT(투자전략!$G$1+29, "[$-ko-KR]yyyy.mm.dd"))</f>
        <v>2022.12.30</v>
      </c>
      <c r="C279" s="118" t="str">
        <f t="shared" ca="1" si="78"/>
        <v/>
      </c>
      <c r="D279" s="122" t="str">
        <f t="shared" ca="1" si="79"/>
        <v/>
      </c>
      <c r="E279" s="70" t="str">
        <f t="shared" ca="1" si="80"/>
        <v/>
      </c>
      <c r="F279" s="120" t="str">
        <f t="shared" ca="1" si="81"/>
        <v/>
      </c>
      <c r="G279" s="122" t="str">
        <f t="shared" ca="1" si="82"/>
        <v/>
      </c>
      <c r="H279" s="70" t="str">
        <f t="shared" ca="1" si="83"/>
        <v/>
      </c>
      <c r="I279" s="120" t="str">
        <f t="shared" ca="1" si="84"/>
        <v/>
      </c>
      <c r="J279" s="122" t="str">
        <f t="shared" ca="1" si="85"/>
        <v/>
      </c>
      <c r="K279" s="70" t="str">
        <f t="shared" ca="1" si="86"/>
        <v/>
      </c>
      <c r="L279" s="120" t="str">
        <f t="shared" ca="1" si="87"/>
        <v/>
      </c>
      <c r="M279" s="122" t="str">
        <f t="shared" ca="1" si="88"/>
        <v/>
      </c>
      <c r="N279" s="70" t="str">
        <f t="shared" ca="1" si="89"/>
        <v/>
      </c>
      <c r="O279" s="120" t="str">
        <f t="shared" ca="1" si="90"/>
        <v/>
      </c>
    </row>
    <row r="280" spans="1:15" ht="16.5" customHeight="1" thickBot="1">
      <c r="A280" s="105">
        <v>31</v>
      </c>
      <c r="B280" s="133" t="str">
        <f>HYPERLINK("#'" &amp; TEXT(투자전략!$G$1+30, "[$-ko-KR]yyyy.mm.dd") &amp; "'!A175:O199", TEXT(투자전략!$G$1+30, "[$-ko-KR]yyyy.mm.dd"))</f>
        <v>2022.12.31</v>
      </c>
      <c r="C280" s="119" t="str">
        <f t="shared" ca="1" si="78"/>
        <v/>
      </c>
      <c r="D280" s="123" t="str">
        <f t="shared" ca="1" si="79"/>
        <v/>
      </c>
      <c r="E280" s="72" t="str">
        <f t="shared" ca="1" si="80"/>
        <v/>
      </c>
      <c r="F280" s="121" t="str">
        <f t="shared" ca="1" si="81"/>
        <v/>
      </c>
      <c r="G280" s="123" t="str">
        <f t="shared" ca="1" si="82"/>
        <v/>
      </c>
      <c r="H280" s="72" t="str">
        <f t="shared" ca="1" si="83"/>
        <v/>
      </c>
      <c r="I280" s="121" t="str">
        <f t="shared" ca="1" si="84"/>
        <v/>
      </c>
      <c r="J280" s="123" t="str">
        <f t="shared" ca="1" si="85"/>
        <v/>
      </c>
      <c r="K280" s="72" t="str">
        <f t="shared" ca="1" si="86"/>
        <v/>
      </c>
      <c r="L280" s="121" t="str">
        <f t="shared" ca="1" si="87"/>
        <v/>
      </c>
      <c r="M280" s="123" t="str">
        <f t="shared" ca="1" si="88"/>
        <v/>
      </c>
      <c r="N280" s="72" t="str">
        <f t="shared" ca="1" si="89"/>
        <v/>
      </c>
      <c r="O280" s="121" t="str">
        <f t="shared" ca="1" si="90"/>
        <v/>
      </c>
    </row>
    <row r="281" spans="1:15" ht="16.5" customHeight="1" thickBot="1">
      <c r="A281" s="144" t="s">
        <v>273</v>
      </c>
      <c r="B281" s="146"/>
      <c r="C281" s="116" t="s">
        <v>268</v>
      </c>
      <c r="D281" s="9" t="s">
        <v>269</v>
      </c>
      <c r="E281" s="63" t="s">
        <v>270</v>
      </c>
      <c r="F281" s="64" t="s">
        <v>271</v>
      </c>
      <c r="G281" s="9" t="s">
        <v>269</v>
      </c>
      <c r="H281" s="63" t="s">
        <v>270</v>
      </c>
      <c r="I281" s="64" t="s">
        <v>271</v>
      </c>
      <c r="J281" s="9" t="s">
        <v>269</v>
      </c>
      <c r="K281" s="63" t="s">
        <v>270</v>
      </c>
      <c r="L281" s="64" t="s">
        <v>271</v>
      </c>
      <c r="M281" s="9" t="s">
        <v>269</v>
      </c>
      <c r="N281" s="63" t="s">
        <v>270</v>
      </c>
      <c r="O281" s="64" t="s">
        <v>271</v>
      </c>
    </row>
    <row r="282" spans="1:15" ht="16.5" customHeight="1" thickBot="1">
      <c r="A282" s="150"/>
      <c r="B282" s="152"/>
      <c r="C282" s="119">
        <f ca="1">SUM(C250:C280)</f>
        <v>78000000</v>
      </c>
      <c r="D282" s="123">
        <f ca="1">SUM(D250:D280)</f>
        <v>77494596.635572463</v>
      </c>
      <c r="E282" s="72">
        <f ca="1">IFERROR(F282 / (SUM($C250:$C280) / COUNT($C250:$C280)), 0)</f>
        <v>-0.16757399557550418</v>
      </c>
      <c r="F282" s="121">
        <f ca="1">SUM(F250:F280)</f>
        <v>-502721.98672651249</v>
      </c>
      <c r="G282" s="123">
        <f ca="1">SUM(G250:G280)</f>
        <v>77570501.879857838</v>
      </c>
      <c r="H282" s="72">
        <f ca="1">IFERROR(I282 / (SUM($C250:$C280) / COUNT($C250:$C280)), 0)</f>
        <v>-0.14157761207304312</v>
      </c>
      <c r="I282" s="121">
        <f ca="1">SUM(I250:I280)</f>
        <v>-424732.83621912933</v>
      </c>
      <c r="J282" s="123">
        <f ca="1">SUM(J250:J280)</f>
        <v>77511877.723389253</v>
      </c>
      <c r="K282" s="72">
        <f ca="1">IFERROR(L282 / (SUM($C250:$C280) / COUNT($C250:$C280)), 0)</f>
        <v>-0.15972221735514144</v>
      </c>
      <c r="L282" s="121">
        <f ca="1">SUM(L250:L280)</f>
        <v>-479166.65206542431</v>
      </c>
      <c r="M282" s="123">
        <f ca="1">SUM(M250:M280)</f>
        <v>77260041.990267709</v>
      </c>
      <c r="N282" s="72">
        <f ca="1">IFERROR(O282 / (SUM($C250:$C280) / COUNT($C250:$C280)), 0)</f>
        <v>-0.24319635431496694</v>
      </c>
      <c r="O282" s="121">
        <f ca="1">SUM(O250:O280)</f>
        <v>-729589.06294490083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4879" priority="323">
      <formula>$E$54 &gt; 0</formula>
    </cfRule>
    <cfRule type="expression" dxfId="4878" priority="324">
      <formula>$E$54 = 0</formula>
    </cfRule>
    <cfRule type="expression" dxfId="4877" priority="325">
      <formula>$E$54 &lt; 0</formula>
    </cfRule>
  </conditionalFormatting>
  <conditionalFormatting sqref="G20:I21 H54:I54">
    <cfRule type="expression" dxfId="4876" priority="320">
      <formula>$H$54 &gt; 0</formula>
    </cfRule>
    <cfRule type="expression" dxfId="4875" priority="321">
      <formula>$H$54 = 0</formula>
    </cfRule>
    <cfRule type="expression" dxfId="4874" priority="322">
      <formula>$H$54 &lt; 0</formula>
    </cfRule>
  </conditionalFormatting>
  <conditionalFormatting sqref="J20:L21 K54:L54">
    <cfRule type="expression" dxfId="4873" priority="317">
      <formula>$K$54 &gt; 0</formula>
    </cfRule>
    <cfRule type="expression" dxfId="4872" priority="318">
      <formula>$K$54 = 0</formula>
    </cfRule>
    <cfRule type="expression" dxfId="4871" priority="319">
      <formula>$K$54 &lt; 0</formula>
    </cfRule>
  </conditionalFormatting>
  <conditionalFormatting sqref="M20:O21 N54:O54">
    <cfRule type="expression" dxfId="4870" priority="314">
      <formula>$N$54 &gt; 0</formula>
    </cfRule>
    <cfRule type="expression" dxfId="4869" priority="315">
      <formula>$N$54 = 0</formula>
    </cfRule>
    <cfRule type="expression" dxfId="4868" priority="316">
      <formula>$N$54 &lt; 0</formula>
    </cfRule>
  </conditionalFormatting>
  <conditionalFormatting sqref="D22:F52">
    <cfRule type="expression" dxfId="4867" priority="299">
      <formula>AND($E22 &gt; 0, ISNUMBER($E22))</formula>
    </cfRule>
    <cfRule type="expression" dxfId="4866" priority="300">
      <formula>AND($E22 = 0, ISNUMBER($E22))</formula>
    </cfRule>
    <cfRule type="expression" dxfId="4865" priority="301">
      <formula>AND($E22 &lt; 0, ISNUMBER($E22))</formula>
    </cfRule>
  </conditionalFormatting>
  <conditionalFormatting sqref="G22:I52">
    <cfRule type="expression" dxfId="4864" priority="296">
      <formula>AND($H22 &gt; 0, ISNUMBER($H22))</formula>
    </cfRule>
    <cfRule type="expression" dxfId="4863" priority="297">
      <formula>AND($H22 = 0, ISNUMBER($H22))</formula>
    </cfRule>
    <cfRule type="expression" dxfId="4862" priority="298">
      <formula>AND($H22 &lt; 0, ISNUMBER($H22))</formula>
    </cfRule>
  </conditionalFormatting>
  <conditionalFormatting sqref="J22:L52">
    <cfRule type="expression" dxfId="4861" priority="293">
      <formula>AND($K22 &gt; 0, ISNUMBER($K22))</formula>
    </cfRule>
    <cfRule type="expression" dxfId="4860" priority="294">
      <formula>AND($K22 = 0, ISNUMBER($K22))</formula>
    </cfRule>
    <cfRule type="expression" dxfId="4859" priority="295">
      <formula>AND($K22 &lt; 0, ISNUMBER($K22))</formula>
    </cfRule>
  </conditionalFormatting>
  <conditionalFormatting sqref="M22:O52">
    <cfRule type="expression" dxfId="4858" priority="290">
      <formula>AND($N22 &gt; 0, ISNUMBER($N22))</formula>
    </cfRule>
    <cfRule type="expression" dxfId="4857" priority="291">
      <formula>AND($N22 = 0, ISNUMBER($N22))</formula>
    </cfRule>
    <cfRule type="expression" dxfId="4856" priority="292">
      <formula>AND($N22 &lt; 0, ISNUMBER($N22))</formula>
    </cfRule>
  </conditionalFormatting>
  <conditionalFormatting sqref="D58:F59 E92:F92">
    <cfRule type="expression" dxfId="4855" priority="287">
      <formula>$E$92 &gt; 0</formula>
    </cfRule>
    <cfRule type="expression" dxfId="4854" priority="288">
      <formula>$E$92 = 0</formula>
    </cfRule>
    <cfRule type="expression" dxfId="4853" priority="289">
      <formula>$E$92 &lt; 0</formula>
    </cfRule>
  </conditionalFormatting>
  <conditionalFormatting sqref="G58:I59 H92:I92">
    <cfRule type="expression" dxfId="4852" priority="284">
      <formula>$H$92 &gt; 0</formula>
    </cfRule>
    <cfRule type="expression" dxfId="4851" priority="285">
      <formula>$H$92 = 0</formula>
    </cfRule>
    <cfRule type="expression" dxfId="4850" priority="286">
      <formula>$H$92 &lt; 0</formula>
    </cfRule>
  </conditionalFormatting>
  <conditionalFormatting sqref="J58:L59 K92:L92">
    <cfRule type="expression" dxfId="4849" priority="281">
      <formula>$K$92 &gt; 0</formula>
    </cfRule>
    <cfRule type="expression" dxfId="4848" priority="282">
      <formula>$K$92 = 0</formula>
    </cfRule>
    <cfRule type="expression" dxfId="4847" priority="283">
      <formula>$K$92 &lt; 0</formula>
    </cfRule>
  </conditionalFormatting>
  <conditionalFormatting sqref="M58:O59 N92:O92">
    <cfRule type="expression" dxfId="4846" priority="278">
      <formula>$N$92 &gt; 0</formula>
    </cfRule>
    <cfRule type="expression" dxfId="4845" priority="279">
      <formula>$N$92 = 0</formula>
    </cfRule>
    <cfRule type="expression" dxfId="4844" priority="280">
      <formula>$N$92 &lt; 0</formula>
    </cfRule>
  </conditionalFormatting>
  <conditionalFormatting sqref="D60:F90">
    <cfRule type="expression" dxfId="4843" priority="275">
      <formula>AND($E60 &gt; 0, ISNUMBER($E60))</formula>
    </cfRule>
    <cfRule type="expression" dxfId="4842" priority="276">
      <formula>AND($E60 = 0, ISNUMBER($E60))</formula>
    </cfRule>
    <cfRule type="expression" dxfId="4841" priority="277">
      <formula>AND($E60 &lt; 0, ISNUMBER($E60))</formula>
    </cfRule>
  </conditionalFormatting>
  <conditionalFormatting sqref="G60:I90">
    <cfRule type="expression" dxfId="4840" priority="272">
      <formula>AND($H60 &gt; 0, ISNUMBER($H60))</formula>
    </cfRule>
    <cfRule type="expression" dxfId="4839" priority="273">
      <formula>AND($H60 = 0, ISNUMBER($H60))</formula>
    </cfRule>
    <cfRule type="expression" dxfId="4838" priority="274">
      <formula>AND($H60 &lt; 0, ISNUMBER($H60))</formula>
    </cfRule>
  </conditionalFormatting>
  <conditionalFormatting sqref="J60:L90">
    <cfRule type="expression" dxfId="4837" priority="269">
      <formula>AND($K60 &gt; 0, ISNUMBER($K60))</formula>
    </cfRule>
    <cfRule type="expression" dxfId="4836" priority="270">
      <formula>AND($K60 = 0, ISNUMBER($K60))</formula>
    </cfRule>
    <cfRule type="expression" dxfId="4835" priority="271">
      <formula>AND($K60 &lt; 0, ISNUMBER($K60))</formula>
    </cfRule>
  </conditionalFormatting>
  <conditionalFormatting sqref="M60:O90">
    <cfRule type="expression" dxfId="4834" priority="266">
      <formula>AND($N60 &gt; 0, ISNUMBER($N60))</formula>
    </cfRule>
    <cfRule type="expression" dxfId="4833" priority="267">
      <formula>AND($N60 = 0, ISNUMBER($N60))</formula>
    </cfRule>
    <cfRule type="expression" dxfId="4832" priority="268">
      <formula>AND($N60 &lt; 0, ISNUMBER($N60))</formula>
    </cfRule>
  </conditionalFormatting>
  <conditionalFormatting sqref="D96:F97 E130:F130">
    <cfRule type="expression" dxfId="4831" priority="263">
      <formula>$E$130 &gt; 0</formula>
    </cfRule>
    <cfRule type="expression" dxfId="4830" priority="264">
      <formula>$E$130 = 0</formula>
    </cfRule>
    <cfRule type="expression" dxfId="4829" priority="265">
      <formula>$E$130 &lt; 0</formula>
    </cfRule>
  </conditionalFormatting>
  <conditionalFormatting sqref="G96:I97 H130:I130">
    <cfRule type="expression" dxfId="4828" priority="260">
      <formula>$H$130 &gt; 0</formula>
    </cfRule>
    <cfRule type="expression" dxfId="4827" priority="261">
      <formula>$H$130 = 0</formula>
    </cfRule>
    <cfRule type="expression" dxfId="4826" priority="262">
      <formula>$H$130 &lt; 0</formula>
    </cfRule>
  </conditionalFormatting>
  <conditionalFormatting sqref="J96:L97 K130:L130">
    <cfRule type="expression" dxfId="4825" priority="257">
      <formula>$K$130 &gt; 0</formula>
    </cfRule>
    <cfRule type="expression" dxfId="4824" priority="258">
      <formula>$K$130 = 0</formula>
    </cfRule>
    <cfRule type="expression" dxfId="4823" priority="259">
      <formula>$K$130 &lt; 0</formula>
    </cfRule>
  </conditionalFormatting>
  <conditionalFormatting sqref="M96:O97 N130:O130">
    <cfRule type="expression" dxfId="4822" priority="254">
      <formula>$N$130 &gt; 0</formula>
    </cfRule>
    <cfRule type="expression" dxfId="4821" priority="255">
      <formula>$N$130 = 0</formula>
    </cfRule>
    <cfRule type="expression" dxfId="4820" priority="256">
      <formula>$N$130 &lt; 0</formula>
    </cfRule>
  </conditionalFormatting>
  <conditionalFormatting sqref="D98:F128">
    <cfRule type="expression" dxfId="4819" priority="251">
      <formula>AND($E98 &gt; 0, ISNUMBER($E98))</formula>
    </cfRule>
    <cfRule type="expression" dxfId="4818" priority="252">
      <formula>AND($E98 = 0, ISNUMBER($E98))</formula>
    </cfRule>
    <cfRule type="expression" dxfId="4817" priority="253">
      <formula>AND($E98 &lt; 0, ISNUMBER($E98))</formula>
    </cfRule>
  </conditionalFormatting>
  <conditionalFormatting sqref="G98:I128">
    <cfRule type="expression" dxfId="4816" priority="248">
      <formula>AND($H98 &gt; 0, ISNUMBER($H98))</formula>
    </cfRule>
    <cfRule type="expression" dxfId="4815" priority="249">
      <formula>AND($H98 = 0, ISNUMBER($H98))</formula>
    </cfRule>
    <cfRule type="expression" dxfId="4814" priority="250">
      <formula>AND($H98 &lt; 0, ISNUMBER($H98))</formula>
    </cfRule>
  </conditionalFormatting>
  <conditionalFormatting sqref="J98:L128">
    <cfRule type="expression" dxfId="4813" priority="245">
      <formula>AND($K98 &gt; 0, ISNUMBER($K98))</formula>
    </cfRule>
    <cfRule type="expression" dxfId="4812" priority="246">
      <formula>AND($K98 = 0, ISNUMBER($K98))</formula>
    </cfRule>
    <cfRule type="expression" dxfId="4811" priority="247">
      <formula>AND($K98 &lt; 0, ISNUMBER($K98))</formula>
    </cfRule>
  </conditionalFormatting>
  <conditionalFormatting sqref="M98:O128">
    <cfRule type="expression" dxfId="4810" priority="242">
      <formula>AND($N98 &gt; 0, ISNUMBER($N98))</formula>
    </cfRule>
    <cfRule type="expression" dxfId="4809" priority="243">
      <formula>AND($N98 = 0, ISNUMBER($N98))</formula>
    </cfRule>
    <cfRule type="expression" dxfId="4808" priority="244">
      <formula>AND($N98 &lt; 0, ISNUMBER($N98))</formula>
    </cfRule>
  </conditionalFormatting>
  <conditionalFormatting sqref="D134:F135 E168:F168">
    <cfRule type="expression" dxfId="4807" priority="239">
      <formula>$E$168 &gt; 0</formula>
    </cfRule>
    <cfRule type="expression" dxfId="4806" priority="240">
      <formula>$E$168 = 0</formula>
    </cfRule>
    <cfRule type="expression" dxfId="4805" priority="241">
      <formula>$E$168 &lt; 0</formula>
    </cfRule>
  </conditionalFormatting>
  <conditionalFormatting sqref="G134:I135 H168:I168">
    <cfRule type="expression" dxfId="4804" priority="236">
      <formula>$H$168 &gt; 0</formula>
    </cfRule>
    <cfRule type="expression" dxfId="4803" priority="237">
      <formula>$H$168 = 0</formula>
    </cfRule>
    <cfRule type="expression" dxfId="4802" priority="238">
      <formula>$H$168 &lt; 0</formula>
    </cfRule>
  </conditionalFormatting>
  <conditionalFormatting sqref="J134:L135 K168:L168">
    <cfRule type="expression" dxfId="4801" priority="233">
      <formula>$K$168 &gt; 0</formula>
    </cfRule>
    <cfRule type="expression" dxfId="4800" priority="234">
      <formula>$K$168 = 0</formula>
    </cfRule>
    <cfRule type="expression" dxfId="4799" priority="235">
      <formula>$K$168 &lt; 0</formula>
    </cfRule>
  </conditionalFormatting>
  <conditionalFormatting sqref="M134:O135 N168:O168">
    <cfRule type="expression" dxfId="4798" priority="230">
      <formula>$N$168 &gt; 0</formula>
    </cfRule>
    <cfRule type="expression" dxfId="4797" priority="231">
      <formula>$N$168 = 0</formula>
    </cfRule>
    <cfRule type="expression" dxfId="4796" priority="232">
      <formula>$N$168 &lt; 0</formula>
    </cfRule>
  </conditionalFormatting>
  <conditionalFormatting sqref="D136:F166">
    <cfRule type="expression" dxfId="4795" priority="227">
      <formula>AND($E136 &gt; 0, ISNUMBER($E136))</formula>
    </cfRule>
    <cfRule type="expression" dxfId="4794" priority="228">
      <formula>AND($E136 = 0, ISNUMBER($E136))</formula>
    </cfRule>
    <cfRule type="expression" dxfId="4793" priority="229">
      <formula>AND($E136 &lt; 0, ISNUMBER($E136))</formula>
    </cfRule>
  </conditionalFormatting>
  <conditionalFormatting sqref="G136:I166">
    <cfRule type="expression" dxfId="4792" priority="224">
      <formula>AND($H136 &gt; 0, ISNUMBER($H136))</formula>
    </cfRule>
    <cfRule type="expression" dxfId="4791" priority="225">
      <formula>AND($H136 = 0, ISNUMBER($H136))</formula>
    </cfRule>
    <cfRule type="expression" dxfId="4790" priority="226">
      <formula>AND($H136 &lt; 0, ISNUMBER($H136))</formula>
    </cfRule>
  </conditionalFormatting>
  <conditionalFormatting sqref="J136:L166">
    <cfRule type="expression" dxfId="4789" priority="221">
      <formula>AND($K136 &gt; 0, ISNUMBER($K136))</formula>
    </cfRule>
    <cfRule type="expression" dxfId="4788" priority="222">
      <formula>AND($K136 = 0, ISNUMBER($K136))</formula>
    </cfRule>
    <cfRule type="expression" dxfId="4787" priority="223">
      <formula>AND($K136 &lt; 0, ISNUMBER($K136))</formula>
    </cfRule>
  </conditionalFormatting>
  <conditionalFormatting sqref="M136:O166">
    <cfRule type="expression" dxfId="4786" priority="218">
      <formula>AND($N136 &gt; 0, ISNUMBER($N136))</formula>
    </cfRule>
    <cfRule type="expression" dxfId="4785" priority="219">
      <formula>AND($N136 = 0, ISNUMBER($N136))</formula>
    </cfRule>
    <cfRule type="expression" dxfId="4784" priority="220">
      <formula>AND($N136 &lt; 0, ISNUMBER($N136))</formula>
    </cfRule>
  </conditionalFormatting>
  <conditionalFormatting sqref="D172:F173 E206:F206">
    <cfRule type="expression" dxfId="4783" priority="215">
      <formula>$E$206 &gt; 0</formula>
    </cfRule>
    <cfRule type="expression" dxfId="4782" priority="216">
      <formula>$E$206 = 0</formula>
    </cfRule>
    <cfRule type="expression" dxfId="4781" priority="217">
      <formula>$E$206 &lt; 0</formula>
    </cfRule>
  </conditionalFormatting>
  <conditionalFormatting sqref="G172:I173 H206:I206">
    <cfRule type="expression" dxfId="4780" priority="212">
      <formula>$H$206 &gt; 0</formula>
    </cfRule>
    <cfRule type="expression" dxfId="4779" priority="213">
      <formula>$H$206 = 0</formula>
    </cfRule>
    <cfRule type="expression" dxfId="4778" priority="214">
      <formula>$H$206 &lt; 0</formula>
    </cfRule>
  </conditionalFormatting>
  <conditionalFormatting sqref="J172:L173 K206:L206">
    <cfRule type="expression" dxfId="4777" priority="209">
      <formula>$K$206 &gt; 0</formula>
    </cfRule>
    <cfRule type="expression" dxfId="4776" priority="210">
      <formula>$K$206 = 0</formula>
    </cfRule>
    <cfRule type="expression" dxfId="4775" priority="211">
      <formula>$K$206 &lt; 0</formula>
    </cfRule>
  </conditionalFormatting>
  <conditionalFormatting sqref="M172:O173 N206:O206">
    <cfRule type="expression" dxfId="4774" priority="206">
      <formula>$N$206 &gt; 0</formula>
    </cfRule>
    <cfRule type="expression" dxfId="4773" priority="207">
      <formula>$N$206 = 0</formula>
    </cfRule>
    <cfRule type="expression" dxfId="4772" priority="208">
      <formula>$N$206 &lt; 0</formula>
    </cfRule>
  </conditionalFormatting>
  <conditionalFormatting sqref="D174:F204">
    <cfRule type="expression" dxfId="4771" priority="203">
      <formula>AND($E174 &gt; 0, ISNUMBER($E174))</formula>
    </cfRule>
    <cfRule type="expression" dxfId="4770" priority="204">
      <formula>AND($E174 = 0, ISNUMBER($E174))</formula>
    </cfRule>
    <cfRule type="expression" dxfId="4769" priority="205">
      <formula>AND($E174 &lt; 0, ISNUMBER($E174))</formula>
    </cfRule>
  </conditionalFormatting>
  <conditionalFormatting sqref="G174:I204">
    <cfRule type="expression" dxfId="4768" priority="200">
      <formula>AND($H174 &gt; 0, ISNUMBER($H174))</formula>
    </cfRule>
    <cfRule type="expression" dxfId="4767" priority="201">
      <formula>AND($H174 = 0, ISNUMBER($H174))</formula>
    </cfRule>
    <cfRule type="expression" dxfId="4766" priority="202">
      <formula>AND($H174 &lt; 0, ISNUMBER($H174))</formula>
    </cfRule>
  </conditionalFormatting>
  <conditionalFormatting sqref="J174:L204">
    <cfRule type="expression" dxfId="4765" priority="197">
      <formula>AND($K174 &gt; 0, ISNUMBER($K174))</formula>
    </cfRule>
    <cfRule type="expression" dxfId="4764" priority="198">
      <formula>AND($K174 = 0, ISNUMBER($K174))</formula>
    </cfRule>
    <cfRule type="expression" dxfId="4763" priority="199">
      <formula>AND($K174 &lt; 0, ISNUMBER($K174))</formula>
    </cfRule>
  </conditionalFormatting>
  <conditionalFormatting sqref="M174:O204">
    <cfRule type="expression" dxfId="4762" priority="194">
      <formula>AND($N174 &gt; 0, ISNUMBER($N174))</formula>
    </cfRule>
    <cfRule type="expression" dxfId="4761" priority="195">
      <formula>AND($N174 = 0, ISNUMBER($N174))</formula>
    </cfRule>
    <cfRule type="expression" dxfId="4760" priority="196">
      <formula>AND($N174 &lt; 0, ISNUMBER($N174))</formula>
    </cfRule>
  </conditionalFormatting>
  <conditionalFormatting sqref="D210:F211 E244:F244">
    <cfRule type="expression" dxfId="4759" priority="191">
      <formula>$E$244 &gt; 0</formula>
    </cfRule>
    <cfRule type="expression" dxfId="4758" priority="192">
      <formula>$E$244 = 0</formula>
    </cfRule>
    <cfRule type="expression" dxfId="4757" priority="193">
      <formula>$E$244 &lt; 0</formula>
    </cfRule>
  </conditionalFormatting>
  <conditionalFormatting sqref="G210:I211 H244:I244">
    <cfRule type="expression" dxfId="4756" priority="188">
      <formula>$H$244 &gt; 0</formula>
    </cfRule>
    <cfRule type="expression" dxfId="4755" priority="189">
      <formula>$H$244 = 0</formula>
    </cfRule>
    <cfRule type="expression" dxfId="4754" priority="190">
      <formula>$H$244 &lt; 0</formula>
    </cfRule>
  </conditionalFormatting>
  <conditionalFormatting sqref="J210:L211 K244:L244">
    <cfRule type="expression" dxfId="4753" priority="185">
      <formula>$K$244 &gt; 0</formula>
    </cfRule>
    <cfRule type="expression" dxfId="4752" priority="186">
      <formula>$K$244 = 0</formula>
    </cfRule>
    <cfRule type="expression" dxfId="4751" priority="187">
      <formula>$K$244 &lt; 0</formula>
    </cfRule>
  </conditionalFormatting>
  <conditionalFormatting sqref="M210:O211 N244:O244">
    <cfRule type="expression" dxfId="4750" priority="182">
      <formula>$N$244 &gt; 0</formula>
    </cfRule>
    <cfRule type="expression" dxfId="4749" priority="183">
      <formula>$N$244 = 0</formula>
    </cfRule>
    <cfRule type="expression" dxfId="4748" priority="184">
      <formula>$N$244 &lt; 0</formula>
    </cfRule>
  </conditionalFormatting>
  <conditionalFormatting sqref="D212:F242">
    <cfRule type="expression" dxfId="4747" priority="179">
      <formula>AND($E212 &gt; 0, ISNUMBER($E212))</formula>
    </cfRule>
    <cfRule type="expression" dxfId="4746" priority="180">
      <formula>AND($E212 = 0, ISNUMBER($E212))</formula>
    </cfRule>
    <cfRule type="expression" dxfId="4745" priority="181">
      <formula>AND($E212 &lt; 0, ISNUMBER($E212))</formula>
    </cfRule>
  </conditionalFormatting>
  <conditionalFormatting sqref="G212:I242">
    <cfRule type="expression" dxfId="4744" priority="176">
      <formula>AND($H212 &gt; 0, ISNUMBER($H212))</formula>
    </cfRule>
    <cfRule type="expression" dxfId="4743" priority="177">
      <formula>AND($H212 = 0, ISNUMBER($H212))</formula>
    </cfRule>
    <cfRule type="expression" dxfId="4742" priority="178">
      <formula>AND($H212 &lt; 0, ISNUMBER($H212))</formula>
    </cfRule>
  </conditionalFormatting>
  <conditionalFormatting sqref="J212:L242">
    <cfRule type="expression" dxfId="4741" priority="173">
      <formula>AND($K212 &gt; 0, ISNUMBER($K212))</formula>
    </cfRule>
    <cfRule type="expression" dxfId="4740" priority="174">
      <formula>AND($K212 = 0, ISNUMBER($K212))</formula>
    </cfRule>
    <cfRule type="expression" dxfId="4739" priority="175">
      <formula>AND($K212 &lt; 0, ISNUMBER($K212))</formula>
    </cfRule>
  </conditionalFormatting>
  <conditionalFormatting sqref="M212:O242">
    <cfRule type="expression" dxfId="4738" priority="170">
      <formula>AND($N212 &gt; 0, ISNUMBER($N212))</formula>
    </cfRule>
    <cfRule type="expression" dxfId="4737" priority="171">
      <formula>AND($N212 = 0, ISNUMBER($N212))</formula>
    </cfRule>
    <cfRule type="expression" dxfId="4736" priority="172">
      <formula>AND($N212 &lt; 0, ISNUMBER($N212))</formula>
    </cfRule>
  </conditionalFormatting>
  <conditionalFormatting sqref="D248:F249 E282:F282">
    <cfRule type="expression" dxfId="4735" priority="167">
      <formula>$E$282 &gt; 0</formula>
    </cfRule>
    <cfRule type="expression" dxfId="4734" priority="168">
      <formula>$E$282 = 0</formula>
    </cfRule>
    <cfRule type="expression" dxfId="4733" priority="169">
      <formula>$E$282 &lt; 0</formula>
    </cfRule>
  </conditionalFormatting>
  <conditionalFormatting sqref="G248:I249 H282:I282">
    <cfRule type="expression" dxfId="4732" priority="164">
      <formula>$H$282 &gt; 0</formula>
    </cfRule>
    <cfRule type="expression" dxfId="4731" priority="165">
      <formula>$H$282 = 0</formula>
    </cfRule>
    <cfRule type="expression" dxfId="4730" priority="166">
      <formula>$H$282 &lt; 0</formula>
    </cfRule>
  </conditionalFormatting>
  <conditionalFormatting sqref="J248:L249 K282:L282">
    <cfRule type="expression" dxfId="4729" priority="161">
      <formula>$K$282 &gt; 0</formula>
    </cfRule>
    <cfRule type="expression" dxfId="4728" priority="162">
      <formula>$K$282 = 0</formula>
    </cfRule>
    <cfRule type="expression" dxfId="4727" priority="163">
      <formula>$K$282 &lt; 0</formula>
    </cfRule>
  </conditionalFormatting>
  <conditionalFormatting sqref="M248:O249 N282:O282">
    <cfRule type="expression" dxfId="4726" priority="158">
      <formula>$N$282 &gt; 0</formula>
    </cfRule>
    <cfRule type="expression" dxfId="4725" priority="159">
      <formula>$N$282 = 0</formula>
    </cfRule>
    <cfRule type="expression" dxfId="4724" priority="160">
      <formula>$N$282 &lt; 0</formula>
    </cfRule>
  </conditionalFormatting>
  <conditionalFormatting sqref="D250:F280">
    <cfRule type="expression" dxfId="4723" priority="155">
      <formula>AND($E250 &gt; 0, ISNUMBER($E250))</formula>
    </cfRule>
    <cfRule type="expression" dxfId="4722" priority="156">
      <formula>AND($E250 = 0, ISNUMBER($E250))</formula>
    </cfRule>
    <cfRule type="expression" dxfId="4721" priority="157">
      <formula>AND($E250 &lt; 0, ISNUMBER($E250))</formula>
    </cfRule>
  </conditionalFormatting>
  <conditionalFormatting sqref="G250:I280">
    <cfRule type="expression" dxfId="4720" priority="152">
      <formula>AND($H250 &gt; 0, ISNUMBER($H250))</formula>
    </cfRule>
    <cfRule type="expression" dxfId="4719" priority="153">
      <formula>AND($H250 = 0, ISNUMBER($H250))</formula>
    </cfRule>
    <cfRule type="expression" dxfId="4718" priority="154">
      <formula>AND($H250 &lt; 0, ISNUMBER($H250))</formula>
    </cfRule>
  </conditionalFormatting>
  <conditionalFormatting sqref="J250:L280">
    <cfRule type="expression" dxfId="4717" priority="149">
      <formula>AND($K250 &gt; 0, ISNUMBER($K250))</formula>
    </cfRule>
    <cfRule type="expression" dxfId="4716" priority="150">
      <formula>AND($K250 = 0, ISNUMBER($K250))</formula>
    </cfRule>
    <cfRule type="expression" dxfId="4715" priority="151">
      <formula>AND($K250 &lt; 0, ISNUMBER($K250))</formula>
    </cfRule>
  </conditionalFormatting>
  <conditionalFormatting sqref="M250:O280">
    <cfRule type="expression" dxfId="4714" priority="146">
      <formula>AND($N250 &gt; 0, ISNUMBER($N250))</formula>
    </cfRule>
    <cfRule type="expression" dxfId="4713" priority="147">
      <formula>AND($N250 = 0, ISNUMBER($N250))</formula>
    </cfRule>
    <cfRule type="expression" dxfId="4712" priority="148">
      <formula>AND($N250 &lt; 0, ISNUMBER($N250))</formula>
    </cfRule>
  </conditionalFormatting>
  <conditionalFormatting sqref="D5:F6">
    <cfRule type="expression" dxfId="4711" priority="143">
      <formula>$F$130 &gt; 0</formula>
    </cfRule>
    <cfRule type="expression" dxfId="4710" priority="144">
      <formula>$F$130 = 0</formula>
    </cfRule>
    <cfRule type="expression" dxfId="4709" priority="145">
      <formula>$F$130 &lt; 0</formula>
    </cfRule>
  </conditionalFormatting>
  <conditionalFormatting sqref="D7:F8">
    <cfRule type="expression" dxfId="4708" priority="140">
      <formula>$F$206 &gt; 0</formula>
    </cfRule>
    <cfRule type="expression" dxfId="4707" priority="141">
      <formula>$F$206 = 0</formula>
    </cfRule>
    <cfRule type="expression" dxfId="4706" priority="142">
      <formula>$F$206 &lt; 0</formula>
    </cfRule>
  </conditionalFormatting>
  <conditionalFormatting sqref="D9:F10">
    <cfRule type="expression" dxfId="4705" priority="137">
      <formula>$F$244 &gt; 0</formula>
    </cfRule>
    <cfRule type="expression" dxfId="4704" priority="138">
      <formula>$F$244 = 0</formula>
    </cfRule>
    <cfRule type="expression" dxfId="4703" priority="139">
      <formula>$F$244 &lt; 0</formula>
    </cfRule>
  </conditionalFormatting>
  <conditionalFormatting sqref="D11:F12">
    <cfRule type="expression" dxfId="4702" priority="134">
      <formula>$F$168 &gt; 0</formula>
    </cfRule>
    <cfRule type="expression" dxfId="4701" priority="135">
      <formula>$F$168 = 0</formula>
    </cfRule>
    <cfRule type="expression" dxfId="4700" priority="136">
      <formula>$F$168 &lt; 0</formula>
    </cfRule>
  </conditionalFormatting>
  <conditionalFormatting sqref="D13:F14">
    <cfRule type="expression" dxfId="4699" priority="92">
      <formula>$F$282 &gt; 0</formula>
    </cfRule>
    <cfRule type="expression" dxfId="4698" priority="93">
      <formula>$F$282 = 0</formula>
    </cfRule>
    <cfRule type="expression" dxfId="4697" priority="94">
      <formula>$F$282 &lt; 0</formula>
    </cfRule>
  </conditionalFormatting>
  <conditionalFormatting sqref="D15:F16">
    <cfRule type="expression" dxfId="4696" priority="77">
      <formula>$F$54 &gt; 0</formula>
    </cfRule>
    <cfRule type="expression" dxfId="4695" priority="78">
      <formula>$F$54 = 0</formula>
    </cfRule>
    <cfRule type="expression" dxfId="4694" priority="79">
      <formula>$F$54 &lt; 0</formula>
    </cfRule>
  </conditionalFormatting>
  <conditionalFormatting sqref="G5:I6">
    <cfRule type="expression" dxfId="4693" priority="65">
      <formula>$I$130 &gt; 0</formula>
    </cfRule>
    <cfRule type="expression" dxfId="4692" priority="66">
      <formula>$I$130 = 0</formula>
    </cfRule>
    <cfRule type="expression" dxfId="4691" priority="67">
      <formula>$I$130 &lt; 0</formula>
    </cfRule>
  </conditionalFormatting>
  <conditionalFormatting sqref="G7:I8">
    <cfRule type="expression" dxfId="4690" priority="62">
      <formula>$I$206 &gt; 0</formula>
    </cfRule>
    <cfRule type="expression" dxfId="4689" priority="63">
      <formula>$I$206 = 0</formula>
    </cfRule>
    <cfRule type="expression" dxfId="4688" priority="64">
      <formula>$I$206 &lt; 0</formula>
    </cfRule>
  </conditionalFormatting>
  <conditionalFormatting sqref="G9:I10">
    <cfRule type="expression" dxfId="4687" priority="59">
      <formula>$I$244 &gt; 0</formula>
    </cfRule>
    <cfRule type="expression" dxfId="4686" priority="60">
      <formula>$I$244 = 0</formula>
    </cfRule>
    <cfRule type="expression" dxfId="4685" priority="61">
      <formula>$I$244 &lt; 0</formula>
    </cfRule>
  </conditionalFormatting>
  <conditionalFormatting sqref="G11:I12">
    <cfRule type="expression" dxfId="4684" priority="56">
      <formula>$I$168 &gt; 0</formula>
    </cfRule>
    <cfRule type="expression" dxfId="4683" priority="57">
      <formula>$I$168 = 0</formula>
    </cfRule>
    <cfRule type="expression" dxfId="4682" priority="58">
      <formula>$I$168 &lt; 0</formula>
    </cfRule>
  </conditionalFormatting>
  <conditionalFormatting sqref="G13:I14">
    <cfRule type="expression" dxfId="4681" priority="53">
      <formula>$I$282 &gt; 0</formula>
    </cfRule>
    <cfRule type="expression" dxfId="4680" priority="54">
      <formula>$I$282 = 0</formula>
    </cfRule>
    <cfRule type="expression" dxfId="4679" priority="55">
      <formula>$I$282 &lt; 0</formula>
    </cfRule>
  </conditionalFormatting>
  <conditionalFormatting sqref="G15:I16">
    <cfRule type="expression" dxfId="4678" priority="50">
      <formula>$I$54 &gt; 0</formula>
    </cfRule>
    <cfRule type="expression" dxfId="4677" priority="51">
      <formula>$I$54 = 0</formula>
    </cfRule>
    <cfRule type="expression" dxfId="4676" priority="52">
      <formula>$I$54 &lt; 0</formula>
    </cfRule>
  </conditionalFormatting>
  <conditionalFormatting sqref="J5:L6">
    <cfRule type="expression" dxfId="4675" priority="47">
      <formula>$L$130 &gt; 0</formula>
    </cfRule>
    <cfRule type="expression" dxfId="4674" priority="48">
      <formula>$L$130 = 0</formula>
    </cfRule>
    <cfRule type="expression" dxfId="4673" priority="49">
      <formula>$L$130 &lt; 0</formula>
    </cfRule>
  </conditionalFormatting>
  <conditionalFormatting sqref="J7:L8">
    <cfRule type="expression" dxfId="4672" priority="44">
      <formula>$L$206 &gt; 0</formula>
    </cfRule>
    <cfRule type="expression" dxfId="4671" priority="45">
      <formula>$L$206 = 0</formula>
    </cfRule>
    <cfRule type="expression" dxfId="4670" priority="46">
      <formula>$L$206 &lt; 0</formula>
    </cfRule>
  </conditionalFormatting>
  <conditionalFormatting sqref="J9:L10">
    <cfRule type="expression" dxfId="4669" priority="41">
      <formula>$L$244 &gt; 0</formula>
    </cfRule>
    <cfRule type="expression" dxfId="4668" priority="42">
      <formula>$L$244 = 0</formula>
    </cfRule>
    <cfRule type="expression" dxfId="4667" priority="43">
      <formula>$L$244 &lt; 0</formula>
    </cfRule>
  </conditionalFormatting>
  <conditionalFormatting sqref="J11:L12">
    <cfRule type="expression" dxfId="4666" priority="38">
      <formula>$L$168 &gt; 0</formula>
    </cfRule>
    <cfRule type="expression" dxfId="4665" priority="39">
      <formula>$L$168 = 0</formula>
    </cfRule>
    <cfRule type="expression" dxfId="4664" priority="40">
      <formula>$L$168 &lt; 0</formula>
    </cfRule>
  </conditionalFormatting>
  <conditionalFormatting sqref="J13:L14">
    <cfRule type="expression" dxfId="4663" priority="35">
      <formula>$L$282 &gt; 0</formula>
    </cfRule>
    <cfRule type="expression" dxfId="4662" priority="36">
      <formula>$L$282 = 0</formula>
    </cfRule>
    <cfRule type="expression" dxfId="4661" priority="37">
      <formula>$L$282 &lt; 0</formula>
    </cfRule>
  </conditionalFormatting>
  <conditionalFormatting sqref="J15:L16">
    <cfRule type="expression" dxfId="4660" priority="32">
      <formula>$L$54 &gt; 0</formula>
    </cfRule>
    <cfRule type="expression" dxfId="4659" priority="33">
      <formula>$L$54 = 0</formula>
    </cfRule>
    <cfRule type="expression" dxfId="4658" priority="34">
      <formula>$L$54 &lt; 0</formula>
    </cfRule>
  </conditionalFormatting>
  <conditionalFormatting sqref="M5:O6">
    <cfRule type="expression" dxfId="4657" priority="29">
      <formula>$O$130 &gt; 0</formula>
    </cfRule>
    <cfRule type="expression" dxfId="4656" priority="30">
      <formula>$O$130 = 0</formula>
    </cfRule>
    <cfRule type="expression" dxfId="4655" priority="31">
      <formula>$O$130 &lt; 0</formula>
    </cfRule>
  </conditionalFormatting>
  <conditionalFormatting sqref="M7:O8">
    <cfRule type="expression" dxfId="4654" priority="26">
      <formula>$O$206 &gt; 0</formula>
    </cfRule>
    <cfRule type="expression" dxfId="4653" priority="27">
      <formula>$O$206 = 0</formula>
    </cfRule>
    <cfRule type="expression" dxfId="4652" priority="28">
      <formula>$O$206 &lt; 0</formula>
    </cfRule>
  </conditionalFormatting>
  <conditionalFormatting sqref="M9:O10">
    <cfRule type="expression" dxfId="4651" priority="23">
      <formula>$O$244 &gt; 0</formula>
    </cfRule>
    <cfRule type="expression" dxfId="4650" priority="24">
      <formula>$O$244 = 0</formula>
    </cfRule>
    <cfRule type="expression" dxfId="4649" priority="25">
      <formula>$O$244 &lt; 0</formula>
    </cfRule>
  </conditionalFormatting>
  <conditionalFormatting sqref="M11:O12">
    <cfRule type="expression" dxfId="4648" priority="20">
      <formula>$O$168 &gt; 0</formula>
    </cfRule>
    <cfRule type="expression" dxfId="4647" priority="21">
      <formula>$O$168 = 0</formula>
    </cfRule>
    <cfRule type="expression" dxfId="4646" priority="22">
      <formula>$O$168 &lt; 0</formula>
    </cfRule>
  </conditionalFormatting>
  <conditionalFormatting sqref="M13:O14">
    <cfRule type="expression" dxfId="4645" priority="17">
      <formula>$O$282 &gt; 0</formula>
    </cfRule>
    <cfRule type="expression" dxfId="4644" priority="18">
      <formula>$O$282 = 0</formula>
    </cfRule>
    <cfRule type="expression" dxfId="4643" priority="19">
      <formula>$O$282 &lt; 0</formula>
    </cfRule>
  </conditionalFormatting>
  <conditionalFormatting sqref="M15:O16">
    <cfRule type="expression" dxfId="4642" priority="14">
      <formula>$O$54 &gt; 0</formula>
    </cfRule>
    <cfRule type="expression" dxfId="4641" priority="15">
      <formula>$O$54 = 0</formula>
    </cfRule>
    <cfRule type="expression" dxfId="4640" priority="16">
      <formula>$O$54 &lt; 0</formula>
    </cfRule>
  </conditionalFormatting>
  <conditionalFormatting sqref="D3:F4">
    <cfRule type="expression" dxfId="4639" priority="13">
      <formula>$F$92 &lt; 0</formula>
    </cfRule>
    <cfRule type="expression" dxfId="4638" priority="12">
      <formula>$F$92 = 0</formula>
    </cfRule>
    <cfRule type="expression" dxfId="4637" priority="11">
      <formula>$F$92 &gt; 0</formula>
    </cfRule>
  </conditionalFormatting>
  <conditionalFormatting sqref="G3:I4">
    <cfRule type="expression" dxfId="4636" priority="10">
      <formula>$I$92 &lt; 0</formula>
    </cfRule>
    <cfRule type="expression" dxfId="4635" priority="9">
      <formula>$I$92 = 0</formula>
    </cfRule>
    <cfRule type="expression" dxfId="4634" priority="8">
      <formula>$I$92 &gt; 0</formula>
    </cfRule>
  </conditionalFormatting>
  <conditionalFormatting sqref="J3:L4">
    <cfRule type="expression" dxfId="4633" priority="5">
      <formula>$L$92 &gt; 0</formula>
    </cfRule>
    <cfRule type="expression" dxfId="4632" priority="6">
      <formula>$L$92 = 0</formula>
    </cfRule>
    <cfRule type="expression" dxfId="4631" priority="7">
      <formula>$L$92 &lt; 0</formula>
    </cfRule>
  </conditionalFormatting>
  <conditionalFormatting sqref="M3:O4">
    <cfRule type="expression" dxfId="4630" priority="2">
      <formula>$O$92 &gt; 0</formula>
    </cfRule>
    <cfRule type="expression" dxfId="4629" priority="3">
      <formula>$O$92 = 0</formula>
    </cfRule>
    <cfRule type="expression" dxfId="46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8AB0C-0FEA-406C-951E-9D13BFBED6C0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44896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-52,819 KRW (-1.76%)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-16,330 KRW (-0.54%)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-57,480 KRW (-1.92%)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26,895 KRW (0.90%)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2022-12-01(목) 오전 00:00</v>
      </c>
      <c r="C15" s="202"/>
      <c r="D15" s="158" t="str">
        <f>TEXT($G$1, "[$-ko-KR]yyyy-mm-dd(ddd) ") &amp; "오후 14:00"</f>
        <v>2022-12-01(목) 오후 14:00</v>
      </c>
      <c r="E15" s="159"/>
      <c r="F15" s="160"/>
      <c r="G15" s="158" t="str">
        <f>TEXT($G$1, "[$-ko-KR]yyyy-mm-dd(ddd) ") &amp; "오후 19:00"</f>
        <v>2022-12-01(목) 오후 19:00</v>
      </c>
      <c r="H15" s="159"/>
      <c r="I15" s="160"/>
      <c r="J15" s="158" t="str">
        <f>TEXT($G$1, "[$-ko-KR]yyyy-mm-dd(ddd) ") &amp; "오후 21:00"</f>
        <v>2022-12-01(목) 오후 21:00</v>
      </c>
      <c r="K15" s="159"/>
      <c r="L15" s="160"/>
      <c r="M15" s="158" t="str">
        <f>TEXT($G$1+1, "[$-ko-KR]yyyy-mm-dd(ddd) ") &amp; "오전 00:00"</f>
        <v>2022-12-02(금)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2022-12-01(목) 오전 00:00</v>
      </c>
      <c r="C42" s="199"/>
      <c r="D42" s="158" t="str">
        <f>TEXT($G$1, "[$-ko-KR]yyyy-mm-dd(ddd) ") &amp; "오후 14:00"</f>
        <v>2022-12-01(목) 오후 14:00</v>
      </c>
      <c r="E42" s="159"/>
      <c r="F42" s="160"/>
      <c r="G42" s="158" t="str">
        <f>TEXT($G$1, "[$-ko-KR]yyyy-mm-dd(ddd) ") &amp; "오후 19:00"</f>
        <v>2022-12-01(목) 오후 19:00</v>
      </c>
      <c r="H42" s="159"/>
      <c r="I42" s="160"/>
      <c r="J42" s="158" t="str">
        <f>TEXT($G$1, "[$-ko-KR]yyyy-mm-dd(ddd) ") &amp; "오후 21:00"</f>
        <v>2022-12-01(목) 오후 21:00</v>
      </c>
      <c r="K42" s="159"/>
      <c r="L42" s="160"/>
      <c r="M42" s="158" t="str">
        <f>TEXT($G$1+1, "[$-ko-KR]yyyy-mm-dd(ddd) ") &amp; "오전 00:00"</f>
        <v>2022-12-02(금)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326</v>
      </c>
      <c r="B44" s="108">
        <v>25</v>
      </c>
      <c r="C44" s="69">
        <v>2.45901639E-2</v>
      </c>
      <c r="D44" s="13">
        <v>24.8</v>
      </c>
      <c r="E44" s="14">
        <f>IF(ISNUMBER(D44), (D44 - $B44) / $B44, "")</f>
        <v>-7.9999999999999724E-3</v>
      </c>
      <c r="F44" s="16">
        <f>IF(ISNUMBER(D44), $B64 * E44, "")</f>
        <v>-1199.9999999999959</v>
      </c>
      <c r="G44" s="29">
        <v>24.8</v>
      </c>
      <c r="H44" s="14">
        <f>IF(ISNUMBER(G44), (G44 - $B44) / $B44, "")</f>
        <v>-7.9999999999999724E-3</v>
      </c>
      <c r="I44" s="90">
        <f>IF(ISNUMBER(G44), $B64 * H44, "")</f>
        <v>-1199.9999999999959</v>
      </c>
      <c r="J44" s="13">
        <v>24.8</v>
      </c>
      <c r="K44" s="14">
        <f>IF(ISNUMBER(J44), (J44 - $B44) / $B44, "")</f>
        <v>-7.9999999999999724E-3</v>
      </c>
      <c r="L44" s="16">
        <f>IF(ISNUMBER(J44), $B64 * K44, "")</f>
        <v>-1199.9999999999959</v>
      </c>
      <c r="M44" s="29">
        <v>24.3</v>
      </c>
      <c r="N44" s="14">
        <f>IF(ISNUMBER(M44), (M44 - $B44) / $B44, "")</f>
        <v>-2.7999999999999973E-2</v>
      </c>
      <c r="O44" s="16">
        <f>IF(ISNUMBER(M44), $B64 * N44, "")</f>
        <v>-4199.9999999999964</v>
      </c>
      <c r="Q44" s="156"/>
      <c r="R44" s="156"/>
      <c r="S44" s="156"/>
    </row>
    <row r="45" spans="1:19" ht="17.25" customHeight="1" thickBot="1">
      <c r="A45" s="109" t="s">
        <v>228</v>
      </c>
      <c r="B45" s="110">
        <v>70.400000000000006</v>
      </c>
      <c r="C45" s="70">
        <v>2.1770682100000001E-2</v>
      </c>
      <c r="D45" s="15">
        <v>70.8</v>
      </c>
      <c r="E45" s="32">
        <f t="shared" ref="E45:E48" si="14">IF(ISNUMBER(D45), (D45 - $B45) / $B45, "")</f>
        <v>5.6818181818180605E-3</v>
      </c>
      <c r="F45" s="18">
        <f>IF(ISNUMBER(D45), $B64 * E45, "")</f>
        <v>852.27272727270906</v>
      </c>
      <c r="G45" s="31">
        <v>70.8</v>
      </c>
      <c r="H45" s="32">
        <f t="shared" ref="H45:H48" si="15">IF(ISNUMBER(G45), (G45 - $B45) / $B45, "")</f>
        <v>5.6818181818180605E-3</v>
      </c>
      <c r="I45" s="91">
        <f>IF(ISNUMBER(G45), $B64 * H45, "")</f>
        <v>852.27272727270906</v>
      </c>
      <c r="J45" s="15">
        <v>70.8</v>
      </c>
      <c r="K45" s="32">
        <f t="shared" ref="K45:K48" si="16">IF(ISNUMBER(J45), (J45 - $B45) / $B45, "")</f>
        <v>5.6818181818180605E-3</v>
      </c>
      <c r="L45" s="18">
        <f>IF(ISNUMBER(J45), $B64 * K45, "")</f>
        <v>852.27272727270906</v>
      </c>
      <c r="M45" s="31">
        <v>67.7</v>
      </c>
      <c r="N45" s="32">
        <f t="shared" ref="N45:N48" si="17">IF(ISNUMBER(M45), (M45 - $B45) / $B45, "")</f>
        <v>-3.8352272727272763E-2</v>
      </c>
      <c r="O45" s="18">
        <f>IF(ISNUMBER(M45), $B64 * N45, "")</f>
        <v>-5752.8409090909145</v>
      </c>
      <c r="Q45" s="156"/>
      <c r="R45" s="156"/>
      <c r="S45" s="156"/>
    </row>
    <row r="46" spans="1:19" ht="17.25" customHeight="1" thickBot="1">
      <c r="A46" s="109" t="s">
        <v>122</v>
      </c>
      <c r="B46" s="110">
        <v>25.6</v>
      </c>
      <c r="C46" s="70">
        <v>1.5873015899999999E-2</v>
      </c>
      <c r="D46" s="15">
        <v>25.9</v>
      </c>
      <c r="E46" s="32">
        <f t="shared" si="14"/>
        <v>1.1718749999999889E-2</v>
      </c>
      <c r="F46" s="18">
        <f>IF(ISNUMBER(D46), $B64 * E46, "")</f>
        <v>1757.8124999999834</v>
      </c>
      <c r="G46" s="31">
        <v>25.9</v>
      </c>
      <c r="H46" s="32">
        <f t="shared" si="15"/>
        <v>1.1718749999999889E-2</v>
      </c>
      <c r="I46" s="91">
        <f>IF(ISNUMBER(G46), $B64 * H46, "")</f>
        <v>1757.8124999999834</v>
      </c>
      <c r="J46" s="15">
        <v>25.9</v>
      </c>
      <c r="K46" s="32">
        <f t="shared" si="16"/>
        <v>1.1718749999999889E-2</v>
      </c>
      <c r="L46" s="18">
        <f>IF(ISNUMBER(J46), $B64 * K46, "")</f>
        <v>1757.8124999999834</v>
      </c>
      <c r="M46" s="31">
        <v>25.6</v>
      </c>
      <c r="N46" s="32">
        <f t="shared" si="17"/>
        <v>0</v>
      </c>
      <c r="O46" s="18">
        <f>IF(ISNUMBER(M46), $B64 * N46, "")</f>
        <v>0</v>
      </c>
      <c r="Q46" s="161"/>
      <c r="R46" s="161"/>
      <c r="S46" s="161"/>
    </row>
    <row r="47" spans="1:19" ht="17.25" customHeight="1" thickBot="1">
      <c r="A47" s="109" t="s">
        <v>126</v>
      </c>
      <c r="B47" s="110">
        <v>30.4</v>
      </c>
      <c r="C47" s="70">
        <v>1.33333333E-2</v>
      </c>
      <c r="D47" s="15">
        <v>30.7</v>
      </c>
      <c r="E47" s="32">
        <f t="shared" si="14"/>
        <v>9.8684210526316027E-3</v>
      </c>
      <c r="F47" s="18">
        <f>IF(ISNUMBER(D47), $B64 * E47, "")</f>
        <v>1480.2631578947405</v>
      </c>
      <c r="G47" s="31">
        <v>30.7</v>
      </c>
      <c r="H47" s="32">
        <f t="shared" si="15"/>
        <v>9.8684210526316027E-3</v>
      </c>
      <c r="I47" s="91">
        <f>IF(ISNUMBER(G47), $B64 * H47, "")</f>
        <v>1480.2631578947405</v>
      </c>
      <c r="J47" s="15">
        <v>30.7</v>
      </c>
      <c r="K47" s="32">
        <f t="shared" si="16"/>
        <v>9.8684210526316027E-3</v>
      </c>
      <c r="L47" s="18">
        <f>IF(ISNUMBER(J47), $B64 * K47, "")</f>
        <v>1480.2631578947405</v>
      </c>
      <c r="M47" s="31">
        <v>30.6</v>
      </c>
      <c r="N47" s="32">
        <f t="shared" si="17"/>
        <v>6.5789473684211468E-3</v>
      </c>
      <c r="O47" s="18">
        <f>IF(ISNUMBER(M47), $B64 * N47, "")</f>
        <v>986.84210526317202</v>
      </c>
      <c r="Q47" s="161"/>
      <c r="R47" s="161"/>
      <c r="S47" s="161"/>
    </row>
    <row r="48" spans="1:19" ht="17.25" customHeight="1" thickBot="1">
      <c r="A48" s="111" t="s">
        <v>141</v>
      </c>
      <c r="B48" s="112">
        <v>3.54</v>
      </c>
      <c r="C48" s="71">
        <v>1.14285714E-2</v>
      </c>
      <c r="D48" s="20">
        <v>3.51</v>
      </c>
      <c r="E48" s="21">
        <f t="shared" si="14"/>
        <v>-8.47457627118651E-3</v>
      </c>
      <c r="F48" s="22">
        <f>IF(ISNUMBER(D48), $B64 * E48, "")</f>
        <v>-1271.1864406779764</v>
      </c>
      <c r="G48" s="30">
        <v>3.51</v>
      </c>
      <c r="H48" s="21">
        <f t="shared" si="15"/>
        <v>-8.47457627118651E-3</v>
      </c>
      <c r="I48" s="95">
        <f>IF(ISNUMBER(G48), $B64 * H48, "")</f>
        <v>-1271.1864406779764</v>
      </c>
      <c r="J48" s="20">
        <v>3.51</v>
      </c>
      <c r="K48" s="21">
        <f t="shared" si="16"/>
        <v>-8.47457627118651E-3</v>
      </c>
      <c r="L48" s="22">
        <f>IF(ISNUMBER(J48), $B64 * K48, "")</f>
        <v>-1271.1864406779764</v>
      </c>
      <c r="M48" s="30">
        <v>3.47</v>
      </c>
      <c r="N48" s="21">
        <f t="shared" si="17"/>
        <v>-1.9774011299434981E-2</v>
      </c>
      <c r="O48" s="22">
        <f>IF(ISNUMBER(M48), $B64 * N48, "")</f>
        <v>-2966.1016949152472</v>
      </c>
      <c r="Q48" s="161"/>
      <c r="R48" s="161"/>
      <c r="S48" s="161"/>
    </row>
    <row r="49" spans="1:19" ht="17.25" customHeight="1" thickBot="1">
      <c r="A49" s="109" t="s">
        <v>155</v>
      </c>
      <c r="B49" s="113">
        <v>30.8</v>
      </c>
      <c r="C49" s="73">
        <v>9.8360656000000008E-3</v>
      </c>
      <c r="D49" s="96">
        <v>31.5</v>
      </c>
      <c r="E49" s="97">
        <f>IF(ISNUMBER(D49), (D49 - $B49) / $B49, "")</f>
        <v>2.2727272727272704E-2</v>
      </c>
      <c r="F49" s="98">
        <f>IF(ISNUMBER(D49), $B64 * E49, "")</f>
        <v>3409.0909090909054</v>
      </c>
      <c r="G49" s="99">
        <v>31.5</v>
      </c>
      <c r="H49" s="97">
        <f>IF(ISNUMBER(G49), (G49 - $B49) / $B49, "")</f>
        <v>2.2727272727272704E-2</v>
      </c>
      <c r="I49" s="100">
        <f>IF(ISNUMBER(G49), $B64 * H49, "")</f>
        <v>3409.0909090909054</v>
      </c>
      <c r="J49" s="96">
        <v>31.5</v>
      </c>
      <c r="K49" s="97">
        <f>IF(ISNUMBER(J49), (J49 - $B49) / $B49, "")</f>
        <v>2.2727272727272704E-2</v>
      </c>
      <c r="L49" s="98">
        <f>IF(ISNUMBER(J49), $B64 * K49, "")</f>
        <v>3409.0909090909054</v>
      </c>
      <c r="M49" s="99">
        <v>31</v>
      </c>
      <c r="N49" s="97">
        <f>IF(ISNUMBER(M49), (M49 - $B49) / $B49, "")</f>
        <v>6.4935064935064705E-3</v>
      </c>
      <c r="O49" s="98">
        <f>IF(ISNUMBER(M49), $B64 * N49, "")</f>
        <v>974.02597402597053</v>
      </c>
      <c r="Q49" s="161"/>
      <c r="R49" s="161"/>
      <c r="S49" s="161"/>
    </row>
    <row r="50" spans="1:19" ht="17.25" customHeight="1" thickBot="1">
      <c r="A50" s="109" t="s">
        <v>230</v>
      </c>
      <c r="B50" s="110">
        <v>42.2</v>
      </c>
      <c r="C50" s="70">
        <v>9.5693779999999999E-3</v>
      </c>
      <c r="D50" s="15">
        <v>43.4</v>
      </c>
      <c r="E50" s="32">
        <f t="shared" ref="E50:E53" si="18">IF(ISNUMBER(D50), (D50 - $B50) / $B50, "")</f>
        <v>2.843601895734587E-2</v>
      </c>
      <c r="F50" s="18">
        <f>IF(ISNUMBER(D50), $B64 * E50, "")</f>
        <v>4265.4028436018807</v>
      </c>
      <c r="G50" s="31">
        <v>43.4</v>
      </c>
      <c r="H50" s="32">
        <f t="shared" ref="H50:H53" si="19">IF(ISNUMBER(G50), (G50 - $B50) / $B50, "")</f>
        <v>2.843601895734587E-2</v>
      </c>
      <c r="I50" s="91">
        <f>IF(ISNUMBER(G50), $B64 * H50, "")</f>
        <v>4265.4028436018807</v>
      </c>
      <c r="J50" s="15">
        <v>43.4</v>
      </c>
      <c r="K50" s="32">
        <f t="shared" ref="K50:K53" si="20">IF(ISNUMBER(J50), (J50 - $B50) / $B50, "")</f>
        <v>2.843601895734587E-2</v>
      </c>
      <c r="L50" s="18">
        <f>IF(ISNUMBER(J50), $B64 * K50, "")</f>
        <v>4265.4028436018807</v>
      </c>
      <c r="M50" s="31">
        <v>42.8</v>
      </c>
      <c r="N50" s="32">
        <f t="shared" ref="N50:N53" si="21">IF(ISNUMBER(M50), (M50 - $B50) / $B50, "")</f>
        <v>1.421800947867285E-2</v>
      </c>
      <c r="O50" s="18">
        <f>IF(ISNUMBER(M50), $B64 * N50, "")</f>
        <v>2132.7014218009276</v>
      </c>
      <c r="Q50" s="161"/>
      <c r="R50" s="161"/>
      <c r="S50" s="161"/>
    </row>
    <row r="51" spans="1:19" ht="17.25" customHeight="1" thickBot="1">
      <c r="A51" s="109" t="s">
        <v>64</v>
      </c>
      <c r="B51" s="110">
        <v>11.6</v>
      </c>
      <c r="C51" s="70">
        <v>8.6956522000000008E-3</v>
      </c>
      <c r="D51" s="15">
        <v>11.6</v>
      </c>
      <c r="E51" s="32">
        <f t="shared" si="18"/>
        <v>0</v>
      </c>
      <c r="F51" s="18">
        <f>IF(ISNUMBER(D51), $B64 * E51, "")</f>
        <v>0</v>
      </c>
      <c r="G51" s="31">
        <v>11.6</v>
      </c>
      <c r="H51" s="32">
        <f t="shared" si="19"/>
        <v>0</v>
      </c>
      <c r="I51" s="91">
        <f>IF(ISNUMBER(G51), $B64 * H51, "")</f>
        <v>0</v>
      </c>
      <c r="J51" s="15">
        <v>11.6</v>
      </c>
      <c r="K51" s="32">
        <f t="shared" si="20"/>
        <v>0</v>
      </c>
      <c r="L51" s="18">
        <f>IF(ISNUMBER(J51), $B64 * K51, "")</f>
        <v>0</v>
      </c>
      <c r="M51" s="31">
        <v>11.6</v>
      </c>
      <c r="N51" s="32">
        <f t="shared" si="21"/>
        <v>0</v>
      </c>
      <c r="O51" s="18">
        <f>IF(ISNUMBER(M51), $B64 * N51, "")</f>
        <v>0</v>
      </c>
      <c r="Q51" s="161"/>
      <c r="R51" s="161"/>
      <c r="S51" s="161"/>
    </row>
    <row r="52" spans="1:19" ht="17.25" customHeight="1" thickBot="1">
      <c r="A52" s="109" t="s">
        <v>206</v>
      </c>
      <c r="B52" s="110">
        <v>3.54</v>
      </c>
      <c r="C52" s="70">
        <v>8.5470084999999998E-3</v>
      </c>
      <c r="D52" s="15">
        <v>3.55</v>
      </c>
      <c r="E52" s="32">
        <f t="shared" si="18"/>
        <v>2.8248587570620866E-3</v>
      </c>
      <c r="F52" s="18">
        <f>IF(ISNUMBER(D52), $B64 * E52, "")</f>
        <v>423.72881355931298</v>
      </c>
      <c r="G52" s="31">
        <v>3.55</v>
      </c>
      <c r="H52" s="32">
        <f t="shared" si="19"/>
        <v>2.8248587570620866E-3</v>
      </c>
      <c r="I52" s="91">
        <f>IF(ISNUMBER(G52), $B64 * H52, "")</f>
        <v>423.72881355931298</v>
      </c>
      <c r="J52" s="15">
        <v>3.55</v>
      </c>
      <c r="K52" s="32">
        <f t="shared" si="20"/>
        <v>2.8248587570620866E-3</v>
      </c>
      <c r="L52" s="18">
        <f>IF(ISNUMBER(J52), $B64 * K52, "")</f>
        <v>423.72881355931298</v>
      </c>
      <c r="M52" s="31">
        <v>3.48</v>
      </c>
      <c r="N52" s="32">
        <f t="shared" si="21"/>
        <v>-1.6949152542372895E-2</v>
      </c>
      <c r="O52" s="18">
        <f>IF(ISNUMBER(M52), $B64 * N52, "")</f>
        <v>-2542.3728813559342</v>
      </c>
      <c r="Q52" s="33"/>
      <c r="R52" s="33"/>
    </row>
    <row r="53" spans="1:19" ht="17.25" customHeight="1" thickBot="1">
      <c r="A53" s="114" t="s">
        <v>220</v>
      </c>
      <c r="B53" s="115">
        <v>78.900000000000006</v>
      </c>
      <c r="C53" s="72">
        <v>7.6628351999999999E-3</v>
      </c>
      <c r="D53" s="24">
        <v>82.2</v>
      </c>
      <c r="E53" s="25">
        <f t="shared" si="18"/>
        <v>4.1825095057034183E-2</v>
      </c>
      <c r="F53" s="94">
        <f>IF(ISNUMBER(D53), $B64 * E53, "")</f>
        <v>6273.7642585551275</v>
      </c>
      <c r="G53" s="92">
        <v>82.2</v>
      </c>
      <c r="H53" s="25">
        <f t="shared" si="19"/>
        <v>4.1825095057034183E-2</v>
      </c>
      <c r="I53" s="93">
        <f>IF(ISNUMBER(G53), $B64 * H53, "")</f>
        <v>6273.7642585551275</v>
      </c>
      <c r="J53" s="24">
        <v>82.2</v>
      </c>
      <c r="K53" s="25">
        <f t="shared" si="20"/>
        <v>4.1825095057034183E-2</v>
      </c>
      <c r="L53" s="94">
        <f>IF(ISNUMBER(J53), $B64 * K53, "")</f>
        <v>6273.7642585551275</v>
      </c>
      <c r="M53" s="92">
        <v>80.8</v>
      </c>
      <c r="N53" s="25">
        <f t="shared" si="21"/>
        <v>2.4081115335868077E-2</v>
      </c>
      <c r="O53" s="94">
        <f>IF(ISNUMBER(M53), $B64 * N53, "")</f>
        <v>3612.1673003802116</v>
      </c>
      <c r="Q53" s="170"/>
      <c r="R53" s="171"/>
      <c r="S53" s="172"/>
    </row>
    <row r="54" spans="1:19" ht="17.25" customHeight="1">
      <c r="A54" s="107" t="s">
        <v>145</v>
      </c>
      <c r="B54" s="108">
        <v>73.2</v>
      </c>
      <c r="C54" s="69">
        <v>6.8775790999999996E-3</v>
      </c>
      <c r="D54" s="13">
        <v>74.099999999999994</v>
      </c>
      <c r="E54" s="14">
        <f>IF(ISNUMBER(D54), (D54 - $B54) / $B54, "")</f>
        <v>1.2295081967212998E-2</v>
      </c>
      <c r="F54" s="16">
        <f>IF(ISNUMBER(D54), $B64 * E54, "")</f>
        <v>1844.2622950819498</v>
      </c>
      <c r="G54" s="29">
        <v>74.099999999999994</v>
      </c>
      <c r="H54" s="14">
        <f>IF(ISNUMBER(G54), (G54 - $B54) / $B54, "")</f>
        <v>1.2295081967212998E-2</v>
      </c>
      <c r="I54" s="90">
        <f>IF(ISNUMBER(G54), $B64 * H54, "")</f>
        <v>1844.2622950819498</v>
      </c>
      <c r="J54" s="13">
        <v>74.099999999999994</v>
      </c>
      <c r="K54" s="14">
        <f>IF(ISNUMBER(J54), (J54 - $B54) / $B54, "")</f>
        <v>1.2295081967212998E-2</v>
      </c>
      <c r="L54" s="16">
        <f>IF(ISNUMBER(J54), $B64 * K54, "")</f>
        <v>1844.2622950819498</v>
      </c>
      <c r="M54" s="29">
        <v>73.099999999999994</v>
      </c>
      <c r="N54" s="14">
        <f>IF(ISNUMBER(M54), (M54 - $B54) / $B54, "")</f>
        <v>-1.3661202185793514E-3</v>
      </c>
      <c r="O54" s="16">
        <f>IF(ISNUMBER(M54), $B64 * N54, "")</f>
        <v>-204.9180327869027</v>
      </c>
      <c r="Q54" s="173"/>
      <c r="R54" s="174"/>
      <c r="S54" s="175"/>
    </row>
    <row r="55" spans="1:19" ht="17.25" customHeight="1" thickBot="1">
      <c r="A55" s="109" t="s">
        <v>193</v>
      </c>
      <c r="B55" s="110">
        <v>20</v>
      </c>
      <c r="C55" s="70">
        <v>5.0251256000000003E-3</v>
      </c>
      <c r="D55" s="15">
        <v>20.2</v>
      </c>
      <c r="E55" s="32">
        <f t="shared" ref="E55:E58" si="22">IF(ISNUMBER(D55), (D55 - $B55) / $B55, "")</f>
        <v>9.9999999999999638E-3</v>
      </c>
      <c r="F55" s="18">
        <f>IF(ISNUMBER(D55), $B64 * E55, "")</f>
        <v>1499.9999999999945</v>
      </c>
      <c r="G55" s="31">
        <v>20.2</v>
      </c>
      <c r="H55" s="32">
        <f t="shared" ref="H55:H58" si="23">IF(ISNUMBER(G55), (G55 - $B55) / $B55, "")</f>
        <v>9.9999999999999638E-3</v>
      </c>
      <c r="I55" s="91">
        <f>IF(ISNUMBER(G55), $B64 * H55, "")</f>
        <v>1499.9999999999945</v>
      </c>
      <c r="J55" s="15">
        <v>20.2</v>
      </c>
      <c r="K55" s="32">
        <f t="shared" ref="K55:K58" si="24">IF(ISNUMBER(J55), (J55 - $B55) / $B55, "")</f>
        <v>9.9999999999999638E-3</v>
      </c>
      <c r="L55" s="18">
        <f>IF(ISNUMBER(J55), $B64 * K55, "")</f>
        <v>1499.9999999999945</v>
      </c>
      <c r="M55" s="31">
        <v>20.100000000000001</v>
      </c>
      <c r="N55" s="32">
        <f t="shared" ref="N55:N58" si="25">IF(ISNUMBER(M55), (M55 - $B55) / $B55, "")</f>
        <v>5.0000000000000712E-3</v>
      </c>
      <c r="O55" s="18">
        <f>IF(ISNUMBER(M55), $B64 * N55, "")</f>
        <v>750.00000000001069</v>
      </c>
      <c r="Q55" s="176"/>
      <c r="R55" s="177"/>
      <c r="S55" s="178"/>
    </row>
    <row r="56" spans="1:19" ht="17.25" customHeight="1" thickBot="1">
      <c r="A56" s="109" t="s">
        <v>333</v>
      </c>
      <c r="B56" s="110">
        <v>67.5</v>
      </c>
      <c r="C56" s="70">
        <v>4.4642856999999999E-3</v>
      </c>
      <c r="D56" s="15">
        <v>67.900000000000006</v>
      </c>
      <c r="E56" s="32">
        <f t="shared" si="22"/>
        <v>5.9259259259260098E-3</v>
      </c>
      <c r="F56" s="18">
        <f>IF(ISNUMBER(D56), $B64 * E56, "")</f>
        <v>888.88888888890142</v>
      </c>
      <c r="G56" s="31">
        <v>67.900000000000006</v>
      </c>
      <c r="H56" s="32">
        <f t="shared" si="23"/>
        <v>5.9259259259260098E-3</v>
      </c>
      <c r="I56" s="91">
        <f>IF(ISNUMBER(G56), $B64 * H56, "")</f>
        <v>888.88888888890142</v>
      </c>
      <c r="J56" s="15">
        <v>67.900000000000006</v>
      </c>
      <c r="K56" s="32">
        <f t="shared" si="24"/>
        <v>5.9259259259260098E-3</v>
      </c>
      <c r="L56" s="18">
        <f>IF(ISNUMBER(J56), $B64 * K56, "")</f>
        <v>888.88888888890142</v>
      </c>
      <c r="M56" s="31">
        <v>66</v>
      </c>
      <c r="N56" s="32">
        <f t="shared" si="25"/>
        <v>-2.2222222222222223E-2</v>
      </c>
      <c r="O56" s="18">
        <f>IF(ISNUMBER(M56), $B64 * N56, "")</f>
        <v>-3333.3333333333335</v>
      </c>
      <c r="Q56" s="161"/>
      <c r="R56" s="161"/>
      <c r="S56" s="161"/>
    </row>
    <row r="57" spans="1:19" ht="17.25" customHeight="1" thickBot="1">
      <c r="A57" s="109" t="s">
        <v>138</v>
      </c>
      <c r="B57" s="110">
        <v>30</v>
      </c>
      <c r="C57" s="70">
        <v>3.3444816E-3</v>
      </c>
      <c r="D57" s="15">
        <v>30.6</v>
      </c>
      <c r="E57" s="32">
        <f t="shared" si="22"/>
        <v>2.0000000000000049E-2</v>
      </c>
      <c r="F57" s="18">
        <f>IF(ISNUMBER(D57), $B64 * E57, "")</f>
        <v>3000.0000000000073</v>
      </c>
      <c r="G57" s="31">
        <v>30.6</v>
      </c>
      <c r="H57" s="32">
        <f t="shared" si="23"/>
        <v>2.0000000000000049E-2</v>
      </c>
      <c r="I57" s="91">
        <f>IF(ISNUMBER(G57), $B64 * H57, "")</f>
        <v>3000.0000000000073</v>
      </c>
      <c r="J57" s="15">
        <v>30.6</v>
      </c>
      <c r="K57" s="32">
        <f t="shared" si="24"/>
        <v>2.0000000000000049E-2</v>
      </c>
      <c r="L57" s="18">
        <f>IF(ISNUMBER(J57), $B64 * K57, "")</f>
        <v>3000.0000000000073</v>
      </c>
      <c r="M57" s="31">
        <v>28.9</v>
      </c>
      <c r="N57" s="32">
        <f t="shared" si="25"/>
        <v>-3.6666666666666715E-2</v>
      </c>
      <c r="O57" s="18">
        <f>IF(ISNUMBER(M57), $B64 * N57, "")</f>
        <v>-5500.0000000000073</v>
      </c>
      <c r="Q57" s="156"/>
      <c r="R57" s="156"/>
      <c r="S57" s="156"/>
    </row>
    <row r="58" spans="1:19" ht="17.25" customHeight="1" thickBot="1">
      <c r="A58" s="111" t="s">
        <v>240</v>
      </c>
      <c r="B58" s="112">
        <v>30.3</v>
      </c>
      <c r="C58" s="71">
        <v>3.3112583000000002E-3</v>
      </c>
      <c r="D58" s="20">
        <v>31.1</v>
      </c>
      <c r="E58" s="21">
        <f t="shared" si="22"/>
        <v>2.6402640264026424E-2</v>
      </c>
      <c r="F58" s="22">
        <f>IF(ISNUMBER(D58), $B64 * E58, "")</f>
        <v>3960.3960396039633</v>
      </c>
      <c r="G58" s="30">
        <v>31.1</v>
      </c>
      <c r="H58" s="21">
        <f t="shared" si="23"/>
        <v>2.6402640264026424E-2</v>
      </c>
      <c r="I58" s="95">
        <f>IF(ISNUMBER(G58), $B64 * H58, "")</f>
        <v>3960.3960396039633</v>
      </c>
      <c r="J58" s="20">
        <v>31.1</v>
      </c>
      <c r="K58" s="21">
        <f t="shared" si="24"/>
        <v>2.6402640264026424E-2</v>
      </c>
      <c r="L58" s="22">
        <f>IF(ISNUMBER(J58), $B64 * K58, "")</f>
        <v>3960.3960396039633</v>
      </c>
      <c r="M58" s="30">
        <v>30.2</v>
      </c>
      <c r="N58" s="21">
        <f t="shared" si="25"/>
        <v>-3.3003300330033472E-3</v>
      </c>
      <c r="O58" s="22">
        <f>IF(ISNUMBER(M58), $B64 * N58, "")</f>
        <v>-495.04950495050207</v>
      </c>
      <c r="Q58" s="156"/>
      <c r="R58" s="156"/>
      <c r="S58" s="156"/>
    </row>
    <row r="59" spans="1:19" ht="17.25" customHeight="1" thickBot="1">
      <c r="A59" s="109" t="s">
        <v>335</v>
      </c>
      <c r="B59" s="113">
        <v>3.95E-2</v>
      </c>
      <c r="C59" s="73">
        <v>2.5380710999999999E-3</v>
      </c>
      <c r="D59" s="96">
        <v>3.9899999999999998E-2</v>
      </c>
      <c r="E59" s="97">
        <f>IF(ISNUMBER(D59), (D59 - $B59) / $B59, "")</f>
        <v>1.0126582278480952E-2</v>
      </c>
      <c r="F59" s="98">
        <f>IF(ISNUMBER(D59), $B64 * E59, "")</f>
        <v>1518.9873417721428</v>
      </c>
      <c r="G59" s="99">
        <v>3.9899999999999998E-2</v>
      </c>
      <c r="H59" s="97">
        <f>IF(ISNUMBER(G59), (G59 - $B59) / $B59, "")</f>
        <v>1.0126582278480952E-2</v>
      </c>
      <c r="I59" s="100">
        <f>IF(ISNUMBER(G59), $B64 * H59, "")</f>
        <v>1518.9873417721428</v>
      </c>
      <c r="J59" s="96">
        <v>3.9899999999999998E-2</v>
      </c>
      <c r="K59" s="97">
        <f>IF(ISNUMBER(J59), (J59 - $B59) / $B59, "")</f>
        <v>1.0126582278480952E-2</v>
      </c>
      <c r="L59" s="98">
        <f>IF(ISNUMBER(J59), $B64 * K59, "")</f>
        <v>1518.9873417721428</v>
      </c>
      <c r="M59" s="99">
        <v>3.9399999999999998E-2</v>
      </c>
      <c r="N59" s="97">
        <f>IF(ISNUMBER(M59), (M59 - $B59) / $B59, "")</f>
        <v>-2.5316455696203256E-3</v>
      </c>
      <c r="O59" s="98">
        <f>IF(ISNUMBER(M59), $B64 * N59, "")</f>
        <v>-379.74683544304884</v>
      </c>
      <c r="Q59" s="161"/>
      <c r="R59" s="161"/>
      <c r="S59" s="161"/>
    </row>
    <row r="60" spans="1:19" ht="17.25" customHeight="1" thickBot="1">
      <c r="A60" s="109" t="s">
        <v>195</v>
      </c>
      <c r="B60" s="110">
        <v>6.74</v>
      </c>
      <c r="C60" s="70">
        <v>1.4858841000000001E-3</v>
      </c>
      <c r="D60" s="15">
        <v>6.78</v>
      </c>
      <c r="E60" s="32">
        <f t="shared" ref="E60:E63" si="26">IF(ISNUMBER(D60), (D60 - $B60) / $B60, "")</f>
        <v>5.9347181008902131E-3</v>
      </c>
      <c r="F60" s="18">
        <f>IF(ISNUMBER(D60), $B64 * E60, "")</f>
        <v>890.20771513353202</v>
      </c>
      <c r="G60" s="31">
        <v>6.78</v>
      </c>
      <c r="H60" s="32">
        <f t="shared" ref="H60:H63" si="27">IF(ISNUMBER(G60), (G60 - $B60) / $B60, "")</f>
        <v>5.9347181008902131E-3</v>
      </c>
      <c r="I60" s="91">
        <f>IF(ISNUMBER(G60), $B64 * H60, "")</f>
        <v>890.20771513353202</v>
      </c>
      <c r="J60" s="15">
        <v>6.78</v>
      </c>
      <c r="K60" s="32">
        <f t="shared" ref="K60:K63" si="28">IF(ISNUMBER(J60), (J60 - $B60) / $B60, "")</f>
        <v>5.9347181008902131E-3</v>
      </c>
      <c r="L60" s="18">
        <f>IF(ISNUMBER(J60), $B64 * K60, "")</f>
        <v>890.20771513353202</v>
      </c>
      <c r="M60" s="31">
        <v>6.73</v>
      </c>
      <c r="N60" s="32">
        <f t="shared" ref="N60:N63" si="29">IF(ISNUMBER(M60), (M60 - $B60) / $B60, "")</f>
        <v>-1.4836795252225203E-3</v>
      </c>
      <c r="O60" s="18">
        <f>IF(ISNUMBER(M60), $B64 * N60, "")</f>
        <v>-222.55192878337806</v>
      </c>
      <c r="Q60" s="161"/>
      <c r="R60" s="161"/>
      <c r="S60" s="161"/>
    </row>
    <row r="61" spans="1:19" ht="17.25" customHeight="1" thickBot="1">
      <c r="A61" s="109" t="s">
        <v>118</v>
      </c>
      <c r="B61" s="110">
        <v>7.15</v>
      </c>
      <c r="C61" s="70">
        <v>1.4005602E-3</v>
      </c>
      <c r="D61" s="15">
        <v>7.24</v>
      </c>
      <c r="E61" s="32">
        <f t="shared" si="26"/>
        <v>1.2587412587412567E-2</v>
      </c>
      <c r="F61" s="18">
        <f>IF(ISNUMBER(D61), $B64 * E61, "")</f>
        <v>1888.111888111885</v>
      </c>
      <c r="G61" s="31">
        <v>7.24</v>
      </c>
      <c r="H61" s="32">
        <f t="shared" si="27"/>
        <v>1.2587412587412567E-2</v>
      </c>
      <c r="I61" s="91">
        <f>IF(ISNUMBER(G61), $B64 * H61, "")</f>
        <v>1888.111888111885</v>
      </c>
      <c r="J61" s="15">
        <v>7.24</v>
      </c>
      <c r="K61" s="32">
        <f t="shared" si="28"/>
        <v>1.2587412587412567E-2</v>
      </c>
      <c r="L61" s="18">
        <f>IF(ISNUMBER(J61), $B64 * K61, "")</f>
        <v>1888.111888111885</v>
      </c>
      <c r="M61" s="31">
        <v>6.99</v>
      </c>
      <c r="N61" s="32">
        <f t="shared" si="29"/>
        <v>-2.2377622377622395E-2</v>
      </c>
      <c r="O61" s="18">
        <f>IF(ISNUMBER(M61), $B64 * N61, "")</f>
        <v>-3356.6433566433593</v>
      </c>
      <c r="Q61" s="161"/>
      <c r="R61" s="161"/>
      <c r="S61" s="161"/>
    </row>
    <row r="62" spans="1:19" ht="17.25" customHeight="1">
      <c r="A62" s="109" t="s">
        <v>336</v>
      </c>
      <c r="B62" s="110">
        <v>87.1</v>
      </c>
      <c r="C62" s="70">
        <v>1.1494253E-3</v>
      </c>
      <c r="D62" s="15">
        <v>88.3</v>
      </c>
      <c r="E62" s="32">
        <f t="shared" si="26"/>
        <v>1.3777267508610826E-2</v>
      </c>
      <c r="F62" s="18">
        <f>IF(ISNUMBER(D62), $B64 * E62, "")</f>
        <v>2066.5901262916241</v>
      </c>
      <c r="G62" s="31">
        <v>88.3</v>
      </c>
      <c r="H62" s="32">
        <f t="shared" si="27"/>
        <v>1.3777267508610826E-2</v>
      </c>
      <c r="I62" s="91">
        <f>IF(ISNUMBER(G62), $B64 * H62, "")</f>
        <v>2066.5901262916241</v>
      </c>
      <c r="J62" s="15">
        <v>88.3</v>
      </c>
      <c r="K62" s="32">
        <f t="shared" si="28"/>
        <v>1.3777267508610826E-2</v>
      </c>
      <c r="L62" s="18">
        <f>IF(ISNUMBER(J62), $B64 * K62, "")</f>
        <v>2066.5901262916241</v>
      </c>
      <c r="M62" s="31">
        <v>87.7</v>
      </c>
      <c r="N62" s="32">
        <f t="shared" si="29"/>
        <v>6.8886337543054947E-3</v>
      </c>
      <c r="O62" s="18">
        <f>IF(ISNUMBER(M62), $B64 * N62, "")</f>
        <v>1033.2950631458243</v>
      </c>
      <c r="Q62" s="183"/>
      <c r="R62" s="184"/>
      <c r="S62" s="185"/>
    </row>
    <row r="63" spans="1:19" ht="17.25" customHeight="1" thickBot="1">
      <c r="A63" s="114" t="s">
        <v>185</v>
      </c>
      <c r="B63" s="115">
        <v>33.5</v>
      </c>
      <c r="C63" s="72">
        <v>0</v>
      </c>
      <c r="D63" s="24">
        <v>34.299999999999997</v>
      </c>
      <c r="E63" s="25">
        <f t="shared" si="26"/>
        <v>2.3880597014925287E-2</v>
      </c>
      <c r="F63" s="94">
        <f>IF(ISNUMBER(D63), $B64 * E63, "")</f>
        <v>3582.0895522387932</v>
      </c>
      <c r="G63" s="92">
        <v>34.299999999999997</v>
      </c>
      <c r="H63" s="25">
        <f t="shared" si="27"/>
        <v>2.3880597014925287E-2</v>
      </c>
      <c r="I63" s="93">
        <f>IF(ISNUMBER(G63), $B64 * H63, "")</f>
        <v>3582.0895522387932</v>
      </c>
      <c r="J63" s="24">
        <v>34.299999999999997</v>
      </c>
      <c r="K63" s="25">
        <f t="shared" si="28"/>
        <v>2.3880597014925287E-2</v>
      </c>
      <c r="L63" s="94">
        <f>IF(ISNUMBER(J63), $B64 * K63, "")</f>
        <v>3582.0895522387932</v>
      </c>
      <c r="M63" s="92">
        <v>34.200000000000003</v>
      </c>
      <c r="N63" s="25">
        <f t="shared" si="29"/>
        <v>2.0895522388059785E-2</v>
      </c>
      <c r="O63" s="94">
        <f>IF(ISNUMBER(M63), $B64 * N63, "")</f>
        <v>3134.328358208968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1.237689420547316E-2</v>
      </c>
      <c r="F64" s="28">
        <f>SUM(F44:F63)</f>
        <v>37130.682616419486</v>
      </c>
      <c r="G64" s="26" t="s">
        <v>261</v>
      </c>
      <c r="H64" s="27">
        <f>IF(COUNT(H44:H63), SUM(H44:H63) / COUNT(H44:H63), 0)</f>
        <v>1.237689420547316E-2</v>
      </c>
      <c r="I64" s="28">
        <f>SUM(I44:I63)</f>
        <v>37130.682616419486</v>
      </c>
      <c r="J64" s="26" t="s">
        <v>261</v>
      </c>
      <c r="K64" s="27">
        <f>IF(COUNT(K44:K63), SUM(K44:K63) / COUNT(K44:K63), 0)</f>
        <v>1.237689420547316E-2</v>
      </c>
      <c r="L64" s="28">
        <f>SUM(L44:L63)</f>
        <v>37130.682616419486</v>
      </c>
      <c r="M64" s="26" t="s">
        <v>261</v>
      </c>
      <c r="N64" s="27">
        <f>IF(COUNT(N44:N63), SUM(N44:N63) / COUNT(N44:N63), 0)</f>
        <v>-5.4433994181591798E-3</v>
      </c>
      <c r="O64" s="28">
        <f>SUM(O44:O63)</f>
        <v>-16330.198254477542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2022-12-01(목) 오전 00:00</v>
      </c>
      <c r="C69" s="199"/>
      <c r="D69" s="158" t="str">
        <f>TEXT($G$1, "[$-ko-KR]yyyy-mm-dd(ddd) ") &amp; "오후 14:00"</f>
        <v>2022-12-01(목) 오후 14:00</v>
      </c>
      <c r="E69" s="159"/>
      <c r="F69" s="160"/>
      <c r="G69" s="158" t="str">
        <f>TEXT($G$1, "[$-ko-KR]yyyy-mm-dd(ddd) ") &amp; "오후 19:00"</f>
        <v>2022-12-01(목) 오후 19:00</v>
      </c>
      <c r="H69" s="159"/>
      <c r="I69" s="160"/>
      <c r="J69" s="158" t="str">
        <f>TEXT($G$1, "[$-ko-KR]yyyy-mm-dd(ddd) ") &amp; "오후 21:00"</f>
        <v>2022-12-01(목) 오후 21:00</v>
      </c>
      <c r="K69" s="159"/>
      <c r="L69" s="160"/>
      <c r="M69" s="158" t="str">
        <f>TEXT($G$1+1, "[$-ko-KR]yyyy-mm-dd(ddd) ") &amp; "오전 00:00"</f>
        <v>2022-12-02(금)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105</v>
      </c>
      <c r="B71" s="108">
        <v>274</v>
      </c>
      <c r="C71" s="69">
        <v>0.20175438600000001</v>
      </c>
      <c r="D71" s="13">
        <v>265</v>
      </c>
      <c r="E71" s="14">
        <f>IF(ISNUMBER(D71), (D71 - $B71) / $B71, "")</f>
        <v>-3.2846715328467155E-2</v>
      </c>
      <c r="F71" s="16">
        <f>IF(ISNUMBER(D71), $B91 * E71, "")</f>
        <v>-4927.0072992700734</v>
      </c>
      <c r="G71" s="29">
        <v>265</v>
      </c>
      <c r="H71" s="14">
        <f>IF(ISNUMBER(G71), (G71 - $B71) / $B71, "")</f>
        <v>-3.2846715328467155E-2</v>
      </c>
      <c r="I71" s="90">
        <f>IF(ISNUMBER(G71), $B91 * H71, "")</f>
        <v>-4927.0072992700734</v>
      </c>
      <c r="J71" s="13">
        <v>265</v>
      </c>
      <c r="K71" s="14">
        <f>IF(ISNUMBER(J71), (J71 - $B71) / $B71, "")</f>
        <v>-3.2846715328467155E-2</v>
      </c>
      <c r="L71" s="16">
        <f>IF(ISNUMBER(J71), $B91 * K71, "")</f>
        <v>-4927.0072992700734</v>
      </c>
      <c r="M71" s="29">
        <v>251</v>
      </c>
      <c r="N71" s="14">
        <f>IF(ISNUMBER(M71), (M71 - $B71) / $B71, "")</f>
        <v>-8.3941605839416053E-2</v>
      </c>
      <c r="O71" s="16">
        <f>IF(ISNUMBER(M71), $B91 * N71, "")</f>
        <v>-12591.240875912408</v>
      </c>
      <c r="Q71" s="156"/>
      <c r="R71" s="156"/>
      <c r="S71" s="156"/>
    </row>
    <row r="72" spans="1:19" ht="17.25" thickBot="1">
      <c r="A72" s="109" t="s">
        <v>130</v>
      </c>
      <c r="B72" s="110">
        <v>963</v>
      </c>
      <c r="C72" s="70">
        <v>0.13427561839999999</v>
      </c>
      <c r="D72" s="15">
        <v>922</v>
      </c>
      <c r="E72" s="32">
        <f t="shared" ref="E72:E75" si="30">IF(ISNUMBER(D72), (D72 - $B72) / $B72, "")</f>
        <v>-4.2575285565939772E-2</v>
      </c>
      <c r="F72" s="18">
        <f>IF(ISNUMBER(D72), $B91 * E72, "")</f>
        <v>-6386.2928348909654</v>
      </c>
      <c r="G72" s="31">
        <v>922</v>
      </c>
      <c r="H72" s="32">
        <f t="shared" ref="H72:H75" si="31">IF(ISNUMBER(G72), (G72 - $B72) / $B72, "")</f>
        <v>-4.2575285565939772E-2</v>
      </c>
      <c r="I72" s="91">
        <f>IF(ISNUMBER(G72), $B91 * H72, "")</f>
        <v>-6386.2928348909654</v>
      </c>
      <c r="J72" s="15">
        <v>922</v>
      </c>
      <c r="K72" s="32">
        <f t="shared" ref="K72:K75" si="32">IF(ISNUMBER(J72), (J72 - $B72) / $B72, "")</f>
        <v>-4.2575285565939772E-2</v>
      </c>
      <c r="L72" s="18">
        <f>IF(ISNUMBER(J72), $B91 * K72, "")</f>
        <v>-6386.2928348909654</v>
      </c>
      <c r="M72" s="31">
        <v>896</v>
      </c>
      <c r="N72" s="32">
        <f t="shared" ref="N72:N75" si="33">IF(ISNUMBER(M72), (M72 - $B72) / $B72, "")</f>
        <v>-6.9574247144340601E-2</v>
      </c>
      <c r="O72" s="18">
        <f>IF(ISNUMBER(M72), $B91 * N72, "")</f>
        <v>-10436.13707165109</v>
      </c>
      <c r="Q72" s="156"/>
      <c r="R72" s="156"/>
      <c r="S72" s="156"/>
    </row>
    <row r="73" spans="1:19" ht="17.25" thickBot="1">
      <c r="A73" s="109" t="s">
        <v>103</v>
      </c>
      <c r="B73" s="110">
        <v>264</v>
      </c>
      <c r="C73" s="70">
        <v>4.3478260900000003E-2</v>
      </c>
      <c r="D73" s="15">
        <v>260</v>
      </c>
      <c r="E73" s="32">
        <f t="shared" si="30"/>
        <v>-1.5151515151515152E-2</v>
      </c>
      <c r="F73" s="18">
        <f>IF(ISNUMBER(D73), $B91 * E73, "")</f>
        <v>-2272.727272727273</v>
      </c>
      <c r="G73" s="31">
        <v>260</v>
      </c>
      <c r="H73" s="32">
        <f t="shared" si="31"/>
        <v>-1.5151515151515152E-2</v>
      </c>
      <c r="I73" s="91">
        <f>IF(ISNUMBER(G73), $B91 * H73, "")</f>
        <v>-2272.727272727273</v>
      </c>
      <c r="J73" s="15">
        <v>260</v>
      </c>
      <c r="K73" s="32">
        <f t="shared" si="32"/>
        <v>-1.5151515151515152E-2</v>
      </c>
      <c r="L73" s="18">
        <f>IF(ISNUMBER(J73), $B91 * K73, "")</f>
        <v>-2272.727272727273</v>
      </c>
      <c r="M73" s="31">
        <v>253</v>
      </c>
      <c r="N73" s="32">
        <f t="shared" si="33"/>
        <v>-4.1666666666666664E-2</v>
      </c>
      <c r="O73" s="18">
        <f>IF(ISNUMBER(M73), $B91 * N73, "")</f>
        <v>-6250</v>
      </c>
      <c r="Q73" s="161"/>
      <c r="R73" s="161"/>
      <c r="S73" s="161"/>
    </row>
    <row r="74" spans="1:19" ht="17.25" thickBot="1">
      <c r="A74" s="109" t="s">
        <v>101</v>
      </c>
      <c r="B74" s="110">
        <v>251</v>
      </c>
      <c r="C74" s="70">
        <v>2.8688524600000001E-2</v>
      </c>
      <c r="D74" s="15">
        <v>251</v>
      </c>
      <c r="E74" s="32">
        <f t="shared" si="30"/>
        <v>0</v>
      </c>
      <c r="F74" s="18">
        <f>IF(ISNUMBER(D74), $B91 * E74, "")</f>
        <v>0</v>
      </c>
      <c r="G74" s="31">
        <v>251</v>
      </c>
      <c r="H74" s="32">
        <f t="shared" si="31"/>
        <v>0</v>
      </c>
      <c r="I74" s="91">
        <f>IF(ISNUMBER(G74), $B91 * H74, "")</f>
        <v>0</v>
      </c>
      <c r="J74" s="15">
        <v>251</v>
      </c>
      <c r="K74" s="32">
        <f t="shared" si="32"/>
        <v>0</v>
      </c>
      <c r="L74" s="18">
        <f>IF(ISNUMBER(J74), $B91 * K74, "")</f>
        <v>0</v>
      </c>
      <c r="M74" s="31">
        <v>245</v>
      </c>
      <c r="N74" s="32">
        <f t="shared" si="33"/>
        <v>-2.3904382470119521E-2</v>
      </c>
      <c r="O74" s="18">
        <f>IF(ISNUMBER(M74), $B91 * N74, "")</f>
        <v>-3585.657370517928</v>
      </c>
      <c r="Q74" s="161"/>
      <c r="R74" s="161"/>
      <c r="S74" s="161"/>
    </row>
    <row r="75" spans="1:19" ht="17.25" thickBot="1">
      <c r="A75" s="111" t="s">
        <v>204</v>
      </c>
      <c r="B75" s="112">
        <v>278</v>
      </c>
      <c r="C75" s="71">
        <v>2.5830258299999999E-2</v>
      </c>
      <c r="D75" s="20">
        <v>281</v>
      </c>
      <c r="E75" s="21">
        <f t="shared" si="30"/>
        <v>1.0791366906474821E-2</v>
      </c>
      <c r="F75" s="22">
        <f>IF(ISNUMBER(D75), $B91 * E75, "")</f>
        <v>1618.7050359712232</v>
      </c>
      <c r="G75" s="30">
        <v>281</v>
      </c>
      <c r="H75" s="21">
        <f t="shared" si="31"/>
        <v>1.0791366906474821E-2</v>
      </c>
      <c r="I75" s="95">
        <f>IF(ISNUMBER(G75), $B91 * H75, "")</f>
        <v>1618.7050359712232</v>
      </c>
      <c r="J75" s="20">
        <v>281</v>
      </c>
      <c r="K75" s="21">
        <f t="shared" si="32"/>
        <v>1.0791366906474821E-2</v>
      </c>
      <c r="L75" s="22">
        <f>IF(ISNUMBER(J75), $B91 * K75, "")</f>
        <v>1618.7050359712232</v>
      </c>
      <c r="M75" s="30">
        <v>278</v>
      </c>
      <c r="N75" s="21">
        <f t="shared" si="33"/>
        <v>0</v>
      </c>
      <c r="O75" s="22">
        <f>IF(ISNUMBER(M75), $B91 * N75, "")</f>
        <v>0</v>
      </c>
      <c r="Q75" s="161"/>
      <c r="R75" s="161"/>
      <c r="S75" s="161"/>
    </row>
    <row r="76" spans="1:19" ht="17.25" thickBot="1">
      <c r="A76" s="109" t="s">
        <v>149</v>
      </c>
      <c r="B76" s="113">
        <v>418</v>
      </c>
      <c r="C76" s="73">
        <v>2.4509803899999998E-2</v>
      </c>
      <c r="D76" s="96">
        <v>418</v>
      </c>
      <c r="E76" s="97">
        <f>IF(ISNUMBER(D76), (D76 - $B76) / $B76, "")</f>
        <v>0</v>
      </c>
      <c r="F76" s="98">
        <f>IF(ISNUMBER(D76), $B91 * E76, "")</f>
        <v>0</v>
      </c>
      <c r="G76" s="99">
        <v>418</v>
      </c>
      <c r="H76" s="97">
        <f>IF(ISNUMBER(G76), (G76 - $B76) / $B76, "")</f>
        <v>0</v>
      </c>
      <c r="I76" s="100">
        <f>IF(ISNUMBER(G76), $B91 * H76, "")</f>
        <v>0</v>
      </c>
      <c r="J76" s="96">
        <v>418</v>
      </c>
      <c r="K76" s="97">
        <f>IF(ISNUMBER(J76), (J76 - $B76) / $B76, "")</f>
        <v>0</v>
      </c>
      <c r="L76" s="98">
        <f>IF(ISNUMBER(J76), $B91 * K76, "")</f>
        <v>0</v>
      </c>
      <c r="M76" s="99">
        <v>412</v>
      </c>
      <c r="N76" s="97">
        <f>IF(ISNUMBER(M76), (M76 - $B76) / $B76, "")</f>
        <v>-1.4354066985645933E-2</v>
      </c>
      <c r="O76" s="98">
        <f>IF(ISNUMBER(M76), $B91 * N76, "")</f>
        <v>-2153.1100478468902</v>
      </c>
      <c r="Q76" s="161"/>
      <c r="R76" s="161"/>
      <c r="S76" s="161"/>
    </row>
    <row r="77" spans="1:19" ht="17.25" thickBot="1">
      <c r="A77" s="109" t="s">
        <v>232</v>
      </c>
      <c r="B77" s="110">
        <v>304</v>
      </c>
      <c r="C77" s="70">
        <v>2.3569023599999999E-2</v>
      </c>
      <c r="D77" s="15">
        <v>305</v>
      </c>
      <c r="E77" s="32">
        <f t="shared" ref="E77:E80" si="34">IF(ISNUMBER(D77), (D77 - $B77) / $B77, "")</f>
        <v>3.2894736842105261E-3</v>
      </c>
      <c r="F77" s="18">
        <f>IF(ISNUMBER(D77), $B91 * E77, "")</f>
        <v>493.4210526315789</v>
      </c>
      <c r="G77" s="31">
        <v>305</v>
      </c>
      <c r="H77" s="32">
        <f t="shared" ref="H77:H80" si="35">IF(ISNUMBER(G77), (G77 - $B77) / $B77, "")</f>
        <v>3.2894736842105261E-3</v>
      </c>
      <c r="I77" s="91">
        <f>IF(ISNUMBER(G77), $B91 * H77, "")</f>
        <v>493.4210526315789</v>
      </c>
      <c r="J77" s="15">
        <v>305</v>
      </c>
      <c r="K77" s="32">
        <f t="shared" ref="K77:K80" si="36">IF(ISNUMBER(J77), (J77 - $B77) / $B77, "")</f>
        <v>3.2894736842105261E-3</v>
      </c>
      <c r="L77" s="18">
        <f>IF(ISNUMBER(J77), $B91 * K77, "")</f>
        <v>493.4210526315789</v>
      </c>
      <c r="M77" s="31">
        <v>299</v>
      </c>
      <c r="N77" s="32">
        <f t="shared" ref="N77:N80" si="37">IF(ISNUMBER(M77), (M77 - $B77) / $B77, "")</f>
        <v>-1.6447368421052631E-2</v>
      </c>
      <c r="O77" s="18">
        <f>IF(ISNUMBER(M77), $B91 * N77, "")</f>
        <v>-2467.1052631578946</v>
      </c>
      <c r="Q77" s="161"/>
      <c r="R77" s="161"/>
      <c r="S77" s="161"/>
    </row>
    <row r="78" spans="1:19" ht="17.25" thickBot="1">
      <c r="A78" s="109" t="s">
        <v>79</v>
      </c>
      <c r="B78" s="110">
        <v>316</v>
      </c>
      <c r="C78" s="70">
        <v>2.2653721700000001E-2</v>
      </c>
      <c r="D78" s="15">
        <v>318</v>
      </c>
      <c r="E78" s="32">
        <f t="shared" si="34"/>
        <v>6.3291139240506328E-3</v>
      </c>
      <c r="F78" s="18">
        <f>IF(ISNUMBER(D78), $B91 * E78, "")</f>
        <v>949.36708860759495</v>
      </c>
      <c r="G78" s="31">
        <v>318</v>
      </c>
      <c r="H78" s="32">
        <f t="shared" si="35"/>
        <v>6.3291139240506328E-3</v>
      </c>
      <c r="I78" s="91">
        <f>IF(ISNUMBER(G78), $B91 * H78, "")</f>
        <v>949.36708860759495</v>
      </c>
      <c r="J78" s="15">
        <v>318</v>
      </c>
      <c r="K78" s="32">
        <f t="shared" si="36"/>
        <v>6.3291139240506328E-3</v>
      </c>
      <c r="L78" s="18">
        <f>IF(ISNUMBER(J78), $B91 * K78, "")</f>
        <v>949.36708860759495</v>
      </c>
      <c r="M78" s="31">
        <v>313</v>
      </c>
      <c r="N78" s="32">
        <f t="shared" si="37"/>
        <v>-9.4936708860759497E-3</v>
      </c>
      <c r="O78" s="18">
        <f>IF(ISNUMBER(M78), $B91 * N78, "")</f>
        <v>-1424.0506329113925</v>
      </c>
      <c r="Q78" s="161"/>
      <c r="R78" s="161"/>
      <c r="S78" s="161"/>
    </row>
    <row r="79" spans="1:19" ht="17.25" thickBot="1">
      <c r="A79" s="109" t="s">
        <v>153</v>
      </c>
      <c r="B79" s="110">
        <v>452</v>
      </c>
      <c r="C79" s="70">
        <v>1.5730337099999998E-2</v>
      </c>
      <c r="D79" s="15">
        <v>458</v>
      </c>
      <c r="E79" s="32">
        <f t="shared" si="34"/>
        <v>1.3274336283185841E-2</v>
      </c>
      <c r="F79" s="18">
        <f>IF(ISNUMBER(D79), $B91 * E79, "")</f>
        <v>1991.1504424778761</v>
      </c>
      <c r="G79" s="31">
        <v>458</v>
      </c>
      <c r="H79" s="32">
        <f t="shared" si="35"/>
        <v>1.3274336283185841E-2</v>
      </c>
      <c r="I79" s="91">
        <f>IF(ISNUMBER(G79), $B91 * H79, "")</f>
        <v>1991.1504424778761</v>
      </c>
      <c r="J79" s="15">
        <v>458</v>
      </c>
      <c r="K79" s="32">
        <f t="shared" si="36"/>
        <v>1.3274336283185841E-2</v>
      </c>
      <c r="L79" s="18">
        <f>IF(ISNUMBER(J79), $B91 * K79, "")</f>
        <v>1991.1504424778761</v>
      </c>
      <c r="M79" s="31">
        <v>446</v>
      </c>
      <c r="N79" s="32">
        <f t="shared" si="37"/>
        <v>-1.3274336283185841E-2</v>
      </c>
      <c r="O79" s="18">
        <f>IF(ISNUMBER(M79), $B91 * N79, "")</f>
        <v>-1991.1504424778761</v>
      </c>
      <c r="Q79" s="33"/>
      <c r="R79" s="33"/>
    </row>
    <row r="80" spans="1:19" ht="17.25" thickBot="1">
      <c r="A80" s="114" t="s">
        <v>256</v>
      </c>
      <c r="B80" s="115">
        <v>141</v>
      </c>
      <c r="C80" s="72">
        <v>1.43884892E-2</v>
      </c>
      <c r="D80" s="24">
        <v>141</v>
      </c>
      <c r="E80" s="25">
        <f t="shared" si="34"/>
        <v>0</v>
      </c>
      <c r="F80" s="94">
        <f>IF(ISNUMBER(D80), $B91 * E80, "")</f>
        <v>0</v>
      </c>
      <c r="G80" s="92">
        <v>141</v>
      </c>
      <c r="H80" s="25">
        <f t="shared" si="35"/>
        <v>0</v>
      </c>
      <c r="I80" s="93">
        <f>IF(ISNUMBER(G80), $B91 * H80, "")</f>
        <v>0</v>
      </c>
      <c r="J80" s="24">
        <v>141</v>
      </c>
      <c r="K80" s="25">
        <f t="shared" si="36"/>
        <v>0</v>
      </c>
      <c r="L80" s="94">
        <f>IF(ISNUMBER(J80), $B91 * K80, "")</f>
        <v>0</v>
      </c>
      <c r="M80" s="92">
        <v>134</v>
      </c>
      <c r="N80" s="25">
        <f t="shared" si="37"/>
        <v>-4.9645390070921988E-2</v>
      </c>
      <c r="O80" s="94">
        <f>IF(ISNUMBER(M80), $B91 * N80, "")</f>
        <v>-7446.8085106382978</v>
      </c>
      <c r="Q80" s="170"/>
      <c r="R80" s="171"/>
      <c r="S80" s="172"/>
    </row>
    <row r="81" spans="1:19">
      <c r="A81" s="107" t="s">
        <v>111</v>
      </c>
      <c r="B81" s="108">
        <v>778</v>
      </c>
      <c r="C81" s="69">
        <v>1.4341590600000001E-2</v>
      </c>
      <c r="D81" s="13">
        <v>792</v>
      </c>
      <c r="E81" s="14">
        <f>IF(ISNUMBER(D81), (D81 - $B81) / $B81, "")</f>
        <v>1.7994858611825194E-2</v>
      </c>
      <c r="F81" s="16">
        <f>IF(ISNUMBER(D81), $B91 * E81, "")</f>
        <v>2699.228791773779</v>
      </c>
      <c r="G81" s="29">
        <v>792</v>
      </c>
      <c r="H81" s="14">
        <f>IF(ISNUMBER(G81), (G81 - $B81) / $B81, "")</f>
        <v>1.7994858611825194E-2</v>
      </c>
      <c r="I81" s="90">
        <f>IF(ISNUMBER(G81), $B91 * H81, "")</f>
        <v>2699.228791773779</v>
      </c>
      <c r="J81" s="13">
        <v>792</v>
      </c>
      <c r="K81" s="14">
        <f>IF(ISNUMBER(J81), (J81 - $B81) / $B81, "")</f>
        <v>1.7994858611825194E-2</v>
      </c>
      <c r="L81" s="16">
        <f>IF(ISNUMBER(J81), $B91 * K81, "")</f>
        <v>2699.228791773779</v>
      </c>
      <c r="M81" s="29">
        <v>788</v>
      </c>
      <c r="N81" s="14">
        <f>IF(ISNUMBER(M81), (M81 - $B81) / $B81, "")</f>
        <v>1.2853470437017995E-2</v>
      </c>
      <c r="O81" s="16">
        <f>IF(ISNUMBER(M81), $B91 * N81, "")</f>
        <v>1928.0205655526993</v>
      </c>
      <c r="Q81" s="173"/>
      <c r="R81" s="174"/>
      <c r="S81" s="175"/>
    </row>
    <row r="82" spans="1:19" ht="17.25" thickBot="1">
      <c r="A82" s="109" t="s">
        <v>60</v>
      </c>
      <c r="B82" s="110">
        <v>544</v>
      </c>
      <c r="C82" s="70">
        <v>1.3035381800000001E-2</v>
      </c>
      <c r="D82" s="15">
        <v>548</v>
      </c>
      <c r="E82" s="32">
        <f t="shared" ref="E82:E85" si="38">IF(ISNUMBER(D82), (D82 - $B82) / $B82, "")</f>
        <v>7.3529411764705881E-3</v>
      </c>
      <c r="F82" s="18">
        <f>IF(ISNUMBER(D82), $B91 * E82, "")</f>
        <v>1102.9411764705883</v>
      </c>
      <c r="G82" s="31">
        <v>548</v>
      </c>
      <c r="H82" s="32">
        <f t="shared" ref="H82:H85" si="39">IF(ISNUMBER(G82), (G82 - $B82) / $B82, "")</f>
        <v>7.3529411764705881E-3</v>
      </c>
      <c r="I82" s="91">
        <f>IF(ISNUMBER(G82), $B91 * H82, "")</f>
        <v>1102.9411764705883</v>
      </c>
      <c r="J82" s="15">
        <v>548</v>
      </c>
      <c r="K82" s="32">
        <f t="shared" ref="K82:K85" si="40">IF(ISNUMBER(J82), (J82 - $B82) / $B82, "")</f>
        <v>7.3529411764705881E-3</v>
      </c>
      <c r="L82" s="18">
        <f>IF(ISNUMBER(J82), $B91 * K82, "")</f>
        <v>1102.9411764705883</v>
      </c>
      <c r="M82" s="31">
        <v>543</v>
      </c>
      <c r="N82" s="32">
        <f t="shared" ref="N82:N85" si="41">IF(ISNUMBER(M82), (M82 - $B82) / $B82, "")</f>
        <v>-1.838235294117647E-3</v>
      </c>
      <c r="O82" s="18">
        <f>IF(ISNUMBER(M82), $B91 * N82, "")</f>
        <v>-275.73529411764707</v>
      </c>
      <c r="Q82" s="176"/>
      <c r="R82" s="177"/>
      <c r="S82" s="178"/>
    </row>
    <row r="83" spans="1:19" ht="17.25" thickBot="1">
      <c r="A83" s="109" t="s">
        <v>222</v>
      </c>
      <c r="B83" s="110">
        <v>488</v>
      </c>
      <c r="C83" s="70">
        <v>1.2448132799999999E-2</v>
      </c>
      <c r="D83" s="15">
        <v>492</v>
      </c>
      <c r="E83" s="32">
        <f t="shared" si="38"/>
        <v>8.1967213114754103E-3</v>
      </c>
      <c r="F83" s="18">
        <f>IF(ISNUMBER(D83), $B91 * E83, "")</f>
        <v>1229.5081967213116</v>
      </c>
      <c r="G83" s="31">
        <v>492</v>
      </c>
      <c r="H83" s="32">
        <f t="shared" si="39"/>
        <v>8.1967213114754103E-3</v>
      </c>
      <c r="I83" s="91">
        <f>IF(ISNUMBER(G83), $B91 * H83, "")</f>
        <v>1229.5081967213116</v>
      </c>
      <c r="J83" s="15">
        <v>492</v>
      </c>
      <c r="K83" s="32">
        <f t="shared" si="40"/>
        <v>8.1967213114754103E-3</v>
      </c>
      <c r="L83" s="18">
        <f>IF(ISNUMBER(J83), $B91 * K83, "")</f>
        <v>1229.5081967213116</v>
      </c>
      <c r="M83" s="31">
        <v>478</v>
      </c>
      <c r="N83" s="32">
        <f t="shared" si="41"/>
        <v>-2.0491803278688523E-2</v>
      </c>
      <c r="O83" s="18">
        <f>IF(ISNUMBER(M83), $B91 * N83, "")</f>
        <v>-3073.7704918032787</v>
      </c>
      <c r="Q83" s="161"/>
      <c r="R83" s="161"/>
      <c r="S83" s="161"/>
    </row>
    <row r="84" spans="1:19" ht="17.25" thickBot="1">
      <c r="A84" s="109" t="s">
        <v>169</v>
      </c>
      <c r="B84" s="110">
        <v>290</v>
      </c>
      <c r="C84" s="70">
        <v>1.0452961699999999E-2</v>
      </c>
      <c r="D84" s="15">
        <v>289</v>
      </c>
      <c r="E84" s="32">
        <f t="shared" si="38"/>
        <v>-3.4482758620689655E-3</v>
      </c>
      <c r="F84" s="18">
        <f>IF(ISNUMBER(D84), $B91 * E84, "")</f>
        <v>-517.24137931034477</v>
      </c>
      <c r="G84" s="31">
        <v>289</v>
      </c>
      <c r="H84" s="32">
        <f t="shared" si="39"/>
        <v>-3.4482758620689655E-3</v>
      </c>
      <c r="I84" s="91">
        <f>IF(ISNUMBER(G84), $B91 * H84, "")</f>
        <v>-517.24137931034477</v>
      </c>
      <c r="J84" s="15">
        <v>289</v>
      </c>
      <c r="K84" s="32">
        <f t="shared" si="40"/>
        <v>-3.4482758620689655E-3</v>
      </c>
      <c r="L84" s="18">
        <f>IF(ISNUMBER(J84), $B91 * K84, "")</f>
        <v>-517.24137931034477</v>
      </c>
      <c r="M84" s="31">
        <v>285</v>
      </c>
      <c r="N84" s="32">
        <f t="shared" si="41"/>
        <v>-1.7241379310344827E-2</v>
      </c>
      <c r="O84" s="18">
        <f>IF(ISNUMBER(M84), $B91 * N84, "")</f>
        <v>-2586.2068965517242</v>
      </c>
      <c r="Q84" s="156"/>
      <c r="R84" s="156"/>
      <c r="S84" s="156"/>
    </row>
    <row r="85" spans="1:19" ht="17.25" thickBot="1">
      <c r="A85" s="111" t="s">
        <v>216</v>
      </c>
      <c r="B85" s="112">
        <v>525</v>
      </c>
      <c r="C85" s="71">
        <v>9.6153846000000005E-3</v>
      </c>
      <c r="D85" s="20">
        <v>541</v>
      </c>
      <c r="E85" s="21">
        <f t="shared" si="38"/>
        <v>3.0476190476190476E-2</v>
      </c>
      <c r="F85" s="22">
        <f>IF(ISNUMBER(D85), $B91 * E85, "")</f>
        <v>4571.4285714285716</v>
      </c>
      <c r="G85" s="30">
        <v>541</v>
      </c>
      <c r="H85" s="21">
        <f t="shared" si="39"/>
        <v>3.0476190476190476E-2</v>
      </c>
      <c r="I85" s="95">
        <f>IF(ISNUMBER(G85), $B91 * H85, "")</f>
        <v>4571.4285714285716</v>
      </c>
      <c r="J85" s="20">
        <v>541</v>
      </c>
      <c r="K85" s="21">
        <f t="shared" si="40"/>
        <v>3.0476190476190476E-2</v>
      </c>
      <c r="L85" s="22">
        <f>IF(ISNUMBER(J85), $B91 * K85, "")</f>
        <v>4571.4285714285716</v>
      </c>
      <c r="M85" s="30">
        <v>527</v>
      </c>
      <c r="N85" s="21">
        <f t="shared" si="41"/>
        <v>3.8095238095238095E-3</v>
      </c>
      <c r="O85" s="22">
        <f>IF(ISNUMBER(M85), $B91 * N85, "")</f>
        <v>571.42857142857144</v>
      </c>
      <c r="Q85" s="156"/>
      <c r="R85" s="156"/>
      <c r="S85" s="156"/>
    </row>
    <row r="86" spans="1:19" ht="17.25" thickBot="1">
      <c r="A86" s="109" t="s">
        <v>208</v>
      </c>
      <c r="B86" s="113">
        <v>113</v>
      </c>
      <c r="C86" s="73">
        <v>8.9285713999999999E-3</v>
      </c>
      <c r="D86" s="96">
        <v>116</v>
      </c>
      <c r="E86" s="97">
        <f>IF(ISNUMBER(D86), (D86 - $B86) / $B86, "")</f>
        <v>2.6548672566371681E-2</v>
      </c>
      <c r="F86" s="98">
        <f>IF(ISNUMBER(D86), $B91 * E86, "")</f>
        <v>3982.3008849557523</v>
      </c>
      <c r="G86" s="99">
        <v>116</v>
      </c>
      <c r="H86" s="97">
        <f>IF(ISNUMBER(G86), (G86 - $B86) / $B86, "")</f>
        <v>2.6548672566371681E-2</v>
      </c>
      <c r="I86" s="100">
        <f>IF(ISNUMBER(G86), $B91 * H86, "")</f>
        <v>3982.3008849557523</v>
      </c>
      <c r="J86" s="96">
        <v>116</v>
      </c>
      <c r="K86" s="97">
        <f>IF(ISNUMBER(J86), (J86 - $B86) / $B86, "")</f>
        <v>2.6548672566371681E-2</v>
      </c>
      <c r="L86" s="98">
        <f>IF(ISNUMBER(J86), $B91 * K86, "")</f>
        <v>3982.3008849557523</v>
      </c>
      <c r="M86" s="99">
        <v>113</v>
      </c>
      <c r="N86" s="97">
        <f>IF(ISNUMBER(M86), (M86 - $B86) / $B86, "")</f>
        <v>0</v>
      </c>
      <c r="O86" s="98">
        <f>IF(ISNUMBER(M86), $B91 * N86, "")</f>
        <v>0</v>
      </c>
      <c r="Q86" s="161"/>
      <c r="R86" s="161"/>
      <c r="S86" s="161"/>
    </row>
    <row r="87" spans="1:19" ht="17.25" thickBot="1">
      <c r="A87" s="109" t="s">
        <v>81</v>
      </c>
      <c r="B87" s="110">
        <v>425</v>
      </c>
      <c r="C87" s="70">
        <v>7.1090047000000002E-3</v>
      </c>
      <c r="D87" s="15">
        <v>430</v>
      </c>
      <c r="E87" s="32">
        <f t="shared" ref="E87:E90" si="42">IF(ISNUMBER(D87), (D87 - $B87) / $B87, "")</f>
        <v>1.1764705882352941E-2</v>
      </c>
      <c r="F87" s="18">
        <f>IF(ISNUMBER(D87), $B91 * E87, "")</f>
        <v>1764.7058823529412</v>
      </c>
      <c r="G87" s="31">
        <v>430</v>
      </c>
      <c r="H87" s="32">
        <f t="shared" ref="H87:H90" si="43">IF(ISNUMBER(G87), (G87 - $B87) / $B87, "")</f>
        <v>1.1764705882352941E-2</v>
      </c>
      <c r="I87" s="91">
        <f>IF(ISNUMBER(G87), $B91 * H87, "")</f>
        <v>1764.7058823529412</v>
      </c>
      <c r="J87" s="15">
        <v>430</v>
      </c>
      <c r="K87" s="32">
        <f t="shared" ref="K87:K90" si="44">IF(ISNUMBER(J87), (J87 - $B87) / $B87, "")</f>
        <v>1.1764705882352941E-2</v>
      </c>
      <c r="L87" s="18">
        <f>IF(ISNUMBER(J87), $B91 * K87, "")</f>
        <v>1764.7058823529412</v>
      </c>
      <c r="M87" s="31">
        <v>424</v>
      </c>
      <c r="N87" s="32">
        <f t="shared" ref="N87:N90" si="45">IF(ISNUMBER(M87), (M87 - $B87) / $B87, "")</f>
        <v>-2.352941176470588E-3</v>
      </c>
      <c r="O87" s="18">
        <f>IF(ISNUMBER(M87), $B91 * N87, "")</f>
        <v>-352.94117647058823</v>
      </c>
      <c r="Q87" s="161"/>
      <c r="R87" s="161"/>
      <c r="S87" s="161"/>
    </row>
    <row r="88" spans="1:19" ht="17.25" thickBot="1">
      <c r="A88" s="109" t="s">
        <v>183</v>
      </c>
      <c r="B88" s="110">
        <v>154</v>
      </c>
      <c r="C88" s="70">
        <v>6.5359477000000001E-3</v>
      </c>
      <c r="D88" s="15">
        <v>157</v>
      </c>
      <c r="E88" s="32">
        <f t="shared" si="42"/>
        <v>1.948051948051948E-2</v>
      </c>
      <c r="F88" s="18">
        <f>IF(ISNUMBER(D88), $B91 * E88, "")</f>
        <v>2922.0779220779218</v>
      </c>
      <c r="G88" s="31">
        <v>157</v>
      </c>
      <c r="H88" s="32">
        <f t="shared" si="43"/>
        <v>1.948051948051948E-2</v>
      </c>
      <c r="I88" s="91">
        <f>IF(ISNUMBER(G88), $B91 * H88, "")</f>
        <v>2922.0779220779218</v>
      </c>
      <c r="J88" s="15">
        <v>157</v>
      </c>
      <c r="K88" s="32">
        <f t="shared" si="44"/>
        <v>1.948051948051948E-2</v>
      </c>
      <c r="L88" s="18">
        <f>IF(ISNUMBER(J88), $B91 * K88, "")</f>
        <v>2922.0779220779218</v>
      </c>
      <c r="M88" s="31">
        <v>153</v>
      </c>
      <c r="N88" s="32">
        <f t="shared" si="45"/>
        <v>-6.4935064935064939E-3</v>
      </c>
      <c r="O88" s="18">
        <f>IF(ISNUMBER(M88), $B91 * N88, "")</f>
        <v>-974.02597402597405</v>
      </c>
      <c r="Q88" s="161"/>
      <c r="R88" s="161"/>
      <c r="S88" s="161"/>
    </row>
    <row r="89" spans="1:19">
      <c r="A89" s="109" t="s">
        <v>332</v>
      </c>
      <c r="B89" s="110">
        <v>330</v>
      </c>
      <c r="C89" s="70">
        <v>6.0975609999999996E-3</v>
      </c>
      <c r="D89" s="15">
        <v>329</v>
      </c>
      <c r="E89" s="32">
        <f t="shared" si="42"/>
        <v>-3.0303030303030303E-3</v>
      </c>
      <c r="F89" s="18">
        <f>IF(ISNUMBER(D89), $B91 * E89, "")</f>
        <v>-454.54545454545456</v>
      </c>
      <c r="G89" s="31">
        <v>329</v>
      </c>
      <c r="H89" s="32">
        <f t="shared" si="43"/>
        <v>-3.0303030303030303E-3</v>
      </c>
      <c r="I89" s="91">
        <f>IF(ISNUMBER(G89), $B91 * H89, "")</f>
        <v>-454.54545454545456</v>
      </c>
      <c r="J89" s="15">
        <v>329</v>
      </c>
      <c r="K89" s="32">
        <f t="shared" si="44"/>
        <v>-3.0303030303030303E-3</v>
      </c>
      <c r="L89" s="18">
        <f>IF(ISNUMBER(J89), $B91 * K89, "")</f>
        <v>-454.54545454545456</v>
      </c>
      <c r="M89" s="31">
        <v>322</v>
      </c>
      <c r="N89" s="32">
        <f t="shared" si="45"/>
        <v>-2.4242424242424242E-2</v>
      </c>
      <c r="O89" s="18">
        <f>IF(ISNUMBER(M89), $B91 * N89, "")</f>
        <v>-3636.3636363636365</v>
      </c>
      <c r="Q89" s="183"/>
      <c r="R89" s="184"/>
      <c r="S89" s="185"/>
    </row>
    <row r="90" spans="1:19" ht="17.25" thickBot="1">
      <c r="A90" s="114" t="s">
        <v>167</v>
      </c>
      <c r="B90" s="115">
        <v>204</v>
      </c>
      <c r="C90" s="72">
        <v>4.9261084000000004E-3</v>
      </c>
      <c r="D90" s="24">
        <v>207</v>
      </c>
      <c r="E90" s="25">
        <f t="shared" si="42"/>
        <v>1.4705882352941176E-2</v>
      </c>
      <c r="F90" s="94">
        <f>IF(ISNUMBER(D90), $B91 * E90, "")</f>
        <v>2205.8823529411766</v>
      </c>
      <c r="G90" s="92">
        <v>207</v>
      </c>
      <c r="H90" s="25">
        <f t="shared" si="43"/>
        <v>1.4705882352941176E-2</v>
      </c>
      <c r="I90" s="93">
        <f>IF(ISNUMBER(G90), $B91 * H90, "")</f>
        <v>2205.8823529411766</v>
      </c>
      <c r="J90" s="24">
        <v>207</v>
      </c>
      <c r="K90" s="25">
        <f t="shared" si="44"/>
        <v>1.4705882352941176E-2</v>
      </c>
      <c r="L90" s="94">
        <f>IF(ISNUMBER(J90), $B91 * K90, "")</f>
        <v>2205.8823529411766</v>
      </c>
      <c r="M90" s="92">
        <v>203</v>
      </c>
      <c r="N90" s="25">
        <f t="shared" si="45"/>
        <v>-4.9019607843137254E-3</v>
      </c>
      <c r="O90" s="94">
        <f>IF(ISNUMBER(M90), $B91 * N90, "")</f>
        <v>-735.29411764705878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3.6576343858887353E-3</v>
      </c>
      <c r="F91" s="28">
        <f>SUM(F71:F90)</f>
        <v>10972.903157666204</v>
      </c>
      <c r="G91" s="26" t="s">
        <v>261</v>
      </c>
      <c r="H91" s="27">
        <f>IF(COUNT(H71:H90), SUM(H71:H90) / COUNT(H71:H90), 0)</f>
        <v>3.6576343858887353E-3</v>
      </c>
      <c r="I91" s="28">
        <f>SUM(I71:I90)</f>
        <v>10972.903157666204</v>
      </c>
      <c r="J91" s="26" t="s">
        <v>261</v>
      </c>
      <c r="K91" s="27">
        <f>IF(COUNT(K71:K90), SUM(K71:K90) / COUNT(K71:K90), 0)</f>
        <v>3.6576343858887353E-3</v>
      </c>
      <c r="L91" s="28">
        <f>SUM(L71:L90)</f>
        <v>10972.903157666204</v>
      </c>
      <c r="M91" s="26" t="s">
        <v>261</v>
      </c>
      <c r="N91" s="27">
        <f>IF(COUNT(N71:N90), SUM(N71:N90) / COUNT(N71:N90), 0)</f>
        <v>-1.9160049555037469E-2</v>
      </c>
      <c r="O91" s="28">
        <f>SUM(O71:O90)</f>
        <v>-57480.148665112407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2022-12-01(목) 오전 00:00</v>
      </c>
      <c r="C96" s="199"/>
      <c r="D96" s="158" t="str">
        <f>TEXT($G$1, "[$-ko-KR]yyyy-mm-dd(ddd) ") &amp; "오후 14:00"</f>
        <v>2022-12-01(목) 오후 14:00</v>
      </c>
      <c r="E96" s="159"/>
      <c r="F96" s="160"/>
      <c r="G96" s="158" t="str">
        <f>TEXT($G$1, "[$-ko-KR]yyyy-mm-dd(ddd) ") &amp; "오후 19:00"</f>
        <v>2022-12-01(목) 오후 19:00</v>
      </c>
      <c r="H96" s="159"/>
      <c r="I96" s="160"/>
      <c r="J96" s="158" t="str">
        <f>TEXT($G$1, "[$-ko-KR]yyyy-mm-dd(ddd) ") &amp; "오후 21:00"</f>
        <v>2022-12-01(목) 오후 21:00</v>
      </c>
      <c r="K96" s="159"/>
      <c r="L96" s="160"/>
      <c r="M96" s="158" t="str">
        <f>TEXT($G$1+1, "[$-ko-KR]yyyy-mm-dd(ddd) ") &amp; "오전 00:00"</f>
        <v>2022-12-02(금)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105</v>
      </c>
      <c r="B98" s="108">
        <v>274</v>
      </c>
      <c r="C98" s="69">
        <v>0.20175438600000001</v>
      </c>
      <c r="D98" s="13">
        <v>265</v>
      </c>
      <c r="E98" s="14">
        <f>IF(ISNUMBER(D98), (D98 - $B98) / $B98, "")</f>
        <v>-3.2846715328467155E-2</v>
      </c>
      <c r="F98" s="16">
        <f>IF(ISNUMBER(D98), $B118 * E98, "")</f>
        <v>-4927.0072992700734</v>
      </c>
      <c r="G98" s="29">
        <v>265</v>
      </c>
      <c r="H98" s="14">
        <f>IF(ISNUMBER(G98), (G98 - $B98) / $B98, "")</f>
        <v>-3.2846715328467155E-2</v>
      </c>
      <c r="I98" s="90">
        <f>IF(ISNUMBER(G98), $B118 * H98, "")</f>
        <v>-4927.0072992700734</v>
      </c>
      <c r="J98" s="13">
        <v>265</v>
      </c>
      <c r="K98" s="14">
        <f>IF(ISNUMBER(J98), (J98 - $B98) / $B98, "")</f>
        <v>-3.2846715328467155E-2</v>
      </c>
      <c r="L98" s="16">
        <f>IF(ISNUMBER(J98), $B118 * K98, "")</f>
        <v>-4927.0072992700734</v>
      </c>
      <c r="M98" s="29">
        <v>251</v>
      </c>
      <c r="N98" s="14">
        <f>IF(ISNUMBER(M98), (M98 - $B98) / $B98, "")</f>
        <v>-8.3941605839416053E-2</v>
      </c>
      <c r="O98" s="16">
        <f>IF(ISNUMBER(M98), $B118 * N98, "")</f>
        <v>-12591.240875912408</v>
      </c>
      <c r="Q98" s="156"/>
      <c r="R98" s="156"/>
      <c r="S98" s="156"/>
    </row>
    <row r="99" spans="1:19" ht="17.25" thickBot="1">
      <c r="A99" s="109" t="s">
        <v>130</v>
      </c>
      <c r="B99" s="110">
        <v>963</v>
      </c>
      <c r="C99" s="70">
        <v>0.13427561839999999</v>
      </c>
      <c r="D99" s="15">
        <v>922</v>
      </c>
      <c r="E99" s="32">
        <f t="shared" ref="E99:E102" si="46">IF(ISNUMBER(D99), (D99 - $B99) / $B99, "")</f>
        <v>-4.2575285565939772E-2</v>
      </c>
      <c r="F99" s="18">
        <f>IF(ISNUMBER(D99), $B118 * E99, "")</f>
        <v>-6386.2928348909654</v>
      </c>
      <c r="G99" s="31">
        <v>922</v>
      </c>
      <c r="H99" s="32">
        <f t="shared" ref="H99:H102" si="47">IF(ISNUMBER(G99), (G99 - $B99) / $B99, "")</f>
        <v>-4.2575285565939772E-2</v>
      </c>
      <c r="I99" s="91">
        <f>IF(ISNUMBER(G99), $B118 * H99, "")</f>
        <v>-6386.2928348909654</v>
      </c>
      <c r="J99" s="15">
        <v>922</v>
      </c>
      <c r="K99" s="32">
        <f t="shared" ref="K99:K102" si="48">IF(ISNUMBER(J99), (J99 - $B99) / $B99, "")</f>
        <v>-4.2575285565939772E-2</v>
      </c>
      <c r="L99" s="18">
        <f>IF(ISNUMBER(J99), $B118 * K99, "")</f>
        <v>-6386.2928348909654</v>
      </c>
      <c r="M99" s="31">
        <v>896</v>
      </c>
      <c r="N99" s="32">
        <f t="shared" ref="N99:N102" si="49">IF(ISNUMBER(M99), (M99 - $B99) / $B99, "")</f>
        <v>-6.9574247144340601E-2</v>
      </c>
      <c r="O99" s="18">
        <f>IF(ISNUMBER(M99), $B118 * N99, "")</f>
        <v>-10436.13707165109</v>
      </c>
      <c r="Q99" s="156"/>
      <c r="R99" s="156"/>
      <c r="S99" s="156"/>
    </row>
    <row r="100" spans="1:19" ht="17.25" thickBot="1">
      <c r="A100" s="109" t="s">
        <v>134</v>
      </c>
      <c r="B100" s="110">
        <v>1715</v>
      </c>
      <c r="C100" s="70">
        <v>7.5235109699999997E-2</v>
      </c>
      <c r="D100" s="15">
        <v>1665</v>
      </c>
      <c r="E100" s="32">
        <f t="shared" si="46"/>
        <v>-2.9154518950437316E-2</v>
      </c>
      <c r="F100" s="18">
        <f>IF(ISNUMBER(D100), $B118 * E100, "")</f>
        <v>-4373.1778425655975</v>
      </c>
      <c r="G100" s="31">
        <v>1665</v>
      </c>
      <c r="H100" s="32">
        <f t="shared" si="47"/>
        <v>-2.9154518950437316E-2</v>
      </c>
      <c r="I100" s="91">
        <f>IF(ISNUMBER(G100), $B118 * H100, "")</f>
        <v>-4373.1778425655975</v>
      </c>
      <c r="J100" s="15">
        <v>1665</v>
      </c>
      <c r="K100" s="32">
        <f t="shared" si="48"/>
        <v>-2.9154518950437316E-2</v>
      </c>
      <c r="L100" s="18">
        <f>IF(ISNUMBER(J100), $B118 * K100, "")</f>
        <v>-4373.1778425655975</v>
      </c>
      <c r="M100" s="31">
        <v>1620</v>
      </c>
      <c r="N100" s="32">
        <f t="shared" si="49"/>
        <v>-5.5393586005830907E-2</v>
      </c>
      <c r="O100" s="18">
        <f>IF(ISNUMBER(M100), $B118 * N100, "")</f>
        <v>-8309.0379008746368</v>
      </c>
      <c r="Q100" s="161"/>
      <c r="R100" s="161"/>
      <c r="S100" s="161"/>
    </row>
    <row r="101" spans="1:19" ht="17.25" thickBot="1">
      <c r="A101" s="109" t="s">
        <v>320</v>
      </c>
      <c r="B101" s="110">
        <v>2300</v>
      </c>
      <c r="C101" s="70">
        <v>4.78359909E-2</v>
      </c>
      <c r="D101" s="15">
        <v>2305</v>
      </c>
      <c r="E101" s="32">
        <f t="shared" si="46"/>
        <v>2.1739130434782609E-3</v>
      </c>
      <c r="F101" s="18">
        <f>IF(ISNUMBER(D101), $B118 * E101, "")</f>
        <v>326.08695652173913</v>
      </c>
      <c r="G101" s="31">
        <v>2305</v>
      </c>
      <c r="H101" s="32">
        <f t="shared" si="47"/>
        <v>2.1739130434782609E-3</v>
      </c>
      <c r="I101" s="91">
        <f>IF(ISNUMBER(G101), $B118 * H101, "")</f>
        <v>326.08695652173913</v>
      </c>
      <c r="J101" s="15">
        <v>2305</v>
      </c>
      <c r="K101" s="32">
        <f t="shared" si="48"/>
        <v>2.1739130434782609E-3</v>
      </c>
      <c r="L101" s="18">
        <f>IF(ISNUMBER(J101), $B118 * K101, "")</f>
        <v>326.08695652173913</v>
      </c>
      <c r="M101" s="31">
        <v>2385</v>
      </c>
      <c r="N101" s="32">
        <f t="shared" si="49"/>
        <v>3.6956521739130437E-2</v>
      </c>
      <c r="O101" s="18">
        <f>IF(ISNUMBER(M101), $B118 * N101, "")</f>
        <v>5543.4782608695659</v>
      </c>
      <c r="Q101" s="161"/>
      <c r="R101" s="161"/>
      <c r="S101" s="161"/>
    </row>
    <row r="102" spans="1:19" ht="17.25" thickBot="1">
      <c r="A102" s="111" t="s">
        <v>103</v>
      </c>
      <c r="B102" s="112">
        <v>264</v>
      </c>
      <c r="C102" s="71">
        <v>4.3478260900000003E-2</v>
      </c>
      <c r="D102" s="20">
        <v>260</v>
      </c>
      <c r="E102" s="21">
        <f t="shared" si="46"/>
        <v>-1.5151515151515152E-2</v>
      </c>
      <c r="F102" s="22">
        <f>IF(ISNUMBER(D102), $B118 * E102, "")</f>
        <v>-2272.727272727273</v>
      </c>
      <c r="G102" s="30">
        <v>260</v>
      </c>
      <c r="H102" s="21">
        <f t="shared" si="47"/>
        <v>-1.5151515151515152E-2</v>
      </c>
      <c r="I102" s="95">
        <f>IF(ISNUMBER(G102), $B118 * H102, "")</f>
        <v>-2272.727272727273</v>
      </c>
      <c r="J102" s="20">
        <v>260</v>
      </c>
      <c r="K102" s="21">
        <f t="shared" si="48"/>
        <v>-1.5151515151515152E-2</v>
      </c>
      <c r="L102" s="22">
        <f>IF(ISNUMBER(J102), $B118 * K102, "")</f>
        <v>-2272.727272727273</v>
      </c>
      <c r="M102" s="30">
        <v>253</v>
      </c>
      <c r="N102" s="21">
        <f t="shared" si="49"/>
        <v>-4.1666666666666664E-2</v>
      </c>
      <c r="O102" s="22">
        <f>IF(ISNUMBER(M102), $B118 * N102, "")</f>
        <v>-6250</v>
      </c>
      <c r="Q102" s="161"/>
      <c r="R102" s="161"/>
      <c r="S102" s="161"/>
    </row>
    <row r="103" spans="1:19" ht="17.25" thickBot="1">
      <c r="A103" s="109" t="s">
        <v>93</v>
      </c>
      <c r="B103" s="113">
        <v>1711500</v>
      </c>
      <c r="C103" s="73">
        <v>3.28907664E-2</v>
      </c>
      <c r="D103" s="96">
        <v>1740500</v>
      </c>
      <c r="E103" s="97">
        <f>IF(ISNUMBER(D103), (D103 - $B103) / $B103, "")</f>
        <v>1.6944200993280749E-2</v>
      </c>
      <c r="F103" s="98">
        <f>IF(ISNUMBER(D103), $B118 * E103, "")</f>
        <v>2541.6301489921125</v>
      </c>
      <c r="G103" s="99">
        <v>1740500</v>
      </c>
      <c r="H103" s="97">
        <f>IF(ISNUMBER(G103), (G103 - $B103) / $B103, "")</f>
        <v>1.6944200993280749E-2</v>
      </c>
      <c r="I103" s="100">
        <f>IF(ISNUMBER(G103), $B118 * H103, "")</f>
        <v>2541.6301489921125</v>
      </c>
      <c r="J103" s="96">
        <v>1740500</v>
      </c>
      <c r="K103" s="97">
        <f>IF(ISNUMBER(J103), (J103 - $B103) / $B103, "")</f>
        <v>1.6944200993280749E-2</v>
      </c>
      <c r="L103" s="98">
        <f>IF(ISNUMBER(J103), $B118 * K103, "")</f>
        <v>2541.6301489921125</v>
      </c>
      <c r="M103" s="99">
        <v>1721500</v>
      </c>
      <c r="N103" s="97">
        <f>IF(ISNUMBER(M103), (M103 - $B103) / $B103, "")</f>
        <v>5.8428279287174997E-3</v>
      </c>
      <c r="O103" s="98">
        <f>IF(ISNUMBER(M103), $B118 * N103, "")</f>
        <v>876.42418930762494</v>
      </c>
      <c r="Q103" s="161"/>
      <c r="R103" s="161"/>
      <c r="S103" s="161"/>
    </row>
    <row r="104" spans="1:19" ht="17.25" thickBot="1">
      <c r="A104" s="109" t="s">
        <v>322</v>
      </c>
      <c r="B104" s="110">
        <v>86400</v>
      </c>
      <c r="C104" s="70">
        <v>2.86938921E-2</v>
      </c>
      <c r="D104" s="15">
        <v>87020</v>
      </c>
      <c r="E104" s="32">
        <f t="shared" ref="E104:E107" si="50">IF(ISNUMBER(D104), (D104 - $B104) / $B104, "")</f>
        <v>7.1759259259259259E-3</v>
      </c>
      <c r="F104" s="18">
        <f>IF(ISNUMBER(D104), $B118 * E104, "")</f>
        <v>1076.3888888888889</v>
      </c>
      <c r="G104" s="31">
        <v>87020</v>
      </c>
      <c r="H104" s="32">
        <f t="shared" ref="H104:H107" si="51">IF(ISNUMBER(G104), (G104 - $B104) / $B104, "")</f>
        <v>7.1759259259259259E-3</v>
      </c>
      <c r="I104" s="91">
        <f>IF(ISNUMBER(G104), $B118 * H104, "")</f>
        <v>1076.3888888888889</v>
      </c>
      <c r="J104" s="15">
        <v>87020</v>
      </c>
      <c r="K104" s="32">
        <f t="shared" ref="K104:K107" si="52">IF(ISNUMBER(J104), (J104 - $B104) / $B104, "")</f>
        <v>7.1759259259259259E-3</v>
      </c>
      <c r="L104" s="18">
        <f>IF(ISNUMBER(J104), $B118 * K104, "")</f>
        <v>1076.3888888888889</v>
      </c>
      <c r="M104" s="31">
        <v>85380</v>
      </c>
      <c r="N104" s="32">
        <f t="shared" ref="N104:N107" si="53">IF(ISNUMBER(M104), (M104 - $B104) / $B104, "")</f>
        <v>-1.1805555555555555E-2</v>
      </c>
      <c r="O104" s="18">
        <f>IF(ISNUMBER(M104), $B118 * N104, "")</f>
        <v>-1770.8333333333333</v>
      </c>
      <c r="Q104" s="161"/>
      <c r="R104" s="161"/>
      <c r="S104" s="161"/>
    </row>
    <row r="105" spans="1:19" ht="17.25" thickBot="1">
      <c r="A105" s="109" t="s">
        <v>101</v>
      </c>
      <c r="B105" s="110">
        <v>251</v>
      </c>
      <c r="C105" s="70">
        <v>2.8688524600000001E-2</v>
      </c>
      <c r="D105" s="15">
        <v>251</v>
      </c>
      <c r="E105" s="32">
        <f t="shared" si="50"/>
        <v>0</v>
      </c>
      <c r="F105" s="18">
        <f>IF(ISNUMBER(D105), $B118 * E105, "")</f>
        <v>0</v>
      </c>
      <c r="G105" s="31">
        <v>251</v>
      </c>
      <c r="H105" s="32">
        <f t="shared" si="51"/>
        <v>0</v>
      </c>
      <c r="I105" s="91">
        <f>IF(ISNUMBER(G105), $B118 * H105, "")</f>
        <v>0</v>
      </c>
      <c r="J105" s="15">
        <v>251</v>
      </c>
      <c r="K105" s="32">
        <f t="shared" si="52"/>
        <v>0</v>
      </c>
      <c r="L105" s="18">
        <f>IF(ISNUMBER(J105), $B118 * K105, "")</f>
        <v>0</v>
      </c>
      <c r="M105" s="31">
        <v>245</v>
      </c>
      <c r="N105" s="32">
        <f t="shared" si="53"/>
        <v>-2.3904382470119521E-2</v>
      </c>
      <c r="O105" s="18">
        <f>IF(ISNUMBER(M105), $B118 * N105, "")</f>
        <v>-3585.657370517928</v>
      </c>
      <c r="Q105" s="161"/>
      <c r="R105" s="161"/>
      <c r="S105" s="161"/>
    </row>
    <row r="106" spans="1:19" ht="17.25" thickBot="1">
      <c r="A106" s="109" t="s">
        <v>172</v>
      </c>
      <c r="B106" s="110">
        <v>2990</v>
      </c>
      <c r="C106" s="70">
        <v>2.74914089E-2</v>
      </c>
      <c r="D106" s="15">
        <v>3015</v>
      </c>
      <c r="E106" s="32">
        <f t="shared" si="50"/>
        <v>8.3612040133779261E-3</v>
      </c>
      <c r="F106" s="18">
        <f>IF(ISNUMBER(D106), $B118 * E106, "")</f>
        <v>1254.180602006689</v>
      </c>
      <c r="G106" s="31">
        <v>3015</v>
      </c>
      <c r="H106" s="32">
        <f t="shared" si="51"/>
        <v>8.3612040133779261E-3</v>
      </c>
      <c r="I106" s="91">
        <f>IF(ISNUMBER(G106), $B118 * H106, "")</f>
        <v>1254.180602006689</v>
      </c>
      <c r="J106" s="15">
        <v>3015</v>
      </c>
      <c r="K106" s="32">
        <f t="shared" si="52"/>
        <v>8.3612040133779261E-3</v>
      </c>
      <c r="L106" s="18">
        <f>IF(ISNUMBER(J106), $B118 * K106, "")</f>
        <v>1254.180602006689</v>
      </c>
      <c r="M106" s="31">
        <v>2965</v>
      </c>
      <c r="N106" s="32">
        <f t="shared" si="53"/>
        <v>-8.3612040133779261E-3</v>
      </c>
      <c r="O106" s="18">
        <f>IF(ISNUMBER(M106), $B118 * N106, "")</f>
        <v>-1254.180602006689</v>
      </c>
      <c r="Q106" s="33"/>
      <c r="R106" s="33"/>
    </row>
    <row r="107" spans="1:19" ht="17.25" thickBot="1">
      <c r="A107" s="114" t="s">
        <v>324</v>
      </c>
      <c r="B107" s="115">
        <v>1175</v>
      </c>
      <c r="C107" s="72">
        <v>2.6200873400000001E-2</v>
      </c>
      <c r="D107" s="24">
        <v>1255</v>
      </c>
      <c r="E107" s="25">
        <f t="shared" si="50"/>
        <v>6.8085106382978725E-2</v>
      </c>
      <c r="F107" s="94">
        <f>IF(ISNUMBER(D107), $B118 * E107, "")</f>
        <v>10212.765957446809</v>
      </c>
      <c r="G107" s="92">
        <v>1255</v>
      </c>
      <c r="H107" s="25">
        <f t="shared" si="51"/>
        <v>6.8085106382978725E-2</v>
      </c>
      <c r="I107" s="93">
        <f>IF(ISNUMBER(G107), $B118 * H107, "")</f>
        <v>10212.765957446809</v>
      </c>
      <c r="J107" s="24">
        <v>1255</v>
      </c>
      <c r="K107" s="25">
        <f t="shared" si="52"/>
        <v>6.8085106382978725E-2</v>
      </c>
      <c r="L107" s="94">
        <f>IF(ISNUMBER(J107), $B118 * K107, "")</f>
        <v>10212.765957446809</v>
      </c>
      <c r="M107" s="92">
        <v>1230</v>
      </c>
      <c r="N107" s="25">
        <f t="shared" si="53"/>
        <v>4.6808510638297871E-2</v>
      </c>
      <c r="O107" s="94">
        <f>IF(ISNUMBER(M107), $B118 * N107, "")</f>
        <v>7021.2765957446809</v>
      </c>
      <c r="Q107" s="170"/>
      <c r="R107" s="171"/>
      <c r="S107" s="172"/>
    </row>
    <row r="108" spans="1:19">
      <c r="A108" s="107" t="s">
        <v>204</v>
      </c>
      <c r="B108" s="108">
        <v>278</v>
      </c>
      <c r="C108" s="69">
        <v>2.5830258299999999E-2</v>
      </c>
      <c r="D108" s="13">
        <v>281</v>
      </c>
      <c r="E108" s="14">
        <f>IF(ISNUMBER(D108), (D108 - $B108) / $B108, "")</f>
        <v>1.0791366906474821E-2</v>
      </c>
      <c r="F108" s="16">
        <f>IF(ISNUMBER(D108), $B118 * E108, "")</f>
        <v>1618.7050359712232</v>
      </c>
      <c r="G108" s="29">
        <v>281</v>
      </c>
      <c r="H108" s="14">
        <f>IF(ISNUMBER(G108), (G108 - $B108) / $B108, "")</f>
        <v>1.0791366906474821E-2</v>
      </c>
      <c r="I108" s="90">
        <f>IF(ISNUMBER(G108), $B118 * H108, "")</f>
        <v>1618.7050359712232</v>
      </c>
      <c r="J108" s="13">
        <v>281</v>
      </c>
      <c r="K108" s="14">
        <f>IF(ISNUMBER(J108), (J108 - $B108) / $B108, "")</f>
        <v>1.0791366906474821E-2</v>
      </c>
      <c r="L108" s="16">
        <f>IF(ISNUMBER(J108), $B118 * K108, "")</f>
        <v>1618.7050359712232</v>
      </c>
      <c r="M108" s="29">
        <v>278</v>
      </c>
      <c r="N108" s="14">
        <f>IF(ISNUMBER(M108), (M108 - $B108) / $B108, "")</f>
        <v>0</v>
      </c>
      <c r="O108" s="16">
        <f>IF(ISNUMBER(M108), $B118 * N108, "")</f>
        <v>0</v>
      </c>
      <c r="Q108" s="173"/>
      <c r="R108" s="174"/>
      <c r="S108" s="175"/>
    </row>
    <row r="109" spans="1:19" ht="17.25" thickBot="1">
      <c r="A109" s="109" t="s">
        <v>326</v>
      </c>
      <c r="B109" s="110">
        <v>25</v>
      </c>
      <c r="C109" s="70">
        <v>2.45901639E-2</v>
      </c>
      <c r="D109" s="15">
        <v>24.8</v>
      </c>
      <c r="E109" s="32">
        <f t="shared" ref="E109:E112" si="54">IF(ISNUMBER(D109), (D109 - $B109) / $B109, "")</f>
        <v>-7.9999999999999724E-3</v>
      </c>
      <c r="F109" s="18">
        <f>IF(ISNUMBER(D109), $B118 * E109, "")</f>
        <v>-1199.9999999999959</v>
      </c>
      <c r="G109" s="31">
        <v>24.8</v>
      </c>
      <c r="H109" s="32">
        <f t="shared" ref="H109:H112" si="55">IF(ISNUMBER(G109), (G109 - $B109) / $B109, "")</f>
        <v>-7.9999999999999724E-3</v>
      </c>
      <c r="I109" s="91">
        <f>IF(ISNUMBER(G109), $B118 * H109, "")</f>
        <v>-1199.9999999999959</v>
      </c>
      <c r="J109" s="15">
        <v>24.8</v>
      </c>
      <c r="K109" s="32">
        <f t="shared" ref="K109:K112" si="56">IF(ISNUMBER(J109), (J109 - $B109) / $B109, "")</f>
        <v>-7.9999999999999724E-3</v>
      </c>
      <c r="L109" s="18">
        <f>IF(ISNUMBER(J109), $B118 * K109, "")</f>
        <v>-1199.9999999999959</v>
      </c>
      <c r="M109" s="31">
        <v>24.3</v>
      </c>
      <c r="N109" s="32">
        <f t="shared" ref="N109:N112" si="57">IF(ISNUMBER(M109), (M109 - $B109) / $B109, "")</f>
        <v>-2.7999999999999973E-2</v>
      </c>
      <c r="O109" s="18">
        <f>IF(ISNUMBER(M109), $B118 * N109, "")</f>
        <v>-4199.9999999999964</v>
      </c>
      <c r="Q109" s="176"/>
      <c r="R109" s="177"/>
      <c r="S109" s="178"/>
    </row>
    <row r="110" spans="1:19" ht="17.25" thickBot="1">
      <c r="A110" s="109" t="s">
        <v>149</v>
      </c>
      <c r="B110" s="110">
        <v>418</v>
      </c>
      <c r="C110" s="70">
        <v>2.4509803899999998E-2</v>
      </c>
      <c r="D110" s="15">
        <v>418</v>
      </c>
      <c r="E110" s="32">
        <f t="shared" si="54"/>
        <v>0</v>
      </c>
      <c r="F110" s="18">
        <f>IF(ISNUMBER(D110), $B118 * E110, "")</f>
        <v>0</v>
      </c>
      <c r="G110" s="31">
        <v>418</v>
      </c>
      <c r="H110" s="32">
        <f t="shared" si="55"/>
        <v>0</v>
      </c>
      <c r="I110" s="91">
        <f>IF(ISNUMBER(G110), $B118 * H110, "")</f>
        <v>0</v>
      </c>
      <c r="J110" s="15">
        <v>418</v>
      </c>
      <c r="K110" s="32">
        <f t="shared" si="56"/>
        <v>0</v>
      </c>
      <c r="L110" s="18">
        <f>IF(ISNUMBER(J110), $B118 * K110, "")</f>
        <v>0</v>
      </c>
      <c r="M110" s="31">
        <v>412</v>
      </c>
      <c r="N110" s="32">
        <f t="shared" si="57"/>
        <v>-1.4354066985645933E-2</v>
      </c>
      <c r="O110" s="18">
        <f>IF(ISNUMBER(M110), $B118 * N110, "")</f>
        <v>-2153.1100478468902</v>
      </c>
      <c r="Q110" s="161"/>
      <c r="R110" s="161"/>
      <c r="S110" s="161"/>
    </row>
    <row r="111" spans="1:19" ht="17.25" thickBot="1">
      <c r="A111" s="109" t="s">
        <v>62</v>
      </c>
      <c r="B111" s="110">
        <v>9340</v>
      </c>
      <c r="C111" s="70">
        <v>2.4122807E-2</v>
      </c>
      <c r="D111" s="15">
        <v>9350</v>
      </c>
      <c r="E111" s="32">
        <f t="shared" si="54"/>
        <v>1.0706638115631692E-3</v>
      </c>
      <c r="F111" s="18">
        <f>IF(ISNUMBER(D111), $B118 * E111, "")</f>
        <v>160.59957173447538</v>
      </c>
      <c r="G111" s="31">
        <v>9350</v>
      </c>
      <c r="H111" s="32">
        <f t="shared" si="55"/>
        <v>1.0706638115631692E-3</v>
      </c>
      <c r="I111" s="91">
        <f>IF(ISNUMBER(G111), $B118 * H111, "")</f>
        <v>160.59957173447538</v>
      </c>
      <c r="J111" s="15">
        <v>9350</v>
      </c>
      <c r="K111" s="32">
        <f t="shared" si="56"/>
        <v>1.0706638115631692E-3</v>
      </c>
      <c r="L111" s="18">
        <f>IF(ISNUMBER(J111), $B118 * K111, "")</f>
        <v>160.59957173447538</v>
      </c>
      <c r="M111" s="31">
        <v>9135</v>
      </c>
      <c r="N111" s="32">
        <f t="shared" si="57"/>
        <v>-2.1948608137044967E-2</v>
      </c>
      <c r="O111" s="18">
        <f>IF(ISNUMBER(M111), $B118 * N111, "")</f>
        <v>-3292.291220556745</v>
      </c>
      <c r="Q111" s="156"/>
      <c r="R111" s="156"/>
      <c r="S111" s="156"/>
    </row>
    <row r="112" spans="1:19" ht="17.25" thickBot="1">
      <c r="A112" s="111" t="s">
        <v>232</v>
      </c>
      <c r="B112" s="112">
        <v>304</v>
      </c>
      <c r="C112" s="71">
        <v>2.3569023599999999E-2</v>
      </c>
      <c r="D112" s="20">
        <v>305</v>
      </c>
      <c r="E112" s="21">
        <f t="shared" si="54"/>
        <v>3.2894736842105261E-3</v>
      </c>
      <c r="F112" s="22">
        <f>IF(ISNUMBER(D112), $B118 * E112, "")</f>
        <v>493.4210526315789</v>
      </c>
      <c r="G112" s="30">
        <v>305</v>
      </c>
      <c r="H112" s="21">
        <f t="shared" si="55"/>
        <v>3.2894736842105261E-3</v>
      </c>
      <c r="I112" s="95">
        <f>IF(ISNUMBER(G112), $B118 * H112, "")</f>
        <v>493.4210526315789</v>
      </c>
      <c r="J112" s="20">
        <v>305</v>
      </c>
      <c r="K112" s="21">
        <f t="shared" si="56"/>
        <v>3.2894736842105261E-3</v>
      </c>
      <c r="L112" s="22">
        <f>IF(ISNUMBER(J112), $B118 * K112, "")</f>
        <v>493.4210526315789</v>
      </c>
      <c r="M112" s="30">
        <v>299</v>
      </c>
      <c r="N112" s="21">
        <f t="shared" si="57"/>
        <v>-1.6447368421052631E-2</v>
      </c>
      <c r="O112" s="22">
        <f>IF(ISNUMBER(M112), $B118 * N112, "")</f>
        <v>-2467.1052631578946</v>
      </c>
      <c r="Q112" s="156"/>
      <c r="R112" s="156"/>
      <c r="S112" s="156"/>
    </row>
    <row r="113" spans="1:19" ht="17.25" thickBot="1">
      <c r="A113" s="109" t="s">
        <v>214</v>
      </c>
      <c r="B113" s="113">
        <v>1120</v>
      </c>
      <c r="C113" s="73">
        <v>2.2831050200000001E-2</v>
      </c>
      <c r="D113" s="96">
        <v>1125</v>
      </c>
      <c r="E113" s="97">
        <f>IF(ISNUMBER(D113), (D113 - $B113) / $B113, "")</f>
        <v>4.464285714285714E-3</v>
      </c>
      <c r="F113" s="98">
        <f>IF(ISNUMBER(D113), $B118 * E113, "")</f>
        <v>669.64285714285711</v>
      </c>
      <c r="G113" s="99">
        <v>1125</v>
      </c>
      <c r="H113" s="97">
        <f>IF(ISNUMBER(G113), (G113 - $B113) / $B113, "")</f>
        <v>4.464285714285714E-3</v>
      </c>
      <c r="I113" s="100">
        <f>IF(ISNUMBER(G113), $B118 * H113, "")</f>
        <v>669.64285714285711</v>
      </c>
      <c r="J113" s="96">
        <v>1125</v>
      </c>
      <c r="K113" s="97">
        <f>IF(ISNUMBER(J113), (J113 - $B113) / $B113, "")</f>
        <v>4.464285714285714E-3</v>
      </c>
      <c r="L113" s="98">
        <f>IF(ISNUMBER(J113), $B118 * K113, "")</f>
        <v>669.64285714285711</v>
      </c>
      <c r="M113" s="99">
        <v>1115</v>
      </c>
      <c r="N113" s="97">
        <f>IF(ISNUMBER(M113), (M113 - $B113) / $B113, "")</f>
        <v>-4.464285714285714E-3</v>
      </c>
      <c r="O113" s="98">
        <f>IF(ISNUMBER(M113), $B118 * N113, "")</f>
        <v>-669.64285714285711</v>
      </c>
      <c r="Q113" s="161"/>
      <c r="R113" s="161"/>
      <c r="S113" s="161"/>
    </row>
    <row r="114" spans="1:19" ht="17.25" thickBot="1">
      <c r="A114" s="109" t="s">
        <v>79</v>
      </c>
      <c r="B114" s="110">
        <v>316</v>
      </c>
      <c r="C114" s="70">
        <v>2.2653721700000001E-2</v>
      </c>
      <c r="D114" s="15">
        <v>318</v>
      </c>
      <c r="E114" s="32">
        <f t="shared" ref="E114:E117" si="58">IF(ISNUMBER(D114), (D114 - $B114) / $B114, "")</f>
        <v>6.3291139240506328E-3</v>
      </c>
      <c r="F114" s="18">
        <f>IF(ISNUMBER(D114), $B118 * E114, "")</f>
        <v>949.36708860759495</v>
      </c>
      <c r="G114" s="31">
        <v>318</v>
      </c>
      <c r="H114" s="32">
        <f t="shared" ref="H114:H117" si="59">IF(ISNUMBER(G114), (G114 - $B114) / $B114, "")</f>
        <v>6.3291139240506328E-3</v>
      </c>
      <c r="I114" s="91">
        <f>IF(ISNUMBER(G114), $B118 * H114, "")</f>
        <v>949.36708860759495</v>
      </c>
      <c r="J114" s="15">
        <v>318</v>
      </c>
      <c r="K114" s="32">
        <f t="shared" ref="K114:K117" si="60">IF(ISNUMBER(J114), (J114 - $B114) / $B114, "")</f>
        <v>6.3291139240506328E-3</v>
      </c>
      <c r="L114" s="18">
        <f>IF(ISNUMBER(J114), $B118 * K114, "")</f>
        <v>949.36708860759495</v>
      </c>
      <c r="M114" s="31">
        <v>313</v>
      </c>
      <c r="N114" s="32">
        <f t="shared" ref="N114:N117" si="61">IF(ISNUMBER(M114), (M114 - $B114) / $B114, "")</f>
        <v>-9.4936708860759497E-3</v>
      </c>
      <c r="O114" s="18">
        <f>IF(ISNUMBER(M114), $B118 * N114, "")</f>
        <v>-1424.0506329113925</v>
      </c>
      <c r="Q114" s="161"/>
      <c r="R114" s="161"/>
      <c r="S114" s="161"/>
    </row>
    <row r="115" spans="1:19" ht="17.25" thickBot="1">
      <c r="A115" s="109" t="s">
        <v>228</v>
      </c>
      <c r="B115" s="110">
        <v>70.400000000000006</v>
      </c>
      <c r="C115" s="70">
        <v>2.1770682100000001E-2</v>
      </c>
      <c r="D115" s="15">
        <v>70.8</v>
      </c>
      <c r="E115" s="32">
        <f t="shared" si="58"/>
        <v>5.6818181818180605E-3</v>
      </c>
      <c r="F115" s="18">
        <f>IF(ISNUMBER(D115), $B118 * E115, "")</f>
        <v>852.27272727270906</v>
      </c>
      <c r="G115" s="31">
        <v>70.8</v>
      </c>
      <c r="H115" s="32">
        <f t="shared" si="59"/>
        <v>5.6818181818180605E-3</v>
      </c>
      <c r="I115" s="91">
        <f>IF(ISNUMBER(G115), $B118 * H115, "")</f>
        <v>852.27272727270906</v>
      </c>
      <c r="J115" s="15">
        <v>70.8</v>
      </c>
      <c r="K115" s="32">
        <f t="shared" si="60"/>
        <v>5.6818181818180605E-3</v>
      </c>
      <c r="L115" s="18">
        <f>IF(ISNUMBER(J115), $B118 * K115, "")</f>
        <v>852.27272727270906</v>
      </c>
      <c r="M115" s="31">
        <v>67.7</v>
      </c>
      <c r="N115" s="32">
        <f t="shared" si="61"/>
        <v>-3.8352272727272763E-2</v>
      </c>
      <c r="O115" s="18">
        <f>IF(ISNUMBER(M115), $B118 * N115, "")</f>
        <v>-5752.8409090909145</v>
      </c>
      <c r="Q115" s="161"/>
      <c r="R115" s="161"/>
      <c r="S115" s="161"/>
    </row>
    <row r="116" spans="1:19">
      <c r="A116" s="109" t="s">
        <v>328</v>
      </c>
      <c r="B116" s="110">
        <v>17370</v>
      </c>
      <c r="C116" s="70">
        <v>1.9366197200000001E-2</v>
      </c>
      <c r="D116" s="15">
        <v>17700</v>
      </c>
      <c r="E116" s="32">
        <f t="shared" si="58"/>
        <v>1.8998272884283247E-2</v>
      </c>
      <c r="F116" s="18">
        <f>IF(ISNUMBER(D116), $B118 * E116, "")</f>
        <v>2849.7409326424872</v>
      </c>
      <c r="G116" s="31">
        <v>17700</v>
      </c>
      <c r="H116" s="32">
        <f t="shared" si="59"/>
        <v>1.8998272884283247E-2</v>
      </c>
      <c r="I116" s="91">
        <f>IF(ISNUMBER(G116), $B118 * H116, "")</f>
        <v>2849.7409326424872</v>
      </c>
      <c r="J116" s="15">
        <v>17700</v>
      </c>
      <c r="K116" s="32">
        <f t="shared" si="60"/>
        <v>1.8998272884283247E-2</v>
      </c>
      <c r="L116" s="18">
        <f>IF(ISNUMBER(J116), $B118 * K116, "")</f>
        <v>2849.7409326424872</v>
      </c>
      <c r="M116" s="31">
        <v>17520</v>
      </c>
      <c r="N116" s="32">
        <f t="shared" si="61"/>
        <v>8.6355785837651123E-3</v>
      </c>
      <c r="O116" s="18">
        <f>IF(ISNUMBER(M116), $B118 * N116, "")</f>
        <v>1295.3367875647668</v>
      </c>
      <c r="Q116" s="183"/>
      <c r="R116" s="184"/>
      <c r="S116" s="185"/>
    </row>
    <row r="117" spans="1:19" ht="17.25" thickBot="1">
      <c r="A117" s="114" t="s">
        <v>73</v>
      </c>
      <c r="B117" s="115">
        <v>14120</v>
      </c>
      <c r="C117" s="72">
        <v>1.8024513299999999E-2</v>
      </c>
      <c r="D117" s="24">
        <v>14120</v>
      </c>
      <c r="E117" s="25">
        <f t="shared" si="58"/>
        <v>0</v>
      </c>
      <c r="F117" s="94">
        <f>IF(ISNUMBER(D117), $B118 * E117, "")</f>
        <v>0</v>
      </c>
      <c r="G117" s="92">
        <v>14120</v>
      </c>
      <c r="H117" s="25">
        <f t="shared" si="59"/>
        <v>0</v>
      </c>
      <c r="I117" s="93">
        <f>IF(ISNUMBER(G117), $B118 * H117, "")</f>
        <v>0</v>
      </c>
      <c r="J117" s="24">
        <v>14120</v>
      </c>
      <c r="K117" s="25">
        <f t="shared" si="60"/>
        <v>0</v>
      </c>
      <c r="L117" s="94">
        <f>IF(ISNUMBER(J117), $B118 * K117, "")</f>
        <v>0</v>
      </c>
      <c r="M117" s="92">
        <v>13800</v>
      </c>
      <c r="N117" s="25">
        <f t="shared" si="61"/>
        <v>-2.2662889518413599E-2</v>
      </c>
      <c r="O117" s="94">
        <f>IF(ISNUMBER(M117), $B118 * N117, "")</f>
        <v>-3399.4334277620396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1.2818655234684184E-3</v>
      </c>
      <c r="F118" s="28">
        <f>SUM(F98:F117)</f>
        <v>3845.5965704052605</v>
      </c>
      <c r="G118" s="26" t="s">
        <v>261</v>
      </c>
      <c r="H118" s="27">
        <f>IF(COUNT(H98:H117), SUM(H98:H117) / COUNT(H98:H117), 0)</f>
        <v>1.2818655234684184E-3</v>
      </c>
      <c r="I118" s="28">
        <f>SUM(I98:I117)</f>
        <v>3845.5965704052605</v>
      </c>
      <c r="J118" s="26" t="s">
        <v>261</v>
      </c>
      <c r="K118" s="27">
        <f>IF(COUNT(K98:K117), SUM(K98:K117) / COUNT(K98:K117), 0)</f>
        <v>1.2818655234684184E-3</v>
      </c>
      <c r="L118" s="28">
        <f>SUM(L98:L117)</f>
        <v>3845.5965704052605</v>
      </c>
      <c r="M118" s="26" t="s">
        <v>261</v>
      </c>
      <c r="N118" s="27">
        <f>IF(COUNT(N98:N117), SUM(N98:N117) / COUNT(N98:N117), 0)</f>
        <v>-1.7606348559759392E-2</v>
      </c>
      <c r="O118" s="28">
        <f>SUM(O98:O117)</f>
        <v>-52819.045679278162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2022-12-01(목) 오전 00:00</v>
      </c>
      <c r="C123" s="199"/>
      <c r="D123" s="158" t="str">
        <f>TEXT($G$1, "[$-ko-KR]yyyy-mm-dd(ddd) ") &amp; "오후 14:00"</f>
        <v>2022-12-01(목) 오후 14:00</v>
      </c>
      <c r="E123" s="159"/>
      <c r="F123" s="160"/>
      <c r="G123" s="158" t="str">
        <f>TEXT($G$1, "[$-ko-KR]yyyy-mm-dd(ddd) ") &amp; "오후 19:00"</f>
        <v>2022-12-01(목) 오후 19:00</v>
      </c>
      <c r="H123" s="159"/>
      <c r="I123" s="160"/>
      <c r="J123" s="158" t="str">
        <f>TEXT($G$1, "[$-ko-KR]yyyy-mm-dd(ddd) ") &amp; "오후 21:00"</f>
        <v>2022-12-01(목) 오후 21:00</v>
      </c>
      <c r="K123" s="159"/>
      <c r="L123" s="160"/>
      <c r="M123" s="158" t="str">
        <f>TEXT($G$1+1, "[$-ko-KR]yyyy-mm-dd(ddd) ") &amp; "오전 00:00"</f>
        <v>2022-12-02(금)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195</v>
      </c>
      <c r="B125" s="108">
        <v>6.74</v>
      </c>
      <c r="C125" s="69">
        <v>1.4858841000000001E-3</v>
      </c>
      <c r="D125" s="13">
        <v>6.78</v>
      </c>
      <c r="E125" s="14">
        <f>IF(ISNUMBER(D125), (D125 - $B125) / $B125, "")</f>
        <v>5.9347181008902131E-3</v>
      </c>
      <c r="F125" s="16">
        <f>IF(ISNUMBER(D125), $B145 * E125, "")</f>
        <v>890.20771513353202</v>
      </c>
      <c r="G125" s="29">
        <v>6.78</v>
      </c>
      <c r="H125" s="14">
        <f>IF(ISNUMBER(G125), (G125 - $B125) / $B125, "")</f>
        <v>5.9347181008902131E-3</v>
      </c>
      <c r="I125" s="90">
        <f>IF(ISNUMBER(G125), $B145 * H125, "")</f>
        <v>890.20771513353202</v>
      </c>
      <c r="J125" s="13">
        <v>6.78</v>
      </c>
      <c r="K125" s="14">
        <f>IF(ISNUMBER(J125), (J125 - $B125) / $B125, "")</f>
        <v>5.9347181008902131E-3</v>
      </c>
      <c r="L125" s="16">
        <f>IF(ISNUMBER(J125), $B145 * K125, "")</f>
        <v>890.20771513353202</v>
      </c>
      <c r="M125" s="29">
        <v>6.73</v>
      </c>
      <c r="N125" s="14">
        <f>IF(ISNUMBER(M125), (M125 - $B125) / $B125, "")</f>
        <v>-1.4836795252225203E-3</v>
      </c>
      <c r="O125" s="16">
        <f>IF(ISNUMBER(M125), $B145 * N125, "")</f>
        <v>-222.55192878337806</v>
      </c>
      <c r="Q125" s="156"/>
      <c r="R125" s="156"/>
      <c r="S125" s="156"/>
    </row>
    <row r="126" spans="1:19" ht="17.25" thickBot="1">
      <c r="A126" s="109" t="s">
        <v>118</v>
      </c>
      <c r="B126" s="110">
        <v>7.15</v>
      </c>
      <c r="C126" s="70">
        <v>1.4005602E-3</v>
      </c>
      <c r="D126" s="15">
        <v>7.24</v>
      </c>
      <c r="E126" s="32">
        <f t="shared" ref="E126:E129" si="62">IF(ISNUMBER(D126), (D126 - $B126) / $B126, "")</f>
        <v>1.2587412587412567E-2</v>
      </c>
      <c r="F126" s="18">
        <f>IF(ISNUMBER(D126), $B145 * E126, "")</f>
        <v>1888.111888111885</v>
      </c>
      <c r="G126" s="31">
        <v>7.24</v>
      </c>
      <c r="H126" s="32">
        <f t="shared" ref="H126:H129" si="63">IF(ISNUMBER(G126), (G126 - $B126) / $B126, "")</f>
        <v>1.2587412587412567E-2</v>
      </c>
      <c r="I126" s="91">
        <f>IF(ISNUMBER(G126), $B145 * H126, "")</f>
        <v>1888.111888111885</v>
      </c>
      <c r="J126" s="15">
        <v>7.24</v>
      </c>
      <c r="K126" s="32">
        <f t="shared" ref="K126:K129" si="64">IF(ISNUMBER(J126), (J126 - $B126) / $B126, "")</f>
        <v>1.2587412587412567E-2</v>
      </c>
      <c r="L126" s="18">
        <f>IF(ISNUMBER(J126), $B145 * K126, "")</f>
        <v>1888.111888111885</v>
      </c>
      <c r="M126" s="31">
        <v>6.99</v>
      </c>
      <c r="N126" s="32">
        <f t="shared" ref="N126:N129" si="65">IF(ISNUMBER(M126), (M126 - $B126) / $B126, "")</f>
        <v>-2.2377622377622395E-2</v>
      </c>
      <c r="O126" s="18">
        <f>IF(ISNUMBER(M126), $B145 * N126, "")</f>
        <v>-3356.6433566433593</v>
      </c>
      <c r="Q126" s="156"/>
      <c r="R126" s="156"/>
      <c r="S126" s="156"/>
    </row>
    <row r="127" spans="1:19" ht="17.25" thickBot="1">
      <c r="A127" s="109" t="s">
        <v>336</v>
      </c>
      <c r="B127" s="110">
        <v>87.1</v>
      </c>
      <c r="C127" s="70">
        <v>1.1494253E-3</v>
      </c>
      <c r="D127" s="15">
        <v>88.3</v>
      </c>
      <c r="E127" s="32">
        <f t="shared" si="62"/>
        <v>1.3777267508610826E-2</v>
      </c>
      <c r="F127" s="18">
        <f>IF(ISNUMBER(D127), $B145 * E127, "")</f>
        <v>2066.5901262916241</v>
      </c>
      <c r="G127" s="31">
        <v>88.3</v>
      </c>
      <c r="H127" s="32">
        <f t="shared" si="63"/>
        <v>1.3777267508610826E-2</v>
      </c>
      <c r="I127" s="91">
        <f>IF(ISNUMBER(G127), $B145 * H127, "")</f>
        <v>2066.5901262916241</v>
      </c>
      <c r="J127" s="15">
        <v>88.3</v>
      </c>
      <c r="K127" s="32">
        <f t="shared" si="64"/>
        <v>1.3777267508610826E-2</v>
      </c>
      <c r="L127" s="18">
        <f>IF(ISNUMBER(J127), $B145 * K127, "")</f>
        <v>2066.5901262916241</v>
      </c>
      <c r="M127" s="31">
        <v>87.7</v>
      </c>
      <c r="N127" s="32">
        <f t="shared" si="65"/>
        <v>6.8886337543054947E-3</v>
      </c>
      <c r="O127" s="18">
        <f>IF(ISNUMBER(M127), $B145 * N127, "")</f>
        <v>1033.2950631458243</v>
      </c>
      <c r="Q127" s="161"/>
      <c r="R127" s="161"/>
      <c r="S127" s="161"/>
    </row>
    <row r="128" spans="1:19" ht="17.25" thickBot="1">
      <c r="A128" s="109" t="s">
        <v>185</v>
      </c>
      <c r="B128" s="110">
        <v>33.5</v>
      </c>
      <c r="C128" s="70">
        <v>0</v>
      </c>
      <c r="D128" s="15">
        <v>34.299999999999997</v>
      </c>
      <c r="E128" s="32">
        <f t="shared" si="62"/>
        <v>2.3880597014925287E-2</v>
      </c>
      <c r="F128" s="18">
        <f>IF(ISNUMBER(D128), $B145 * E128, "")</f>
        <v>3582.0895522387932</v>
      </c>
      <c r="G128" s="31">
        <v>34.299999999999997</v>
      </c>
      <c r="H128" s="32">
        <f t="shared" si="63"/>
        <v>2.3880597014925287E-2</v>
      </c>
      <c r="I128" s="91">
        <f>IF(ISNUMBER(G128), $B145 * H128, "")</f>
        <v>3582.0895522387932</v>
      </c>
      <c r="J128" s="15">
        <v>34.299999999999997</v>
      </c>
      <c r="K128" s="32">
        <f t="shared" si="64"/>
        <v>2.3880597014925287E-2</v>
      </c>
      <c r="L128" s="18">
        <f>IF(ISNUMBER(J128), $B145 * K128, "")</f>
        <v>3582.0895522387932</v>
      </c>
      <c r="M128" s="31">
        <v>34.200000000000003</v>
      </c>
      <c r="N128" s="32">
        <f t="shared" si="65"/>
        <v>2.0895522388059785E-2</v>
      </c>
      <c r="O128" s="18">
        <f>IF(ISNUMBER(M128), $B145 * N128, "")</f>
        <v>3134.328358208968</v>
      </c>
      <c r="Q128" s="161"/>
      <c r="R128" s="161"/>
      <c r="S128" s="161"/>
    </row>
    <row r="129" spans="1:19" ht="17.25" thickBot="1">
      <c r="A129" s="111" t="s">
        <v>56</v>
      </c>
      <c r="B129" s="112">
        <v>44</v>
      </c>
      <c r="C129" s="71">
        <v>-2.2675737E-3</v>
      </c>
      <c r="D129" s="20">
        <v>44.4</v>
      </c>
      <c r="E129" s="21">
        <f t="shared" si="62"/>
        <v>9.0909090909090592E-3</v>
      </c>
      <c r="F129" s="22">
        <f>IF(ISNUMBER(D129), $B145 * E129, "")</f>
        <v>1363.636363636359</v>
      </c>
      <c r="G129" s="30">
        <v>44.4</v>
      </c>
      <c r="H129" s="21">
        <f t="shared" si="63"/>
        <v>9.0909090909090592E-3</v>
      </c>
      <c r="I129" s="95">
        <f>IF(ISNUMBER(G129), $B145 * H129, "")</f>
        <v>1363.636363636359</v>
      </c>
      <c r="J129" s="20">
        <v>44.4</v>
      </c>
      <c r="K129" s="21">
        <f t="shared" si="64"/>
        <v>9.0909090909090592E-3</v>
      </c>
      <c r="L129" s="22">
        <f>IF(ISNUMBER(J129), $B145 * K129, "")</f>
        <v>1363.636363636359</v>
      </c>
      <c r="M129" s="30">
        <v>43.9</v>
      </c>
      <c r="N129" s="21">
        <f t="shared" si="65"/>
        <v>-2.2727272727273051E-3</v>
      </c>
      <c r="O129" s="22">
        <f>IF(ISNUMBER(M129), $B145 * N129, "")</f>
        <v>-340.90909090909577</v>
      </c>
      <c r="Q129" s="161"/>
      <c r="R129" s="161"/>
      <c r="S129" s="161"/>
    </row>
    <row r="130" spans="1:19" ht="17.25" thickBot="1">
      <c r="A130" s="109" t="s">
        <v>124</v>
      </c>
      <c r="B130" s="113">
        <v>34.200000000000003</v>
      </c>
      <c r="C130" s="73">
        <v>-2.9154519000000002E-3</v>
      </c>
      <c r="D130" s="96">
        <v>34.700000000000003</v>
      </c>
      <c r="E130" s="97">
        <f>IF(ISNUMBER(D130), (D130 - $B130) / $B130, "")</f>
        <v>1.4619883040935672E-2</v>
      </c>
      <c r="F130" s="98">
        <f>IF(ISNUMBER(D130), $B145 * E130, "")</f>
        <v>2192.9824561403507</v>
      </c>
      <c r="G130" s="99">
        <v>34.700000000000003</v>
      </c>
      <c r="H130" s="97">
        <f>IF(ISNUMBER(G130), (G130 - $B130) / $B130, "")</f>
        <v>1.4619883040935672E-2</v>
      </c>
      <c r="I130" s="100">
        <f>IF(ISNUMBER(G130), $B145 * H130, "")</f>
        <v>2192.9824561403507</v>
      </c>
      <c r="J130" s="96">
        <v>34.700000000000003</v>
      </c>
      <c r="K130" s="97">
        <f>IF(ISNUMBER(J130), (J130 - $B130) / $B130, "")</f>
        <v>1.4619883040935672E-2</v>
      </c>
      <c r="L130" s="98">
        <f>IF(ISNUMBER(J130), $B145 * K130, "")</f>
        <v>2192.9824561403507</v>
      </c>
      <c r="M130" s="99">
        <v>34.799999999999997</v>
      </c>
      <c r="N130" s="97">
        <f>IF(ISNUMBER(M130), (M130 - $B130) / $B130, "")</f>
        <v>1.754385964912264E-2</v>
      </c>
      <c r="O130" s="98">
        <f>IF(ISNUMBER(M130), $B145 * N130, "")</f>
        <v>2631.5789473683958</v>
      </c>
      <c r="Q130" s="161"/>
      <c r="R130" s="161"/>
      <c r="S130" s="161"/>
    </row>
    <row r="131" spans="1:19" ht="17.25" thickBot="1">
      <c r="A131" s="109" t="s">
        <v>210</v>
      </c>
      <c r="B131" s="110">
        <v>65.7</v>
      </c>
      <c r="C131" s="70">
        <v>-3.0349014000000001E-3</v>
      </c>
      <c r="D131" s="15">
        <v>67.599999999999994</v>
      </c>
      <c r="E131" s="32">
        <f t="shared" ref="E131:E134" si="66">IF(ISNUMBER(D131), (D131 - $B131) / $B131, "")</f>
        <v>2.8919330289193173E-2</v>
      </c>
      <c r="F131" s="18">
        <f>IF(ISNUMBER(D131), $B145 * E131, "")</f>
        <v>4337.899543378976</v>
      </c>
      <c r="G131" s="31">
        <v>67.599999999999994</v>
      </c>
      <c r="H131" s="32">
        <f t="shared" ref="H131:H134" si="67">IF(ISNUMBER(G131), (G131 - $B131) / $B131, "")</f>
        <v>2.8919330289193173E-2</v>
      </c>
      <c r="I131" s="91">
        <f>IF(ISNUMBER(G131), $B145 * H131, "")</f>
        <v>4337.899543378976</v>
      </c>
      <c r="J131" s="15">
        <v>67.599999999999994</v>
      </c>
      <c r="K131" s="32">
        <f t="shared" ref="K131:K134" si="68">IF(ISNUMBER(J131), (J131 - $B131) / $B131, "")</f>
        <v>2.8919330289193173E-2</v>
      </c>
      <c r="L131" s="18">
        <f>IF(ISNUMBER(J131), $B145 * K131, "")</f>
        <v>4337.899543378976</v>
      </c>
      <c r="M131" s="31">
        <v>66.099999999999994</v>
      </c>
      <c r="N131" s="32">
        <f t="shared" ref="N131:N134" si="69">IF(ISNUMBER(M131), (M131 - $B131) / $B131, "")</f>
        <v>6.0882800608826702E-3</v>
      </c>
      <c r="O131" s="18">
        <f>IF(ISNUMBER(M131), $B145 * N131, "")</f>
        <v>913.24200913240054</v>
      </c>
      <c r="Q131" s="161"/>
      <c r="R131" s="161"/>
      <c r="S131" s="161"/>
    </row>
    <row r="132" spans="1:19" ht="17.25" thickBot="1">
      <c r="A132" s="109" t="s">
        <v>132</v>
      </c>
      <c r="B132" s="110">
        <v>64.5</v>
      </c>
      <c r="C132" s="70">
        <v>-3.0911901000000002E-3</v>
      </c>
      <c r="D132" s="15">
        <v>64.5</v>
      </c>
      <c r="E132" s="32">
        <f t="shared" si="66"/>
        <v>0</v>
      </c>
      <c r="F132" s="18">
        <f>IF(ISNUMBER(D132), $B145 * E132, "")</f>
        <v>0</v>
      </c>
      <c r="G132" s="31">
        <v>64.5</v>
      </c>
      <c r="H132" s="32">
        <f t="shared" si="67"/>
        <v>0</v>
      </c>
      <c r="I132" s="91">
        <f>IF(ISNUMBER(G132), $B145 * H132, "")</f>
        <v>0</v>
      </c>
      <c r="J132" s="15">
        <v>64.5</v>
      </c>
      <c r="K132" s="32">
        <f t="shared" si="68"/>
        <v>0</v>
      </c>
      <c r="L132" s="18">
        <f>IF(ISNUMBER(J132), $B145 * K132, "")</f>
        <v>0</v>
      </c>
      <c r="M132" s="31">
        <v>62.1</v>
      </c>
      <c r="N132" s="32">
        <f t="shared" si="69"/>
        <v>-3.7209302325581374E-2</v>
      </c>
      <c r="O132" s="18">
        <f>IF(ISNUMBER(M132), $B145 * N132, "")</f>
        <v>-5581.3953488372063</v>
      </c>
      <c r="Q132" s="161"/>
      <c r="R132" s="161"/>
      <c r="S132" s="161"/>
    </row>
    <row r="133" spans="1:19" ht="17.25" thickBot="1">
      <c r="A133" s="109" t="s">
        <v>191</v>
      </c>
      <c r="B133" s="110">
        <v>52.8</v>
      </c>
      <c r="C133" s="70">
        <v>-3.7735848999999998E-3</v>
      </c>
      <c r="D133" s="15">
        <v>54.5</v>
      </c>
      <c r="E133" s="32">
        <f t="shared" si="66"/>
        <v>3.2196969696969752E-2</v>
      </c>
      <c r="F133" s="18">
        <f>IF(ISNUMBER(D133), $B145 * E133, "")</f>
        <v>4829.5454545454631</v>
      </c>
      <c r="G133" s="31">
        <v>54.5</v>
      </c>
      <c r="H133" s="32">
        <f t="shared" si="67"/>
        <v>3.2196969696969752E-2</v>
      </c>
      <c r="I133" s="91">
        <f>IF(ISNUMBER(G133), $B145 * H133, "")</f>
        <v>4829.5454545454631</v>
      </c>
      <c r="J133" s="15">
        <v>54.5</v>
      </c>
      <c r="K133" s="32">
        <f t="shared" si="68"/>
        <v>3.2196969696969752E-2</v>
      </c>
      <c r="L133" s="18">
        <f>IF(ISNUMBER(J133), $B145 * K133, "")</f>
        <v>4829.5454545454631</v>
      </c>
      <c r="M133" s="31">
        <v>52.8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143</v>
      </c>
      <c r="B134" s="115">
        <v>3.99</v>
      </c>
      <c r="C134" s="72">
        <v>-4.9875312E-3</v>
      </c>
      <c r="D134" s="24">
        <v>4.04</v>
      </c>
      <c r="E134" s="25">
        <f t="shared" si="66"/>
        <v>1.2531328320801959E-2</v>
      </c>
      <c r="F134" s="94">
        <f>IF(ISNUMBER(D134), $B145 * E134, "")</f>
        <v>1879.699248120294</v>
      </c>
      <c r="G134" s="92">
        <v>4.04</v>
      </c>
      <c r="H134" s="25">
        <f t="shared" si="67"/>
        <v>1.2531328320801959E-2</v>
      </c>
      <c r="I134" s="93">
        <f>IF(ISNUMBER(G134), $B145 * H134, "")</f>
        <v>1879.699248120294</v>
      </c>
      <c r="J134" s="24">
        <v>4.04</v>
      </c>
      <c r="K134" s="25">
        <f t="shared" si="68"/>
        <v>1.2531328320801959E-2</v>
      </c>
      <c r="L134" s="94">
        <f>IF(ISNUMBER(J134), $B145 * K134, "")</f>
        <v>1879.699248120294</v>
      </c>
      <c r="M134" s="92">
        <v>3.96</v>
      </c>
      <c r="N134" s="25">
        <f t="shared" si="69"/>
        <v>-7.518796992481265E-3</v>
      </c>
      <c r="O134" s="94">
        <f>IF(ISNUMBER(M134), $B145 * N134, "")</f>
        <v>-1127.8195488721897</v>
      </c>
      <c r="Q134" s="170"/>
      <c r="R134" s="171"/>
      <c r="S134" s="172"/>
    </row>
    <row r="135" spans="1:19">
      <c r="A135" s="107" t="s">
        <v>338</v>
      </c>
      <c r="B135" s="108">
        <v>5.03</v>
      </c>
      <c r="C135" s="69">
        <v>-5.9288537999999998E-3</v>
      </c>
      <c r="D135" s="13">
        <v>5.08</v>
      </c>
      <c r="E135" s="14">
        <f>IF(ISNUMBER(D135), (D135 - $B135) / $B135, "")</f>
        <v>9.9403578528826676E-3</v>
      </c>
      <c r="F135" s="16">
        <f>IF(ISNUMBER(D135), $B145 * E135, "")</f>
        <v>1491.0536779324002</v>
      </c>
      <c r="G135" s="29">
        <v>5.08</v>
      </c>
      <c r="H135" s="14">
        <f>IF(ISNUMBER(G135), (G135 - $B135) / $B135, "")</f>
        <v>9.9403578528826676E-3</v>
      </c>
      <c r="I135" s="90">
        <f>IF(ISNUMBER(G135), $B145 * H135, "")</f>
        <v>1491.0536779324002</v>
      </c>
      <c r="J135" s="13">
        <v>5.08</v>
      </c>
      <c r="K135" s="14">
        <f>IF(ISNUMBER(J135), (J135 - $B135) / $B135, "")</f>
        <v>9.9403578528826676E-3</v>
      </c>
      <c r="L135" s="16">
        <f>IF(ISNUMBER(J135), $B145 * K135, "")</f>
        <v>1491.0536779324002</v>
      </c>
      <c r="M135" s="29">
        <v>5.01</v>
      </c>
      <c r="N135" s="14">
        <f>IF(ISNUMBER(M135), (M135 - $B135) / $B135, "")</f>
        <v>-3.976143141153173E-3</v>
      </c>
      <c r="O135" s="16">
        <f>IF(ISNUMBER(M135), $B145 * N135, "")</f>
        <v>-596.421471172976</v>
      </c>
      <c r="Q135" s="173"/>
      <c r="R135" s="174"/>
      <c r="S135" s="175"/>
    </row>
    <row r="136" spans="1:19" ht="17.25" thickBot="1">
      <c r="A136" s="109" t="s">
        <v>181</v>
      </c>
      <c r="B136" s="110">
        <v>4.5599999999999996</v>
      </c>
      <c r="C136" s="70">
        <v>-8.6956522000000008E-3</v>
      </c>
      <c r="D136" s="15">
        <v>4.5999999999999996</v>
      </c>
      <c r="E136" s="32">
        <f t="shared" ref="E136:E139" si="70">IF(ISNUMBER(D136), (D136 - $B136) / $B136, "")</f>
        <v>8.7719298245614117E-3</v>
      </c>
      <c r="F136" s="18">
        <f>IF(ISNUMBER(D136), $B145 * E136, "")</f>
        <v>1315.7894736842118</v>
      </c>
      <c r="G136" s="31">
        <v>4.5999999999999996</v>
      </c>
      <c r="H136" s="32">
        <f t="shared" ref="H136:H139" si="71">IF(ISNUMBER(G136), (G136 - $B136) / $B136, "")</f>
        <v>8.7719298245614117E-3</v>
      </c>
      <c r="I136" s="91">
        <f>IF(ISNUMBER(G136), $B145 * H136, "")</f>
        <v>1315.7894736842118</v>
      </c>
      <c r="J136" s="15">
        <v>4.5999999999999996</v>
      </c>
      <c r="K136" s="32">
        <f t="shared" ref="K136:K139" si="72">IF(ISNUMBER(J136), (J136 - $B136) / $B136, "")</f>
        <v>8.7719298245614117E-3</v>
      </c>
      <c r="L136" s="18">
        <f>IF(ISNUMBER(J136), $B145 * K136, "")</f>
        <v>1315.7894736842118</v>
      </c>
      <c r="M136" s="31">
        <v>4.4800000000000004</v>
      </c>
      <c r="N136" s="32">
        <f t="shared" ref="N136:N139" si="73">IF(ISNUMBER(M136), (M136 - $B136) / $B136, "")</f>
        <v>-1.7543859649122629E-2</v>
      </c>
      <c r="O136" s="18">
        <f>IF(ISNUMBER(M136), $B145 * N136, "")</f>
        <v>-2631.5789473683944</v>
      </c>
      <c r="Q136" s="176"/>
      <c r="R136" s="177"/>
      <c r="S136" s="178"/>
    </row>
    <row r="137" spans="1:19" ht="17.25" thickBot="1">
      <c r="A137" s="109" t="s">
        <v>224</v>
      </c>
      <c r="B137" s="110">
        <v>22.3</v>
      </c>
      <c r="C137" s="70">
        <v>-1.32743363E-2</v>
      </c>
      <c r="D137" s="15">
        <v>22.6</v>
      </c>
      <c r="E137" s="32">
        <f t="shared" si="70"/>
        <v>1.345291479820631E-2</v>
      </c>
      <c r="F137" s="18">
        <f>IF(ISNUMBER(D137), $B145 * E137, "")</f>
        <v>2017.9372197309465</v>
      </c>
      <c r="G137" s="31">
        <v>22.6</v>
      </c>
      <c r="H137" s="32">
        <f t="shared" si="71"/>
        <v>1.345291479820631E-2</v>
      </c>
      <c r="I137" s="91">
        <f>IF(ISNUMBER(G137), $B145 * H137, "")</f>
        <v>2017.9372197309465</v>
      </c>
      <c r="J137" s="15">
        <v>22.6</v>
      </c>
      <c r="K137" s="32">
        <f t="shared" si="72"/>
        <v>1.345291479820631E-2</v>
      </c>
      <c r="L137" s="18">
        <f>IF(ISNUMBER(J137), $B145 * K137, "")</f>
        <v>2017.9372197309465</v>
      </c>
      <c r="M137" s="31">
        <v>22.2</v>
      </c>
      <c r="N137" s="32">
        <f t="shared" si="73"/>
        <v>-4.4843049327354893E-3</v>
      </c>
      <c r="O137" s="18">
        <f>IF(ISNUMBER(M137), $B145 * N137, "")</f>
        <v>-672.64573991032341</v>
      </c>
      <c r="Q137" s="161"/>
      <c r="R137" s="161"/>
      <c r="S137" s="161"/>
    </row>
    <row r="138" spans="1:19" ht="17.25" thickBot="1">
      <c r="A138" s="109" t="s">
        <v>200</v>
      </c>
      <c r="B138" s="110">
        <v>6.71</v>
      </c>
      <c r="C138" s="70">
        <v>-1.4684287799999999E-2</v>
      </c>
      <c r="D138" s="15">
        <v>6.82</v>
      </c>
      <c r="E138" s="32">
        <f t="shared" si="70"/>
        <v>1.6393442622950869E-2</v>
      </c>
      <c r="F138" s="18">
        <f>IF(ISNUMBER(D138), $B145 * E138, "")</f>
        <v>2459.0163934426305</v>
      </c>
      <c r="G138" s="31">
        <v>6.82</v>
      </c>
      <c r="H138" s="32">
        <f t="shared" si="71"/>
        <v>1.6393442622950869E-2</v>
      </c>
      <c r="I138" s="91">
        <f>IF(ISNUMBER(G138), $B145 * H138, "")</f>
        <v>2459.0163934426305</v>
      </c>
      <c r="J138" s="15">
        <v>6.82</v>
      </c>
      <c r="K138" s="32">
        <f t="shared" si="72"/>
        <v>1.6393442622950869E-2</v>
      </c>
      <c r="L138" s="18">
        <f>IF(ISNUMBER(J138), $B145 * K138, "")</f>
        <v>2459.0163934426305</v>
      </c>
      <c r="M138" s="31">
        <v>6.91</v>
      </c>
      <c r="N138" s="32">
        <f t="shared" si="73"/>
        <v>2.9806259314456063E-2</v>
      </c>
      <c r="O138" s="18">
        <f>IF(ISNUMBER(M138), $B145 * N138, "")</f>
        <v>4470.9388971684093</v>
      </c>
      <c r="Q138" s="156"/>
      <c r="R138" s="156"/>
      <c r="S138" s="156"/>
    </row>
    <row r="139" spans="1:19" ht="17.25" thickBot="1">
      <c r="A139" s="111" t="s">
        <v>71</v>
      </c>
      <c r="B139" s="112">
        <v>12.1</v>
      </c>
      <c r="C139" s="71">
        <v>-1.6260162599999999E-2</v>
      </c>
      <c r="D139" s="20">
        <v>12.4</v>
      </c>
      <c r="E139" s="21">
        <f t="shared" si="70"/>
        <v>2.4793388429752126E-2</v>
      </c>
      <c r="F139" s="22">
        <f>IF(ISNUMBER(D139), $B145 * E139, "")</f>
        <v>3719.0082644628187</v>
      </c>
      <c r="G139" s="30">
        <v>12.4</v>
      </c>
      <c r="H139" s="21">
        <f t="shared" si="71"/>
        <v>2.4793388429752126E-2</v>
      </c>
      <c r="I139" s="95">
        <f>IF(ISNUMBER(G139), $B145 * H139, "")</f>
        <v>3719.0082644628187</v>
      </c>
      <c r="J139" s="20">
        <v>12.4</v>
      </c>
      <c r="K139" s="21">
        <f t="shared" si="72"/>
        <v>2.4793388429752126E-2</v>
      </c>
      <c r="L139" s="22">
        <f>IF(ISNUMBER(J139), $B145 * K139, "")</f>
        <v>3719.0082644628187</v>
      </c>
      <c r="M139" s="30">
        <v>12.1</v>
      </c>
      <c r="N139" s="21">
        <f t="shared" si="73"/>
        <v>0</v>
      </c>
      <c r="O139" s="22">
        <f>IF(ISNUMBER(M139), $B145 * N139, "")</f>
        <v>0</v>
      </c>
      <c r="Q139" s="156"/>
      <c r="R139" s="156"/>
      <c r="S139" s="156"/>
    </row>
    <row r="140" spans="1:19" ht="17.25" thickBot="1">
      <c r="A140" s="109" t="s">
        <v>212</v>
      </c>
      <c r="B140" s="113">
        <v>87.4</v>
      </c>
      <c r="C140" s="73">
        <v>-1.68728909E-2</v>
      </c>
      <c r="D140" s="96">
        <v>89.6</v>
      </c>
      <c r="E140" s="97">
        <f>IF(ISNUMBER(D140), (D140 - $B140) / $B140, "")</f>
        <v>2.5171624713958677E-2</v>
      </c>
      <c r="F140" s="98">
        <f>IF(ISNUMBER(D140), $B145 * E140, "")</f>
        <v>3775.7437070938017</v>
      </c>
      <c r="G140" s="99">
        <v>89.6</v>
      </c>
      <c r="H140" s="97">
        <f>IF(ISNUMBER(G140), (G140 - $B140) / $B140, "")</f>
        <v>2.5171624713958677E-2</v>
      </c>
      <c r="I140" s="100">
        <f>IF(ISNUMBER(G140), $B145 * H140, "")</f>
        <v>3775.7437070938017</v>
      </c>
      <c r="J140" s="96">
        <v>89.6</v>
      </c>
      <c r="K140" s="97">
        <f>IF(ISNUMBER(J140), (J140 - $B140) / $B140, "")</f>
        <v>2.5171624713958677E-2</v>
      </c>
      <c r="L140" s="98">
        <f>IF(ISNUMBER(J140), $B145 * K140, "")</f>
        <v>3775.7437070938017</v>
      </c>
      <c r="M140" s="99">
        <v>88.6</v>
      </c>
      <c r="N140" s="97">
        <f>IF(ISNUMBER(M140), (M140 - $B140) / $B140, "")</f>
        <v>1.3729977116704675E-2</v>
      </c>
      <c r="O140" s="98">
        <f>IF(ISNUMBER(M140), $B145 * N140, "")</f>
        <v>2059.496567505701</v>
      </c>
      <c r="Q140" s="161"/>
      <c r="R140" s="161"/>
      <c r="S140" s="161"/>
    </row>
    <row r="141" spans="1:19" ht="17.25" thickBot="1">
      <c r="A141" s="109" t="s">
        <v>198</v>
      </c>
      <c r="B141" s="110">
        <v>7.24</v>
      </c>
      <c r="C141" s="70">
        <v>-5.1114023600000003E-2</v>
      </c>
      <c r="D141" s="15">
        <v>7.49</v>
      </c>
      <c r="E141" s="32">
        <f t="shared" ref="E141:E144" si="74">IF(ISNUMBER(D141), (D141 - $B141) / $B141, "")</f>
        <v>3.4530386740331494E-2</v>
      </c>
      <c r="F141" s="18">
        <f>IF(ISNUMBER(D141), $B145 * E141, "")</f>
        <v>5179.558011049724</v>
      </c>
      <c r="G141" s="31">
        <v>7.49</v>
      </c>
      <c r="H141" s="32">
        <f t="shared" ref="H141:H144" si="75">IF(ISNUMBER(G141), (G141 - $B141) / $B141, "")</f>
        <v>3.4530386740331494E-2</v>
      </c>
      <c r="I141" s="91">
        <f>IF(ISNUMBER(G141), $B145 * H141, "")</f>
        <v>5179.558011049724</v>
      </c>
      <c r="J141" s="15">
        <v>7.49</v>
      </c>
      <c r="K141" s="32">
        <f t="shared" ref="K141:K144" si="76">IF(ISNUMBER(J141), (J141 - $B141) / $B141, "")</f>
        <v>3.4530386740331494E-2</v>
      </c>
      <c r="L141" s="18">
        <f>IF(ISNUMBER(J141), $B145 * K141, "")</f>
        <v>5179.558011049724</v>
      </c>
      <c r="M141" s="31">
        <v>7.59</v>
      </c>
      <c r="N141" s="32">
        <f t="shared" ref="N141:N144" si="77">IF(ISNUMBER(M141), (M141 - $B141) / $B141, "")</f>
        <v>4.8342541436464041E-2</v>
      </c>
      <c r="O141" s="18">
        <f>IF(ISNUMBER(M141), $B145 * N141, "")</f>
        <v>7251.3812154696061</v>
      </c>
      <c r="Q141" s="161"/>
      <c r="R141" s="161"/>
      <c r="S141" s="161"/>
    </row>
    <row r="142" spans="1:19" ht="17.25" thickBot="1">
      <c r="A142" s="109" t="s">
        <v>107</v>
      </c>
      <c r="B142" s="110">
        <v>42.3</v>
      </c>
      <c r="C142" s="70">
        <v>-5.5803571400000002E-2</v>
      </c>
      <c r="D142" s="15">
        <v>45.5</v>
      </c>
      <c r="E142" s="32">
        <f t="shared" si="74"/>
        <v>7.565011820330976E-2</v>
      </c>
      <c r="F142" s="18">
        <f>IF(ISNUMBER(D142), $B145 * E142, "")</f>
        <v>11347.517730496464</v>
      </c>
      <c r="G142" s="31">
        <v>45.5</v>
      </c>
      <c r="H142" s="32">
        <f t="shared" si="75"/>
        <v>7.565011820330976E-2</v>
      </c>
      <c r="I142" s="91">
        <f>IF(ISNUMBER(G142), $B145 * H142, "")</f>
        <v>11347.517730496464</v>
      </c>
      <c r="J142" s="15">
        <v>45.5</v>
      </c>
      <c r="K142" s="32">
        <f t="shared" si="76"/>
        <v>7.565011820330976E-2</v>
      </c>
      <c r="L142" s="18">
        <f>IF(ISNUMBER(J142), $B145 * K142, "")</f>
        <v>11347.517730496464</v>
      </c>
      <c r="M142" s="31">
        <v>47.2</v>
      </c>
      <c r="N142" s="32">
        <f t="shared" si="77"/>
        <v>0.11583924349881811</v>
      </c>
      <c r="O142" s="18">
        <f>IF(ISNUMBER(M142), $B145 * N142, "")</f>
        <v>17375.886524822716</v>
      </c>
      <c r="Q142" s="161"/>
      <c r="R142" s="161"/>
      <c r="S142" s="161"/>
    </row>
    <row r="143" spans="1:19">
      <c r="A143" s="109" t="s">
        <v>350</v>
      </c>
      <c r="B143" s="110">
        <v>8.2899999999999991</v>
      </c>
      <c r="C143" s="70">
        <v>-6.0090702900000001E-2</v>
      </c>
      <c r="D143" s="15">
        <v>8.48</v>
      </c>
      <c r="E143" s="32">
        <f t="shared" si="74"/>
        <v>2.2919179734620182E-2</v>
      </c>
      <c r="F143" s="18">
        <f>IF(ISNUMBER(D143), $B145 * E143, "")</f>
        <v>3437.8769601930271</v>
      </c>
      <c r="G143" s="31">
        <v>8.48</v>
      </c>
      <c r="H143" s="32">
        <f t="shared" si="75"/>
        <v>2.2919179734620182E-2</v>
      </c>
      <c r="I143" s="91">
        <f>IF(ISNUMBER(G143), $B145 * H143, "")</f>
        <v>3437.8769601930271</v>
      </c>
      <c r="J143" s="15">
        <v>8.48</v>
      </c>
      <c r="K143" s="32">
        <f t="shared" si="76"/>
        <v>2.2919179734620182E-2</v>
      </c>
      <c r="L143" s="18">
        <f>IF(ISNUMBER(J143), $B145 * K143, "")</f>
        <v>3437.8769601930271</v>
      </c>
      <c r="M143" s="31">
        <v>8.76</v>
      </c>
      <c r="N143" s="32">
        <f t="shared" si="77"/>
        <v>5.6694813027744352E-2</v>
      </c>
      <c r="O143" s="18">
        <f>IF(ISNUMBER(M143), $B145 * N143, "")</f>
        <v>8504.2219541616523</v>
      </c>
      <c r="Q143" s="183"/>
      <c r="R143" s="184"/>
      <c r="S143" s="185"/>
    </row>
    <row r="144" spans="1:19" ht="17.25" thickBot="1">
      <c r="A144" s="114" t="s">
        <v>97</v>
      </c>
      <c r="B144" s="115">
        <v>8.9999999999999998E-4</v>
      </c>
      <c r="C144" s="72">
        <v>-0.1</v>
      </c>
      <c r="D144" s="24">
        <v>1E-3</v>
      </c>
      <c r="E144" s="25">
        <f t="shared" si="74"/>
        <v>0.11111111111111116</v>
      </c>
      <c r="F144" s="94">
        <f>IF(ISNUMBER(D144), $B145 * E144, "")</f>
        <v>16666.666666666675</v>
      </c>
      <c r="G144" s="92">
        <v>1E-3</v>
      </c>
      <c r="H144" s="25">
        <f t="shared" si="75"/>
        <v>0.11111111111111116</v>
      </c>
      <c r="I144" s="93">
        <f>IF(ISNUMBER(G144), $B145 * H144, "")</f>
        <v>16666.666666666675</v>
      </c>
      <c r="J144" s="24">
        <v>1E-3</v>
      </c>
      <c r="K144" s="25">
        <f t="shared" si="76"/>
        <v>0.11111111111111116</v>
      </c>
      <c r="L144" s="94">
        <f>IF(ISNUMBER(J144), $B145 * K144, "")</f>
        <v>16666.666666666675</v>
      </c>
      <c r="M144" s="92">
        <v>1E-3</v>
      </c>
      <c r="N144" s="25">
        <f t="shared" si="77"/>
        <v>0.11111111111111116</v>
      </c>
      <c r="O144" s="94">
        <f>IF(ISNUMBER(M144), $B145 * N144, "")</f>
        <v>16666.666666666675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2.481364348411666E-2</v>
      </c>
      <c r="F145" s="28">
        <f>SUM(F125:F144)</f>
        <v>74440.930452349974</v>
      </c>
      <c r="G145" s="26" t="s">
        <v>261</v>
      </c>
      <c r="H145" s="27">
        <f>IF(COUNT(H125:H144), SUM(H125:H144) / COUNT(H125:H144), 0)</f>
        <v>2.481364348411666E-2</v>
      </c>
      <c r="I145" s="28">
        <f>SUM(I125:I144)</f>
        <v>74440.930452349974</v>
      </c>
      <c r="J145" s="26" t="s">
        <v>261</v>
      </c>
      <c r="K145" s="27">
        <f>IF(COUNT(K125:K144), SUM(K125:K144) / COUNT(K125:K144), 0)</f>
        <v>2.481364348411666E-2</v>
      </c>
      <c r="L145" s="28">
        <f>SUM(L125:L144)</f>
        <v>74440.930452349974</v>
      </c>
      <c r="M145" s="26" t="s">
        <v>261</v>
      </c>
      <c r="N145" s="27">
        <f>IF(COUNT(N125:N144), SUM(N125:N144) / COUNT(N125:N144), 0)</f>
        <v>1.6503690257051139E-2</v>
      </c>
      <c r="O145" s="28">
        <f>SUM(O125:O144)</f>
        <v>49511.07077115342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2022-12-01(목) 오전 00:00</v>
      </c>
      <c r="C150" s="199"/>
      <c r="D150" s="158" t="str">
        <f>TEXT($G$1, "[$-ko-KR]yyyy-mm-dd(ddd) ") &amp; "오후 14:00"</f>
        <v>2022-12-01(목) 오후 14:00</v>
      </c>
      <c r="E150" s="159"/>
      <c r="F150" s="160"/>
      <c r="G150" s="158" t="str">
        <f>TEXT($G$1, "[$-ko-KR]yyyy-mm-dd(ddd) ") &amp; "오후 19:00"</f>
        <v>2022-12-01(목) 오후 19:00</v>
      </c>
      <c r="H150" s="159"/>
      <c r="I150" s="160"/>
      <c r="J150" s="158" t="str">
        <f>TEXT($G$1, "[$-ko-KR]yyyy-mm-dd(ddd) ") &amp; "오후 21:00"</f>
        <v>2022-12-01(목) 오후 21:00</v>
      </c>
      <c r="K150" s="159"/>
      <c r="L150" s="160"/>
      <c r="M150" s="158" t="str">
        <f>TEXT($G$1+1, "[$-ko-KR]yyyy-mm-dd(ddd) ") &amp; "오전 00:00"</f>
        <v>2022-12-02(금)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234</v>
      </c>
      <c r="B152" s="108">
        <v>386</v>
      </c>
      <c r="C152" s="69">
        <v>0</v>
      </c>
      <c r="D152" s="13">
        <v>411</v>
      </c>
      <c r="E152" s="14">
        <f>IF(ISNUMBER(D152), (D152 - $B152) / $B152, "")</f>
        <v>6.4766839378238336E-2</v>
      </c>
      <c r="F152" s="16">
        <f>IF(ISNUMBER(D152), $B172 * E152, "")</f>
        <v>9715.0259067357511</v>
      </c>
      <c r="G152" s="29">
        <v>411</v>
      </c>
      <c r="H152" s="14">
        <f>IF(ISNUMBER(G152), (G152 - $B152) / $B152, "")</f>
        <v>6.4766839378238336E-2</v>
      </c>
      <c r="I152" s="90">
        <f>IF(ISNUMBER(G152), $B172 * H152, "")</f>
        <v>9715.0259067357511</v>
      </c>
      <c r="J152" s="13">
        <v>411</v>
      </c>
      <c r="K152" s="14">
        <f>IF(ISNUMBER(J152), (J152 - $B152) / $B152, "")</f>
        <v>6.4766839378238336E-2</v>
      </c>
      <c r="L152" s="16">
        <f>IF(ISNUMBER(J152), $B172 * K152, "")</f>
        <v>9715.0259067357511</v>
      </c>
      <c r="M152" s="29">
        <v>377</v>
      </c>
      <c r="N152" s="14">
        <f>IF(ISNUMBER(M152), (M152 - $B152) / $B152, "")</f>
        <v>-2.3316062176165803E-2</v>
      </c>
      <c r="O152" s="16">
        <f>IF(ISNUMBER(M152), $B172 * N152, "")</f>
        <v>-3497.4093264248704</v>
      </c>
      <c r="Q152" s="156"/>
      <c r="R152" s="156"/>
      <c r="S152" s="156"/>
    </row>
    <row r="153" spans="1:19" ht="17.25" thickBot="1">
      <c r="A153" s="109" t="s">
        <v>196</v>
      </c>
      <c r="B153" s="110">
        <v>295</v>
      </c>
      <c r="C153" s="70">
        <v>0</v>
      </c>
      <c r="D153" s="15">
        <v>301</v>
      </c>
      <c r="E153" s="32">
        <f t="shared" ref="E153:E156" si="78">IF(ISNUMBER(D153), (D153 - $B153) / $B153, "")</f>
        <v>2.0338983050847456E-2</v>
      </c>
      <c r="F153" s="18">
        <f>IF(ISNUMBER(D153), $B172 * E153, "")</f>
        <v>3050.8474576271183</v>
      </c>
      <c r="G153" s="31">
        <v>301</v>
      </c>
      <c r="H153" s="32">
        <f t="shared" ref="H153:H156" si="79">IF(ISNUMBER(G153), (G153 - $B153) / $B153, "")</f>
        <v>2.0338983050847456E-2</v>
      </c>
      <c r="I153" s="91">
        <f>IF(ISNUMBER(G153), $B172 * H153, "")</f>
        <v>3050.8474576271183</v>
      </c>
      <c r="J153" s="15">
        <v>301</v>
      </c>
      <c r="K153" s="32">
        <f t="shared" ref="K153:K156" si="80">IF(ISNUMBER(J153), (J153 - $B153) / $B153, "")</f>
        <v>2.0338983050847456E-2</v>
      </c>
      <c r="L153" s="18">
        <f>IF(ISNUMBER(J153), $B172 * K153, "")</f>
        <v>3050.8474576271183</v>
      </c>
      <c r="M153" s="31">
        <v>293</v>
      </c>
      <c r="N153" s="32">
        <f t="shared" ref="N153:N156" si="81">IF(ISNUMBER(M153), (M153 - $B153) / $B153, "")</f>
        <v>-6.7796610169491523E-3</v>
      </c>
      <c r="O153" s="18">
        <f>IF(ISNUMBER(M153), $B172 * N153, "")</f>
        <v>-1016.9491525423729</v>
      </c>
      <c r="Q153" s="156"/>
      <c r="R153" s="156"/>
      <c r="S153" s="156"/>
    </row>
    <row r="154" spans="1:19" ht="17.25" thickBot="1">
      <c r="A154" s="109" t="s">
        <v>120</v>
      </c>
      <c r="B154" s="110">
        <v>140</v>
      </c>
      <c r="C154" s="70">
        <v>0</v>
      </c>
      <c r="D154" s="15">
        <v>142</v>
      </c>
      <c r="E154" s="32">
        <f t="shared" si="78"/>
        <v>1.4285714285714285E-2</v>
      </c>
      <c r="F154" s="18">
        <f>IF(ISNUMBER(D154), $B172 * E154, "")</f>
        <v>2142.8571428571427</v>
      </c>
      <c r="G154" s="31">
        <v>142</v>
      </c>
      <c r="H154" s="32">
        <f t="shared" si="79"/>
        <v>1.4285714285714285E-2</v>
      </c>
      <c r="I154" s="91">
        <f>IF(ISNUMBER(G154), $B172 * H154, "")</f>
        <v>2142.8571428571427</v>
      </c>
      <c r="J154" s="15">
        <v>142</v>
      </c>
      <c r="K154" s="32">
        <f t="shared" si="80"/>
        <v>1.4285714285714285E-2</v>
      </c>
      <c r="L154" s="18">
        <f>IF(ISNUMBER(J154), $B172 * K154, "")</f>
        <v>2142.8571428571427</v>
      </c>
      <c r="M154" s="31">
        <v>139</v>
      </c>
      <c r="N154" s="32">
        <f t="shared" si="81"/>
        <v>-7.1428571428571426E-3</v>
      </c>
      <c r="O154" s="18">
        <f>IF(ISNUMBER(M154), $B172 * N154, "")</f>
        <v>-1071.4285714285713</v>
      </c>
      <c r="Q154" s="161"/>
      <c r="R154" s="161"/>
      <c r="S154" s="161"/>
    </row>
    <row r="155" spans="1:19" ht="17.25" thickBot="1">
      <c r="A155" s="109" t="s">
        <v>159</v>
      </c>
      <c r="B155" s="110">
        <v>208</v>
      </c>
      <c r="C155" s="70">
        <v>0</v>
      </c>
      <c r="D155" s="15">
        <v>210</v>
      </c>
      <c r="E155" s="32">
        <f t="shared" si="78"/>
        <v>9.6153846153846159E-3</v>
      </c>
      <c r="F155" s="18">
        <f>IF(ISNUMBER(D155), $B172 * E155, "")</f>
        <v>1442.3076923076924</v>
      </c>
      <c r="G155" s="31">
        <v>210</v>
      </c>
      <c r="H155" s="32">
        <f t="shared" si="79"/>
        <v>9.6153846153846159E-3</v>
      </c>
      <c r="I155" s="91">
        <f>IF(ISNUMBER(G155), $B172 * H155, "")</f>
        <v>1442.3076923076924</v>
      </c>
      <c r="J155" s="15">
        <v>210</v>
      </c>
      <c r="K155" s="32">
        <f t="shared" si="80"/>
        <v>9.6153846153846159E-3</v>
      </c>
      <c r="L155" s="18">
        <f>IF(ISNUMBER(J155), $B172 * K155, "")</f>
        <v>1442.3076923076924</v>
      </c>
      <c r="M155" s="31">
        <v>207</v>
      </c>
      <c r="N155" s="32">
        <f t="shared" si="81"/>
        <v>-4.807692307692308E-3</v>
      </c>
      <c r="O155" s="18">
        <f>IF(ISNUMBER(M155), $B172 * N155, "")</f>
        <v>-721.15384615384619</v>
      </c>
      <c r="Q155" s="161"/>
      <c r="R155" s="161"/>
      <c r="S155" s="161"/>
    </row>
    <row r="156" spans="1:19" ht="17.25" thickBot="1">
      <c r="A156" s="111" t="s">
        <v>337</v>
      </c>
      <c r="B156" s="112">
        <v>329</v>
      </c>
      <c r="C156" s="71">
        <v>0</v>
      </c>
      <c r="D156" s="20">
        <v>333</v>
      </c>
      <c r="E156" s="21">
        <f t="shared" si="78"/>
        <v>1.2158054711246201E-2</v>
      </c>
      <c r="F156" s="22">
        <f>IF(ISNUMBER(D156), $B172 * E156, "")</f>
        <v>1823.70820668693</v>
      </c>
      <c r="G156" s="30">
        <v>333</v>
      </c>
      <c r="H156" s="21">
        <f t="shared" si="79"/>
        <v>1.2158054711246201E-2</v>
      </c>
      <c r="I156" s="95">
        <f>IF(ISNUMBER(G156), $B172 * H156, "")</f>
        <v>1823.70820668693</v>
      </c>
      <c r="J156" s="20">
        <v>333</v>
      </c>
      <c r="K156" s="21">
        <f t="shared" si="80"/>
        <v>1.2158054711246201E-2</v>
      </c>
      <c r="L156" s="22">
        <f>IF(ISNUMBER(J156), $B172 * K156, "")</f>
        <v>1823.70820668693</v>
      </c>
      <c r="M156" s="30">
        <v>333</v>
      </c>
      <c r="N156" s="21">
        <f t="shared" si="81"/>
        <v>1.2158054711246201E-2</v>
      </c>
      <c r="O156" s="22">
        <f>IF(ISNUMBER(M156), $B172 * N156, "")</f>
        <v>1823.70820668693</v>
      </c>
      <c r="Q156" s="161"/>
      <c r="R156" s="161"/>
      <c r="S156" s="161"/>
    </row>
    <row r="157" spans="1:19" ht="17.25" thickBot="1">
      <c r="A157" s="109" t="s">
        <v>68</v>
      </c>
      <c r="B157" s="113">
        <v>375</v>
      </c>
      <c r="C157" s="73">
        <v>0</v>
      </c>
      <c r="D157" s="96">
        <v>377</v>
      </c>
      <c r="E157" s="97">
        <f>IF(ISNUMBER(D157), (D157 - $B157) / $B157, "")</f>
        <v>5.3333333333333332E-3</v>
      </c>
      <c r="F157" s="98">
        <f>IF(ISNUMBER(D157), $B172 * E157, "")</f>
        <v>800</v>
      </c>
      <c r="G157" s="99">
        <v>377</v>
      </c>
      <c r="H157" s="97">
        <f>IF(ISNUMBER(G157), (G157 - $B157) / $B157, "")</f>
        <v>5.3333333333333332E-3</v>
      </c>
      <c r="I157" s="100">
        <f>IF(ISNUMBER(G157), $B172 * H157, "")</f>
        <v>800</v>
      </c>
      <c r="J157" s="96">
        <v>377</v>
      </c>
      <c r="K157" s="97">
        <f>IF(ISNUMBER(J157), (J157 - $B157) / $B157, "")</f>
        <v>5.3333333333333332E-3</v>
      </c>
      <c r="L157" s="98">
        <f>IF(ISNUMBER(J157), $B172 * K157, "")</f>
        <v>800</v>
      </c>
      <c r="M157" s="99">
        <v>363</v>
      </c>
      <c r="N157" s="97">
        <f>IF(ISNUMBER(M157), (M157 - $B157) / $B157, "")</f>
        <v>-3.2000000000000001E-2</v>
      </c>
      <c r="O157" s="98">
        <f>IF(ISNUMBER(M157), $B172 * N157, "")</f>
        <v>-4800</v>
      </c>
      <c r="Q157" s="161"/>
      <c r="R157" s="161"/>
      <c r="S157" s="161"/>
    </row>
    <row r="158" spans="1:19" ht="17.25" thickBot="1">
      <c r="A158" s="109" t="s">
        <v>66</v>
      </c>
      <c r="B158" s="110">
        <v>739</v>
      </c>
      <c r="C158" s="70">
        <v>-2.6990552999999998E-3</v>
      </c>
      <c r="D158" s="15">
        <v>748</v>
      </c>
      <c r="E158" s="32">
        <f t="shared" ref="E158:E161" si="82">IF(ISNUMBER(D158), (D158 - $B158) / $B158, "")</f>
        <v>1.2178619756427604E-2</v>
      </c>
      <c r="F158" s="18">
        <f>IF(ISNUMBER(D158), $B172 * E158, "")</f>
        <v>1826.7929634641407</v>
      </c>
      <c r="G158" s="31">
        <v>748</v>
      </c>
      <c r="H158" s="32">
        <f t="shared" ref="H158:H161" si="83">IF(ISNUMBER(G158), (G158 - $B158) / $B158, "")</f>
        <v>1.2178619756427604E-2</v>
      </c>
      <c r="I158" s="91">
        <f>IF(ISNUMBER(G158), $B172 * H158, "")</f>
        <v>1826.7929634641407</v>
      </c>
      <c r="J158" s="15">
        <v>748</v>
      </c>
      <c r="K158" s="32">
        <f t="shared" ref="K158:K161" si="84">IF(ISNUMBER(J158), (J158 - $B158) / $B158, "")</f>
        <v>1.2178619756427604E-2</v>
      </c>
      <c r="L158" s="18">
        <f>IF(ISNUMBER(J158), $B172 * K158, "")</f>
        <v>1826.7929634641407</v>
      </c>
      <c r="M158" s="31">
        <v>730</v>
      </c>
      <c r="N158" s="32">
        <f t="shared" ref="N158:N161" si="85">IF(ISNUMBER(M158), (M158 - $B158) / $B158, "")</f>
        <v>-1.2178619756427604E-2</v>
      </c>
      <c r="O158" s="18">
        <f>IF(ISNUMBER(M158), $B172 * N158, "")</f>
        <v>-1826.7929634641407</v>
      </c>
      <c r="Q158" s="161"/>
      <c r="R158" s="161"/>
      <c r="S158" s="161"/>
    </row>
    <row r="159" spans="1:19" ht="17.25" thickBot="1">
      <c r="A159" s="109" t="s">
        <v>157</v>
      </c>
      <c r="B159" s="110">
        <v>165</v>
      </c>
      <c r="C159" s="70">
        <v>-6.0240963999999998E-3</v>
      </c>
      <c r="D159" s="15">
        <v>166</v>
      </c>
      <c r="E159" s="32">
        <f t="shared" si="82"/>
        <v>6.0606060606060606E-3</v>
      </c>
      <c r="F159" s="18">
        <f>IF(ISNUMBER(D159), $B172 * E159, "")</f>
        <v>909.09090909090912</v>
      </c>
      <c r="G159" s="31">
        <v>166</v>
      </c>
      <c r="H159" s="32">
        <f t="shared" si="83"/>
        <v>6.0606060606060606E-3</v>
      </c>
      <c r="I159" s="91">
        <f>IF(ISNUMBER(G159), $B172 * H159, "")</f>
        <v>909.09090909090912</v>
      </c>
      <c r="J159" s="15">
        <v>166</v>
      </c>
      <c r="K159" s="32">
        <f t="shared" si="84"/>
        <v>6.0606060606060606E-3</v>
      </c>
      <c r="L159" s="18">
        <f>IF(ISNUMBER(J159), $B172 * K159, "")</f>
        <v>909.09090909090912</v>
      </c>
      <c r="M159" s="31">
        <v>162</v>
      </c>
      <c r="N159" s="32">
        <f t="shared" si="85"/>
        <v>-1.8181818181818181E-2</v>
      </c>
      <c r="O159" s="18">
        <f>IF(ISNUMBER(M159), $B172 * N159, "")</f>
        <v>-2727.272727272727</v>
      </c>
      <c r="Q159" s="161"/>
      <c r="R159" s="161"/>
      <c r="S159" s="161"/>
    </row>
    <row r="160" spans="1:19" ht="17.25" thickBot="1">
      <c r="A160" s="109" t="s">
        <v>340</v>
      </c>
      <c r="B160" s="110">
        <v>704</v>
      </c>
      <c r="C160" s="70">
        <v>-7.0521862000000003E-3</v>
      </c>
      <c r="D160" s="15">
        <v>706</v>
      </c>
      <c r="E160" s="32">
        <f t="shared" si="82"/>
        <v>2.840909090909091E-3</v>
      </c>
      <c r="F160" s="18">
        <f>IF(ISNUMBER(D160), $B172 * E160, "")</f>
        <v>426.13636363636363</v>
      </c>
      <c r="G160" s="31">
        <v>706</v>
      </c>
      <c r="H160" s="32">
        <f t="shared" si="83"/>
        <v>2.840909090909091E-3</v>
      </c>
      <c r="I160" s="91">
        <f>IF(ISNUMBER(G160), $B172 * H160, "")</f>
        <v>426.13636363636363</v>
      </c>
      <c r="J160" s="15">
        <v>706</v>
      </c>
      <c r="K160" s="32">
        <f t="shared" si="84"/>
        <v>2.840909090909091E-3</v>
      </c>
      <c r="L160" s="18">
        <f>IF(ISNUMBER(J160), $B172 * K160, "")</f>
        <v>426.13636363636363</v>
      </c>
      <c r="M160" s="31">
        <v>680</v>
      </c>
      <c r="N160" s="32">
        <f t="shared" si="85"/>
        <v>-3.4090909090909088E-2</v>
      </c>
      <c r="O160" s="18">
        <f>IF(ISNUMBER(M160), $B172 * N160, "")</f>
        <v>-5113.6363636363631</v>
      </c>
      <c r="Q160" s="33"/>
      <c r="R160" s="33"/>
    </row>
    <row r="161" spans="1:19" ht="17.25" thickBot="1">
      <c r="A161" s="114" t="s">
        <v>342</v>
      </c>
      <c r="B161" s="115">
        <v>137</v>
      </c>
      <c r="C161" s="72">
        <v>-7.2463768E-3</v>
      </c>
      <c r="D161" s="24">
        <v>138</v>
      </c>
      <c r="E161" s="25">
        <f t="shared" si="82"/>
        <v>7.2992700729927005E-3</v>
      </c>
      <c r="F161" s="94">
        <f>IF(ISNUMBER(D161), $B172 * E161, "")</f>
        <v>1094.8905109489051</v>
      </c>
      <c r="G161" s="92">
        <v>138</v>
      </c>
      <c r="H161" s="25">
        <f t="shared" si="83"/>
        <v>7.2992700729927005E-3</v>
      </c>
      <c r="I161" s="93">
        <f>IF(ISNUMBER(G161), $B172 * H161, "")</f>
        <v>1094.8905109489051</v>
      </c>
      <c r="J161" s="24">
        <v>138</v>
      </c>
      <c r="K161" s="25">
        <f t="shared" si="84"/>
        <v>7.2992700729927005E-3</v>
      </c>
      <c r="L161" s="94">
        <f>IF(ISNUMBER(J161), $B172 * K161, "")</f>
        <v>1094.8905109489051</v>
      </c>
      <c r="M161" s="92">
        <v>136</v>
      </c>
      <c r="N161" s="25">
        <f t="shared" si="85"/>
        <v>-7.2992700729927005E-3</v>
      </c>
      <c r="O161" s="94">
        <f>IF(ISNUMBER(M161), $B172 * N161, "")</f>
        <v>-1094.8905109489051</v>
      </c>
      <c r="Q161" s="170"/>
      <c r="R161" s="171"/>
      <c r="S161" s="172"/>
    </row>
    <row r="162" spans="1:19">
      <c r="A162" s="107" t="s">
        <v>187</v>
      </c>
      <c r="B162" s="108">
        <v>773</v>
      </c>
      <c r="C162" s="69">
        <v>-7.7021822999999998E-3</v>
      </c>
      <c r="D162" s="13">
        <v>785</v>
      </c>
      <c r="E162" s="14">
        <f>IF(ISNUMBER(D162), (D162 - $B162) / $B162, "")</f>
        <v>1.5523932729624839E-2</v>
      </c>
      <c r="F162" s="16">
        <f>IF(ISNUMBER(D162), $B172 * E162, "")</f>
        <v>2328.5899094437259</v>
      </c>
      <c r="G162" s="29">
        <v>785</v>
      </c>
      <c r="H162" s="14">
        <f>IF(ISNUMBER(G162), (G162 - $B162) / $B162, "")</f>
        <v>1.5523932729624839E-2</v>
      </c>
      <c r="I162" s="90">
        <f>IF(ISNUMBER(G162), $B172 * H162, "")</f>
        <v>2328.5899094437259</v>
      </c>
      <c r="J162" s="13">
        <v>785</v>
      </c>
      <c r="K162" s="14">
        <f>IF(ISNUMBER(J162), (J162 - $B162) / $B162, "")</f>
        <v>1.5523932729624839E-2</v>
      </c>
      <c r="L162" s="16">
        <f>IF(ISNUMBER(J162), $B172 * K162, "")</f>
        <v>2328.5899094437259</v>
      </c>
      <c r="M162" s="29">
        <v>770</v>
      </c>
      <c r="N162" s="14">
        <f>IF(ISNUMBER(M162), (M162 - $B162) / $B162, "")</f>
        <v>-3.8809831824062097E-3</v>
      </c>
      <c r="O162" s="16">
        <f>IF(ISNUMBER(M162), $B172 * N162, "")</f>
        <v>-582.14747736093148</v>
      </c>
      <c r="Q162" s="173"/>
      <c r="R162" s="174"/>
      <c r="S162" s="175"/>
    </row>
    <row r="163" spans="1:19" ht="17.25" thickBot="1">
      <c r="A163" s="109" t="s">
        <v>51</v>
      </c>
      <c r="B163" s="110">
        <v>120</v>
      </c>
      <c r="C163" s="70">
        <v>-8.2644628000000005E-3</v>
      </c>
      <c r="D163" s="15">
        <v>121</v>
      </c>
      <c r="E163" s="32">
        <f t="shared" ref="E163:E166" si="86">IF(ISNUMBER(D163), (D163 - $B163) / $B163, "")</f>
        <v>8.3333333333333332E-3</v>
      </c>
      <c r="F163" s="18">
        <f>IF(ISNUMBER(D163), $B172 * E163, "")</f>
        <v>1250</v>
      </c>
      <c r="G163" s="31">
        <v>121</v>
      </c>
      <c r="H163" s="32">
        <f t="shared" ref="H163:H166" si="87">IF(ISNUMBER(G163), (G163 - $B163) / $B163, "")</f>
        <v>8.3333333333333332E-3</v>
      </c>
      <c r="I163" s="91">
        <f>IF(ISNUMBER(G163), $B172 * H163, "")</f>
        <v>1250</v>
      </c>
      <c r="J163" s="15">
        <v>121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117</v>
      </c>
      <c r="N163" s="32">
        <f t="shared" ref="N163:N166" si="89">IF(ISNUMBER(M163), (M163 - $B163) / $B163, "")</f>
        <v>-2.5000000000000001E-2</v>
      </c>
      <c r="O163" s="18">
        <f>IF(ISNUMBER(M163), $B172 * N163, "")</f>
        <v>-3750</v>
      </c>
      <c r="Q163" s="176"/>
      <c r="R163" s="177"/>
      <c r="S163" s="178"/>
    </row>
    <row r="164" spans="1:19" ht="17.25" thickBot="1">
      <c r="A164" s="109" t="s">
        <v>242</v>
      </c>
      <c r="B164" s="110">
        <v>480</v>
      </c>
      <c r="C164" s="70">
        <v>-8.2644628000000005E-3</v>
      </c>
      <c r="D164" s="15">
        <v>484</v>
      </c>
      <c r="E164" s="32">
        <f t="shared" si="86"/>
        <v>8.3333333333333332E-3</v>
      </c>
      <c r="F164" s="18">
        <f>IF(ISNUMBER(D164), $B172 * E164, "")</f>
        <v>1250</v>
      </c>
      <c r="G164" s="31">
        <v>484</v>
      </c>
      <c r="H164" s="32">
        <f t="shared" si="87"/>
        <v>8.3333333333333332E-3</v>
      </c>
      <c r="I164" s="91">
        <f>IF(ISNUMBER(G164), $B172 * H164, "")</f>
        <v>1250</v>
      </c>
      <c r="J164" s="15">
        <v>484</v>
      </c>
      <c r="K164" s="32">
        <f t="shared" si="88"/>
        <v>8.3333333333333332E-3</v>
      </c>
      <c r="L164" s="18">
        <f>IF(ISNUMBER(J164), $B172 * K164, "")</f>
        <v>1250</v>
      </c>
      <c r="M164" s="31">
        <v>476</v>
      </c>
      <c r="N164" s="32">
        <f t="shared" si="89"/>
        <v>-8.3333333333333332E-3</v>
      </c>
      <c r="O164" s="18">
        <f>IF(ISNUMBER(M164), $B172 * N164, "")</f>
        <v>-1250</v>
      </c>
      <c r="Q164" s="161"/>
      <c r="R164" s="161"/>
      <c r="S164" s="161"/>
    </row>
    <row r="165" spans="1:19" ht="17.25" thickBot="1">
      <c r="A165" s="109" t="s">
        <v>161</v>
      </c>
      <c r="B165" s="110">
        <v>339</v>
      </c>
      <c r="C165" s="70">
        <v>-8.7719297999999998E-3</v>
      </c>
      <c r="D165" s="15">
        <v>339</v>
      </c>
      <c r="E165" s="32">
        <f t="shared" si="86"/>
        <v>0</v>
      </c>
      <c r="F165" s="18">
        <f>IF(ISNUMBER(D165), $B172 * E165, "")</f>
        <v>0</v>
      </c>
      <c r="G165" s="31">
        <v>339</v>
      </c>
      <c r="H165" s="32">
        <f t="shared" si="87"/>
        <v>0</v>
      </c>
      <c r="I165" s="91">
        <f>IF(ISNUMBER(G165), $B172 * H165, "")</f>
        <v>0</v>
      </c>
      <c r="J165" s="15">
        <v>339</v>
      </c>
      <c r="K165" s="32">
        <f t="shared" si="88"/>
        <v>0</v>
      </c>
      <c r="L165" s="18">
        <f>IF(ISNUMBER(J165), $B172 * K165, "")</f>
        <v>0</v>
      </c>
      <c r="M165" s="31">
        <v>330</v>
      </c>
      <c r="N165" s="32">
        <f t="shared" si="89"/>
        <v>-2.6548672566371681E-2</v>
      </c>
      <c r="O165" s="18">
        <f>IF(ISNUMBER(M165), $B172 * N165, "")</f>
        <v>-3982.3008849557523</v>
      </c>
      <c r="Q165" s="156"/>
      <c r="R165" s="156"/>
      <c r="S165" s="156"/>
    </row>
    <row r="166" spans="1:19" ht="17.25" thickBot="1">
      <c r="A166" s="111" t="s">
        <v>176</v>
      </c>
      <c r="B166" s="112">
        <v>349</v>
      </c>
      <c r="C166" s="71">
        <v>-1.13314448E-2</v>
      </c>
      <c r="D166" s="20">
        <v>352</v>
      </c>
      <c r="E166" s="21">
        <f t="shared" si="86"/>
        <v>8.5959885386819486E-3</v>
      </c>
      <c r="F166" s="22">
        <f>IF(ISNUMBER(D166), $B172 * E166, "")</f>
        <v>1289.3982808022922</v>
      </c>
      <c r="G166" s="30">
        <v>352</v>
      </c>
      <c r="H166" s="21">
        <f t="shared" si="87"/>
        <v>8.5959885386819486E-3</v>
      </c>
      <c r="I166" s="95">
        <f>IF(ISNUMBER(G166), $B172 * H166, "")</f>
        <v>1289.3982808022922</v>
      </c>
      <c r="J166" s="20">
        <v>352</v>
      </c>
      <c r="K166" s="21">
        <f t="shared" si="88"/>
        <v>8.5959885386819486E-3</v>
      </c>
      <c r="L166" s="22">
        <f>IF(ISNUMBER(J166), $B172 * K166, "")</f>
        <v>1289.3982808022922</v>
      </c>
      <c r="M166" s="30">
        <v>344</v>
      </c>
      <c r="N166" s="21">
        <f t="shared" si="89"/>
        <v>-1.4326647564469915E-2</v>
      </c>
      <c r="O166" s="22">
        <f>IF(ISNUMBER(M166), $B172 * N166, "")</f>
        <v>-2148.9971346704874</v>
      </c>
      <c r="Q166" s="156"/>
      <c r="R166" s="156"/>
      <c r="S166" s="156"/>
    </row>
    <row r="167" spans="1:19" ht="17.25" thickBot="1">
      <c r="A167" s="109" t="s">
        <v>346</v>
      </c>
      <c r="B167" s="113">
        <v>534</v>
      </c>
      <c r="C167" s="73">
        <v>-1.2939001800000001E-2</v>
      </c>
      <c r="D167" s="96">
        <v>535</v>
      </c>
      <c r="E167" s="97">
        <f>IF(ISNUMBER(D167), (D167 - $B167) / $B167, "")</f>
        <v>1.8726591760299626E-3</v>
      </c>
      <c r="F167" s="98">
        <f>IF(ISNUMBER(D167), $B172 * E167, "")</f>
        <v>280.89887640449439</v>
      </c>
      <c r="G167" s="99">
        <v>535</v>
      </c>
      <c r="H167" s="97">
        <f>IF(ISNUMBER(G167), (G167 - $B167) / $B167, "")</f>
        <v>1.8726591760299626E-3</v>
      </c>
      <c r="I167" s="100">
        <f>IF(ISNUMBER(G167), $B172 * H167, "")</f>
        <v>280.89887640449439</v>
      </c>
      <c r="J167" s="96">
        <v>535</v>
      </c>
      <c r="K167" s="97">
        <f>IF(ISNUMBER(J167), (J167 - $B167) / $B167, "")</f>
        <v>1.8726591760299626E-3</v>
      </c>
      <c r="L167" s="98">
        <f>IF(ISNUMBER(J167), $B172 * K167, "")</f>
        <v>280.89887640449439</v>
      </c>
      <c r="M167" s="99">
        <v>524</v>
      </c>
      <c r="N167" s="97">
        <f>IF(ISNUMBER(M167), (M167 - $B167) / $B167, "")</f>
        <v>-1.8726591760299626E-2</v>
      </c>
      <c r="O167" s="98">
        <f>IF(ISNUMBER(M167), $B172 * N167, "")</f>
        <v>-2808.9887640449438</v>
      </c>
      <c r="Q167" s="161"/>
      <c r="R167" s="161"/>
      <c r="S167" s="161"/>
    </row>
    <row r="168" spans="1:19" ht="17.25" thickBot="1">
      <c r="A168" s="109" t="s">
        <v>85</v>
      </c>
      <c r="B168" s="110">
        <v>221</v>
      </c>
      <c r="C168" s="70">
        <v>-1.3392857100000001E-2</v>
      </c>
      <c r="D168" s="15">
        <v>220</v>
      </c>
      <c r="E168" s="32">
        <f t="shared" ref="E168:E171" si="90">IF(ISNUMBER(D168), (D168 - $B168) / $B168, "")</f>
        <v>-4.5248868778280547E-3</v>
      </c>
      <c r="F168" s="18">
        <f>IF(ISNUMBER(D168), $B172 * E168, "")</f>
        <v>-678.73303167420818</v>
      </c>
      <c r="G168" s="31">
        <v>220</v>
      </c>
      <c r="H168" s="32">
        <f t="shared" ref="H168:H171" si="91">IF(ISNUMBER(G168), (G168 - $B168) / $B168, "")</f>
        <v>-4.5248868778280547E-3</v>
      </c>
      <c r="I168" s="91">
        <f>IF(ISNUMBER(G168), $B172 * H168, "")</f>
        <v>-678.73303167420818</v>
      </c>
      <c r="J168" s="15">
        <v>220</v>
      </c>
      <c r="K168" s="32">
        <f t="shared" ref="K168:K171" si="92">IF(ISNUMBER(J168), (J168 - $B168) / $B168, "")</f>
        <v>-4.5248868778280547E-3</v>
      </c>
      <c r="L168" s="18">
        <f>IF(ISNUMBER(J168), $B172 * K168, "")</f>
        <v>-678.73303167420818</v>
      </c>
      <c r="M168" s="31">
        <v>213</v>
      </c>
      <c r="N168" s="32">
        <f t="shared" ref="N168:N171" si="93">IF(ISNUMBER(M168), (M168 - $B168) / $B168, "")</f>
        <v>-3.6199095022624438E-2</v>
      </c>
      <c r="O168" s="18">
        <f>IF(ISNUMBER(M168), $B172 * N168, "")</f>
        <v>-5429.8642533936654</v>
      </c>
      <c r="Q168" s="161"/>
      <c r="R168" s="161"/>
      <c r="S168" s="161"/>
    </row>
    <row r="169" spans="1:19" ht="17.25" thickBot="1">
      <c r="A169" s="109" t="s">
        <v>218</v>
      </c>
      <c r="B169" s="110">
        <v>355</v>
      </c>
      <c r="C169" s="70">
        <v>-1.6620498599999999E-2</v>
      </c>
      <c r="D169" s="15">
        <v>361</v>
      </c>
      <c r="E169" s="32">
        <f t="shared" si="90"/>
        <v>1.6901408450704224E-2</v>
      </c>
      <c r="F169" s="18">
        <f>IF(ISNUMBER(D169), $B172 * E169, "")</f>
        <v>2535.2112676056336</v>
      </c>
      <c r="G169" s="31">
        <v>361</v>
      </c>
      <c r="H169" s="32">
        <f t="shared" si="91"/>
        <v>1.6901408450704224E-2</v>
      </c>
      <c r="I169" s="91">
        <f>IF(ISNUMBER(G169), $B172 * H169, "")</f>
        <v>2535.2112676056336</v>
      </c>
      <c r="J169" s="15">
        <v>361</v>
      </c>
      <c r="K169" s="32">
        <f t="shared" si="92"/>
        <v>1.6901408450704224E-2</v>
      </c>
      <c r="L169" s="18">
        <f>IF(ISNUMBER(J169), $B172 * K169, "")</f>
        <v>2535.2112676056336</v>
      </c>
      <c r="M169" s="31">
        <v>354</v>
      </c>
      <c r="N169" s="32">
        <f t="shared" si="93"/>
        <v>-2.8169014084507044E-3</v>
      </c>
      <c r="O169" s="18">
        <f>IF(ISNUMBER(M169), $B172 * N169, "")</f>
        <v>-422.53521126760563</v>
      </c>
      <c r="Q169" s="161"/>
      <c r="R169" s="161"/>
      <c r="S169" s="161"/>
    </row>
    <row r="170" spans="1:19">
      <c r="A170" s="109" t="s">
        <v>347</v>
      </c>
      <c r="B170" s="110">
        <v>637</v>
      </c>
      <c r="C170" s="70">
        <v>-3.0441400300000001E-2</v>
      </c>
      <c r="D170" s="15">
        <v>672</v>
      </c>
      <c r="E170" s="32">
        <f t="shared" si="90"/>
        <v>5.4945054945054944E-2</v>
      </c>
      <c r="F170" s="18">
        <f>IF(ISNUMBER(D170), $B172 * E170, "")</f>
        <v>8241.7582417582416</v>
      </c>
      <c r="G170" s="31">
        <v>672</v>
      </c>
      <c r="H170" s="32">
        <f t="shared" si="91"/>
        <v>5.4945054945054944E-2</v>
      </c>
      <c r="I170" s="91">
        <f>IF(ISNUMBER(G170), $B172 * H170, "")</f>
        <v>8241.7582417582416</v>
      </c>
      <c r="J170" s="15">
        <v>672</v>
      </c>
      <c r="K170" s="32">
        <f t="shared" si="92"/>
        <v>5.4945054945054944E-2</v>
      </c>
      <c r="L170" s="18">
        <f>IF(ISNUMBER(J170), $B172 * K170, "")</f>
        <v>8241.7582417582416</v>
      </c>
      <c r="M170" s="31">
        <v>659</v>
      </c>
      <c r="N170" s="32">
        <f t="shared" si="93"/>
        <v>3.453689167974882E-2</v>
      </c>
      <c r="O170" s="18">
        <f>IF(ISNUMBER(M170), $B172 * N170, "")</f>
        <v>5180.5337519623226</v>
      </c>
      <c r="Q170" s="183"/>
      <c r="R170" s="184"/>
      <c r="S170" s="185"/>
    </row>
    <row r="171" spans="1:19" ht="17.25" thickBot="1">
      <c r="A171" s="114" t="s">
        <v>349</v>
      </c>
      <c r="B171" s="115">
        <v>802</v>
      </c>
      <c r="C171" s="72">
        <v>-4.9763033200000001E-2</v>
      </c>
      <c r="D171" s="24">
        <v>793</v>
      </c>
      <c r="E171" s="25">
        <f t="shared" si="90"/>
        <v>-1.1221945137157107E-2</v>
      </c>
      <c r="F171" s="94">
        <f>IF(ISNUMBER(D171), $B172 * E171, "")</f>
        <v>-1683.2917705735661</v>
      </c>
      <c r="G171" s="92">
        <v>793</v>
      </c>
      <c r="H171" s="25">
        <f t="shared" si="91"/>
        <v>-1.1221945137157107E-2</v>
      </c>
      <c r="I171" s="93">
        <f>IF(ISNUMBER(G171), $B172 * H171, "")</f>
        <v>-1683.2917705735661</v>
      </c>
      <c r="J171" s="24">
        <v>793</v>
      </c>
      <c r="K171" s="25">
        <f t="shared" si="92"/>
        <v>-1.1221945137157107E-2</v>
      </c>
      <c r="L171" s="94">
        <f>IF(ISNUMBER(J171), $B172 * K171, "")</f>
        <v>-1683.2917705735661</v>
      </c>
      <c r="M171" s="92">
        <v>777</v>
      </c>
      <c r="N171" s="25">
        <f t="shared" si="93"/>
        <v>-3.117206982543641E-2</v>
      </c>
      <c r="O171" s="94">
        <f>IF(ISNUMBER(M171), $B172 * N171, "")</f>
        <v>-4675.8104738154616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1.2681829642373854E-2</v>
      </c>
      <c r="F172" s="28">
        <f>SUM(F152:F171)</f>
        <v>38045.488927121572</v>
      </c>
      <c r="G172" s="26" t="s">
        <v>261</v>
      </c>
      <c r="H172" s="27">
        <f>IF(COUNT(H152:H171), SUM(H152:H171) / COUNT(H152:H171), 0)</f>
        <v>1.2681829642373854E-2</v>
      </c>
      <c r="I172" s="28">
        <f>SUM(I152:I171)</f>
        <v>38045.488927121572</v>
      </c>
      <c r="J172" s="26" t="s">
        <v>261</v>
      </c>
      <c r="K172" s="27">
        <f>IF(COUNT(K152:K171), SUM(K152:K171) / COUNT(K152:K171), 0)</f>
        <v>1.2681829642373854E-2</v>
      </c>
      <c r="L172" s="28">
        <f>SUM(L152:L171)</f>
        <v>38045.488927121572</v>
      </c>
      <c r="M172" s="26" t="s">
        <v>261</v>
      </c>
      <c r="N172" s="27">
        <f>IF(COUNT(N152:N171), SUM(N152:N171) / COUNT(N152:N171), 0)</f>
        <v>-1.3305311900910463E-2</v>
      </c>
      <c r="O172" s="28">
        <f>SUM(O152:O171)</f>
        <v>-39915.935702731396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2022-12-01(목) 오전 00:00</v>
      </c>
      <c r="C177" s="199"/>
      <c r="D177" s="158" t="str">
        <f>TEXT($G$1, "[$-ko-KR]yyyy-mm-dd(ddd) ") &amp; "오후 14:00"</f>
        <v>2022-12-01(목) 오후 14:00</v>
      </c>
      <c r="E177" s="159"/>
      <c r="F177" s="160"/>
      <c r="G177" s="158" t="str">
        <f>TEXT($G$1, "[$-ko-KR]yyyy-mm-dd(ddd) ") &amp; "오후 19:00"</f>
        <v>2022-12-01(목) 오후 19:00</v>
      </c>
      <c r="H177" s="159"/>
      <c r="I177" s="160"/>
      <c r="J177" s="158" t="str">
        <f>TEXT($G$1, "[$-ko-KR]yyyy-mm-dd(ddd) ") &amp; "오후 21:00"</f>
        <v>2022-12-01(목) 오후 21:00</v>
      </c>
      <c r="K177" s="159"/>
      <c r="L177" s="160"/>
      <c r="M177" s="158" t="str">
        <f>TEXT($G$1+1, "[$-ko-KR]yyyy-mm-dd(ddd) ") &amp; "오전 00:00"</f>
        <v>2022-12-02(금)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161</v>
      </c>
      <c r="B179" s="108">
        <v>339</v>
      </c>
      <c r="C179" s="69">
        <v>-8.7719297999999998E-3</v>
      </c>
      <c r="D179" s="13">
        <v>339</v>
      </c>
      <c r="E179" s="14">
        <f>IF(ISNUMBER(D179), (D179 - $B179) / $B179, "")</f>
        <v>0</v>
      </c>
      <c r="F179" s="16">
        <f>IF(ISNUMBER(D179), $B199 * E179, "")</f>
        <v>0</v>
      </c>
      <c r="G179" s="29">
        <v>339</v>
      </c>
      <c r="H179" s="14">
        <f>IF(ISNUMBER(G179), (G179 - $B179) / $B179, "")</f>
        <v>0</v>
      </c>
      <c r="I179" s="90">
        <f>IF(ISNUMBER(G179), $B199 * H179, "")</f>
        <v>0</v>
      </c>
      <c r="J179" s="13">
        <v>339</v>
      </c>
      <c r="K179" s="14">
        <f>IF(ISNUMBER(J179), (J179 - $B179) / $B179, "")</f>
        <v>0</v>
      </c>
      <c r="L179" s="16">
        <f>IF(ISNUMBER(J179), $B199 * K179, "")</f>
        <v>0</v>
      </c>
      <c r="M179" s="29">
        <v>330</v>
      </c>
      <c r="N179" s="14">
        <f>IF(ISNUMBER(M179), (M179 - $B179) / $B179, "")</f>
        <v>-2.6548672566371681E-2</v>
      </c>
      <c r="O179" s="16">
        <f>IF(ISNUMBER(M179), $B199 * N179, "")</f>
        <v>-3982.3008849557523</v>
      </c>
      <c r="Q179" s="156"/>
      <c r="R179" s="156"/>
      <c r="S179" s="156"/>
    </row>
    <row r="180" spans="1:19" ht="17.25" thickBot="1">
      <c r="A180" s="109" t="s">
        <v>236</v>
      </c>
      <c r="B180" s="110">
        <v>2810</v>
      </c>
      <c r="C180" s="70">
        <v>-8.8183422000000008E-3</v>
      </c>
      <c r="D180" s="15">
        <v>2835</v>
      </c>
      <c r="E180" s="32">
        <f t="shared" ref="E180:E183" si="94">IF(ISNUMBER(D180), (D180 - $B180) / $B180, "")</f>
        <v>8.8967971530249119E-3</v>
      </c>
      <c r="F180" s="18">
        <f>IF(ISNUMBER(D180), $B199 * E180, "")</f>
        <v>1334.5195729537368</v>
      </c>
      <c r="G180" s="31">
        <v>2835</v>
      </c>
      <c r="H180" s="32">
        <f t="shared" ref="H180:H183" si="95">IF(ISNUMBER(G180), (G180 - $B180) / $B180, "")</f>
        <v>8.8967971530249119E-3</v>
      </c>
      <c r="I180" s="91">
        <f>IF(ISNUMBER(G180), $B199 * H180, "")</f>
        <v>1334.5195729537368</v>
      </c>
      <c r="J180" s="15">
        <v>2835</v>
      </c>
      <c r="K180" s="32">
        <f t="shared" ref="K180:K183" si="96">IF(ISNUMBER(J180), (J180 - $B180) / $B180, "")</f>
        <v>8.8967971530249119E-3</v>
      </c>
      <c r="L180" s="18">
        <f>IF(ISNUMBER(J180), $B199 * K180, "")</f>
        <v>1334.5195729537368</v>
      </c>
      <c r="M180" s="31">
        <v>2805</v>
      </c>
      <c r="N180" s="32">
        <f t="shared" ref="N180:N183" si="97">IF(ISNUMBER(M180), (M180 - $B180) / $B180, "")</f>
        <v>-1.7793594306049821E-3</v>
      </c>
      <c r="O180" s="18">
        <f>IF(ISNUMBER(M180), $B199 * N180, "")</f>
        <v>-266.90391459074732</v>
      </c>
      <c r="Q180" s="156"/>
      <c r="R180" s="156"/>
      <c r="S180" s="156"/>
    </row>
    <row r="181" spans="1:19" ht="17.25" thickBot="1">
      <c r="A181" s="109" t="s">
        <v>344</v>
      </c>
      <c r="B181" s="110">
        <v>6315</v>
      </c>
      <c r="C181" s="70">
        <v>-1.01880878E-2</v>
      </c>
      <c r="D181" s="15">
        <v>6405</v>
      </c>
      <c r="E181" s="32">
        <f t="shared" si="94"/>
        <v>1.4251781472684086E-2</v>
      </c>
      <c r="F181" s="18">
        <f>IF(ISNUMBER(D181), $B199 * E181, "")</f>
        <v>2137.7672209026127</v>
      </c>
      <c r="G181" s="31">
        <v>6405</v>
      </c>
      <c r="H181" s="32">
        <f t="shared" si="95"/>
        <v>1.4251781472684086E-2</v>
      </c>
      <c r="I181" s="91">
        <f>IF(ISNUMBER(G181), $B199 * H181, "")</f>
        <v>2137.7672209026127</v>
      </c>
      <c r="J181" s="15">
        <v>6405</v>
      </c>
      <c r="K181" s="32">
        <f t="shared" si="96"/>
        <v>1.4251781472684086E-2</v>
      </c>
      <c r="L181" s="18">
        <f>IF(ISNUMBER(J181), $B199 * K181, "")</f>
        <v>2137.7672209026127</v>
      </c>
      <c r="M181" s="31">
        <v>6210</v>
      </c>
      <c r="N181" s="32">
        <f t="shared" si="97"/>
        <v>-1.66270783847981E-2</v>
      </c>
      <c r="O181" s="18">
        <f>IF(ISNUMBER(M181), $B199 * N181, "")</f>
        <v>-2494.0617577197149</v>
      </c>
      <c r="Q181" s="161"/>
      <c r="R181" s="161"/>
      <c r="S181" s="161"/>
    </row>
    <row r="182" spans="1:19" ht="17.25" thickBot="1">
      <c r="A182" s="109" t="s">
        <v>176</v>
      </c>
      <c r="B182" s="110">
        <v>349</v>
      </c>
      <c r="C182" s="70">
        <v>-1.13314448E-2</v>
      </c>
      <c r="D182" s="15">
        <v>352</v>
      </c>
      <c r="E182" s="32">
        <f t="shared" si="94"/>
        <v>8.5959885386819486E-3</v>
      </c>
      <c r="F182" s="18">
        <f>IF(ISNUMBER(D182), $B199 * E182, "")</f>
        <v>1289.3982808022922</v>
      </c>
      <c r="G182" s="31">
        <v>352</v>
      </c>
      <c r="H182" s="32">
        <f t="shared" si="95"/>
        <v>8.5959885386819486E-3</v>
      </c>
      <c r="I182" s="91">
        <f>IF(ISNUMBER(G182), $B199 * H182, "")</f>
        <v>1289.3982808022922</v>
      </c>
      <c r="J182" s="15">
        <v>352</v>
      </c>
      <c r="K182" s="32">
        <f t="shared" si="96"/>
        <v>8.5959885386819486E-3</v>
      </c>
      <c r="L182" s="18">
        <f>IF(ISNUMBER(J182), $B199 * K182, "")</f>
        <v>1289.3982808022922</v>
      </c>
      <c r="M182" s="31">
        <v>344</v>
      </c>
      <c r="N182" s="32">
        <f t="shared" si="97"/>
        <v>-1.4326647564469915E-2</v>
      </c>
      <c r="O182" s="18">
        <f>IF(ISNUMBER(M182), $B199 * N182, "")</f>
        <v>-2148.9971346704874</v>
      </c>
      <c r="Q182" s="161"/>
      <c r="R182" s="161"/>
      <c r="S182" s="161"/>
    </row>
    <row r="183" spans="1:19" ht="17.25" thickBot="1">
      <c r="A183" s="111" t="s">
        <v>346</v>
      </c>
      <c r="B183" s="112">
        <v>534</v>
      </c>
      <c r="C183" s="71">
        <v>-1.2939001800000001E-2</v>
      </c>
      <c r="D183" s="20">
        <v>535</v>
      </c>
      <c r="E183" s="21">
        <f t="shared" si="94"/>
        <v>1.8726591760299626E-3</v>
      </c>
      <c r="F183" s="22">
        <f>IF(ISNUMBER(D183), $B199 * E183, "")</f>
        <v>280.89887640449439</v>
      </c>
      <c r="G183" s="30">
        <v>535</v>
      </c>
      <c r="H183" s="21">
        <f t="shared" si="95"/>
        <v>1.8726591760299626E-3</v>
      </c>
      <c r="I183" s="95">
        <f>IF(ISNUMBER(G183), $B199 * H183, "")</f>
        <v>280.89887640449439</v>
      </c>
      <c r="J183" s="20">
        <v>535</v>
      </c>
      <c r="K183" s="21">
        <f t="shared" si="96"/>
        <v>1.8726591760299626E-3</v>
      </c>
      <c r="L183" s="22">
        <f>IF(ISNUMBER(J183), $B199 * K183, "")</f>
        <v>280.89887640449439</v>
      </c>
      <c r="M183" s="30">
        <v>524</v>
      </c>
      <c r="N183" s="21">
        <f t="shared" si="97"/>
        <v>-1.8726591760299626E-2</v>
      </c>
      <c r="O183" s="22">
        <f>IF(ISNUMBER(M183), $B199 * N183, "")</f>
        <v>-2808.9887640449438</v>
      </c>
      <c r="Q183" s="161"/>
      <c r="R183" s="161"/>
      <c r="S183" s="161"/>
    </row>
    <row r="184" spans="1:19" ht="17.25" thickBot="1">
      <c r="A184" s="109" t="s">
        <v>224</v>
      </c>
      <c r="B184" s="113">
        <v>22.3</v>
      </c>
      <c r="C184" s="73">
        <v>-1.32743363E-2</v>
      </c>
      <c r="D184" s="96">
        <v>22.6</v>
      </c>
      <c r="E184" s="97">
        <f>IF(ISNUMBER(D184), (D184 - $B184) / $B184, "")</f>
        <v>1.345291479820631E-2</v>
      </c>
      <c r="F184" s="98">
        <f>IF(ISNUMBER(D184), $B199 * E184, "")</f>
        <v>2017.9372197309465</v>
      </c>
      <c r="G184" s="99">
        <v>22.6</v>
      </c>
      <c r="H184" s="97">
        <f>IF(ISNUMBER(G184), (G184 - $B184) / $B184, "")</f>
        <v>1.345291479820631E-2</v>
      </c>
      <c r="I184" s="100">
        <f>IF(ISNUMBER(G184), $B199 * H184, "")</f>
        <v>2017.9372197309465</v>
      </c>
      <c r="J184" s="96">
        <v>22.6</v>
      </c>
      <c r="K184" s="97">
        <f>IF(ISNUMBER(J184), (J184 - $B184) / $B184, "")</f>
        <v>1.345291479820631E-2</v>
      </c>
      <c r="L184" s="98">
        <f>IF(ISNUMBER(J184), $B199 * K184, "")</f>
        <v>2017.9372197309465</v>
      </c>
      <c r="M184" s="99">
        <v>22.2</v>
      </c>
      <c r="N184" s="97">
        <f>IF(ISNUMBER(M184), (M184 - $B184) / $B184, "")</f>
        <v>-4.4843049327354893E-3</v>
      </c>
      <c r="O184" s="98">
        <f>IF(ISNUMBER(M184), $B199 * N184, "")</f>
        <v>-672.64573991032341</v>
      </c>
      <c r="Q184" s="161"/>
      <c r="R184" s="161"/>
      <c r="S184" s="161"/>
    </row>
    <row r="185" spans="1:19" ht="17.25" thickBot="1">
      <c r="A185" s="109" t="s">
        <v>85</v>
      </c>
      <c r="B185" s="110">
        <v>221</v>
      </c>
      <c r="C185" s="70">
        <v>-1.3392857100000001E-2</v>
      </c>
      <c r="D185" s="15">
        <v>220</v>
      </c>
      <c r="E185" s="32">
        <f t="shared" ref="E185:E188" si="98">IF(ISNUMBER(D185), (D185 - $B185) / $B185, "")</f>
        <v>-4.5248868778280547E-3</v>
      </c>
      <c r="F185" s="18">
        <f>IF(ISNUMBER(D185), $B199 * E185, "")</f>
        <v>-678.73303167420818</v>
      </c>
      <c r="G185" s="31">
        <v>220</v>
      </c>
      <c r="H185" s="32">
        <f t="shared" ref="H185:H188" si="99">IF(ISNUMBER(G185), (G185 - $B185) / $B185, "")</f>
        <v>-4.5248868778280547E-3</v>
      </c>
      <c r="I185" s="91">
        <f>IF(ISNUMBER(G185), $B199 * H185, "")</f>
        <v>-678.73303167420818</v>
      </c>
      <c r="J185" s="15">
        <v>220</v>
      </c>
      <c r="K185" s="32">
        <f t="shared" ref="K185:K188" si="100">IF(ISNUMBER(J185), (J185 - $B185) / $B185, "")</f>
        <v>-4.5248868778280547E-3</v>
      </c>
      <c r="L185" s="18">
        <f>IF(ISNUMBER(J185), $B199 * K185, "")</f>
        <v>-678.73303167420818</v>
      </c>
      <c r="M185" s="31">
        <v>213</v>
      </c>
      <c r="N185" s="32">
        <f t="shared" ref="N185:N188" si="101">IF(ISNUMBER(M185), (M185 - $B185) / $B185, "")</f>
        <v>-3.6199095022624438E-2</v>
      </c>
      <c r="O185" s="18">
        <f>IF(ISNUMBER(M185), $B199 * N185, "")</f>
        <v>-5429.8642533936654</v>
      </c>
      <c r="Q185" s="161"/>
      <c r="R185" s="161"/>
      <c r="S185" s="161"/>
    </row>
    <row r="186" spans="1:19" ht="17.25" thickBot="1">
      <c r="A186" s="109" t="s">
        <v>200</v>
      </c>
      <c r="B186" s="110">
        <v>6.71</v>
      </c>
      <c r="C186" s="70">
        <v>-1.4684287799999999E-2</v>
      </c>
      <c r="D186" s="15">
        <v>6.82</v>
      </c>
      <c r="E186" s="32">
        <f t="shared" si="98"/>
        <v>1.6393442622950869E-2</v>
      </c>
      <c r="F186" s="18">
        <f>IF(ISNUMBER(D186), $B199 * E186, "")</f>
        <v>2459.0163934426305</v>
      </c>
      <c r="G186" s="31">
        <v>6.82</v>
      </c>
      <c r="H186" s="32">
        <f t="shared" si="99"/>
        <v>1.6393442622950869E-2</v>
      </c>
      <c r="I186" s="91">
        <f>IF(ISNUMBER(G186), $B199 * H186, "")</f>
        <v>2459.0163934426305</v>
      </c>
      <c r="J186" s="15">
        <v>6.82</v>
      </c>
      <c r="K186" s="32">
        <f t="shared" si="100"/>
        <v>1.6393442622950869E-2</v>
      </c>
      <c r="L186" s="18">
        <f>IF(ISNUMBER(J186), $B199 * K186, "")</f>
        <v>2459.0163934426305</v>
      </c>
      <c r="M186" s="31">
        <v>6.91</v>
      </c>
      <c r="N186" s="32">
        <f t="shared" si="101"/>
        <v>2.9806259314456063E-2</v>
      </c>
      <c r="O186" s="18">
        <f>IF(ISNUMBER(M186), $B199 * N186, "")</f>
        <v>4470.9388971684093</v>
      </c>
      <c r="Q186" s="161"/>
      <c r="R186" s="161"/>
      <c r="S186" s="161"/>
    </row>
    <row r="187" spans="1:19" ht="17.25" thickBot="1">
      <c r="A187" s="109" t="s">
        <v>71</v>
      </c>
      <c r="B187" s="110">
        <v>12.1</v>
      </c>
      <c r="C187" s="70">
        <v>-1.6260162599999999E-2</v>
      </c>
      <c r="D187" s="15">
        <v>12.4</v>
      </c>
      <c r="E187" s="32">
        <f t="shared" si="98"/>
        <v>2.4793388429752126E-2</v>
      </c>
      <c r="F187" s="18">
        <f>IF(ISNUMBER(D187), $B199 * E187, "")</f>
        <v>3719.0082644628187</v>
      </c>
      <c r="G187" s="31">
        <v>12.4</v>
      </c>
      <c r="H187" s="32">
        <f t="shared" si="99"/>
        <v>2.4793388429752126E-2</v>
      </c>
      <c r="I187" s="91">
        <f>IF(ISNUMBER(G187), $B199 * H187, "")</f>
        <v>3719.0082644628187</v>
      </c>
      <c r="J187" s="15">
        <v>12.4</v>
      </c>
      <c r="K187" s="32">
        <f t="shared" si="100"/>
        <v>2.4793388429752126E-2</v>
      </c>
      <c r="L187" s="18">
        <f>IF(ISNUMBER(J187), $B199 * K187, "")</f>
        <v>3719.0082644628187</v>
      </c>
      <c r="M187" s="31">
        <v>12.1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14" t="s">
        <v>218</v>
      </c>
      <c r="B188" s="115">
        <v>355</v>
      </c>
      <c r="C188" s="72">
        <v>-1.6620498599999999E-2</v>
      </c>
      <c r="D188" s="24">
        <v>361</v>
      </c>
      <c r="E188" s="25">
        <f t="shared" si="98"/>
        <v>1.6901408450704224E-2</v>
      </c>
      <c r="F188" s="94">
        <f>IF(ISNUMBER(D188), $B199 * E188, "")</f>
        <v>2535.2112676056336</v>
      </c>
      <c r="G188" s="92">
        <v>361</v>
      </c>
      <c r="H188" s="25">
        <f t="shared" si="99"/>
        <v>1.6901408450704224E-2</v>
      </c>
      <c r="I188" s="93">
        <f>IF(ISNUMBER(G188), $B199 * H188, "")</f>
        <v>2535.2112676056336</v>
      </c>
      <c r="J188" s="24">
        <v>361</v>
      </c>
      <c r="K188" s="25">
        <f t="shared" si="100"/>
        <v>1.6901408450704224E-2</v>
      </c>
      <c r="L188" s="94">
        <f>IF(ISNUMBER(J188), $B199 * K188, "")</f>
        <v>2535.2112676056336</v>
      </c>
      <c r="M188" s="92">
        <v>354</v>
      </c>
      <c r="N188" s="25">
        <f t="shared" si="101"/>
        <v>-2.8169014084507044E-3</v>
      </c>
      <c r="O188" s="94">
        <f>IF(ISNUMBER(M188), $B199 * N188, "")</f>
        <v>-422.53521126760563</v>
      </c>
      <c r="Q188" s="170"/>
      <c r="R188" s="171"/>
      <c r="S188" s="172"/>
    </row>
    <row r="189" spans="1:19">
      <c r="A189" s="107" t="s">
        <v>212</v>
      </c>
      <c r="B189" s="108">
        <v>87.4</v>
      </c>
      <c r="C189" s="69">
        <v>-1.68728909E-2</v>
      </c>
      <c r="D189" s="13">
        <v>89.6</v>
      </c>
      <c r="E189" s="14">
        <f>IF(ISNUMBER(D189), (D189 - $B189) / $B189, "")</f>
        <v>2.5171624713958677E-2</v>
      </c>
      <c r="F189" s="16">
        <f>IF(ISNUMBER(D189), $B199 * E189, "")</f>
        <v>3775.7437070938017</v>
      </c>
      <c r="G189" s="29">
        <v>89.6</v>
      </c>
      <c r="H189" s="14">
        <f>IF(ISNUMBER(G189), (G189 - $B189) / $B189, "")</f>
        <v>2.5171624713958677E-2</v>
      </c>
      <c r="I189" s="90">
        <f>IF(ISNUMBER(G189), $B199 * H189, "")</f>
        <v>3775.7437070938017</v>
      </c>
      <c r="J189" s="13">
        <v>89.6</v>
      </c>
      <c r="K189" s="14">
        <f>IF(ISNUMBER(J189), (J189 - $B189) / $B189, "")</f>
        <v>2.5171624713958677E-2</v>
      </c>
      <c r="L189" s="16">
        <f>IF(ISNUMBER(J189), $B199 * K189, "")</f>
        <v>3775.7437070938017</v>
      </c>
      <c r="M189" s="29">
        <v>88.6</v>
      </c>
      <c r="N189" s="14">
        <f>IF(ISNUMBER(M189), (M189 - $B189) / $B189, "")</f>
        <v>1.3729977116704675E-2</v>
      </c>
      <c r="O189" s="16">
        <f>IF(ISNUMBER(M189), $B199 * N189, "")</f>
        <v>2059.496567505701</v>
      </c>
      <c r="Q189" s="173"/>
      <c r="R189" s="174"/>
      <c r="S189" s="175"/>
    </row>
    <row r="190" spans="1:19" ht="17.25" thickBot="1">
      <c r="A190" s="109" t="s">
        <v>136</v>
      </c>
      <c r="B190" s="110">
        <v>3015</v>
      </c>
      <c r="C190" s="70">
        <v>-1.7915309399999999E-2</v>
      </c>
      <c r="D190" s="15">
        <v>3025</v>
      </c>
      <c r="E190" s="32">
        <f t="shared" ref="E190:E193" si="102">IF(ISNUMBER(D190), (D190 - $B190) / $B190, "")</f>
        <v>3.3167495854063019E-3</v>
      </c>
      <c r="F190" s="18">
        <f>IF(ISNUMBER(D190), $B199 * E190, "")</f>
        <v>497.5124378109453</v>
      </c>
      <c r="G190" s="31">
        <v>3025</v>
      </c>
      <c r="H190" s="32">
        <f t="shared" ref="H190:H193" si="103">IF(ISNUMBER(G190), (G190 - $B190) / $B190, "")</f>
        <v>3.3167495854063019E-3</v>
      </c>
      <c r="I190" s="91">
        <f>IF(ISNUMBER(G190), $B199 * H190, "")</f>
        <v>497.5124378109453</v>
      </c>
      <c r="J190" s="15">
        <v>3025</v>
      </c>
      <c r="K190" s="32">
        <f t="shared" ref="K190:K193" si="104">IF(ISNUMBER(J190), (J190 - $B190) / $B190, "")</f>
        <v>3.3167495854063019E-3</v>
      </c>
      <c r="L190" s="18">
        <f>IF(ISNUMBER(J190), $B199 * K190, "")</f>
        <v>497.5124378109453</v>
      </c>
      <c r="M190" s="31">
        <v>2990</v>
      </c>
      <c r="N190" s="32">
        <f t="shared" ref="N190:N193" si="105">IF(ISNUMBER(M190), (M190 - $B190) / $B190, "")</f>
        <v>-8.291873963515755E-3</v>
      </c>
      <c r="O190" s="18">
        <f>IF(ISNUMBER(M190), $B199 * N190, "")</f>
        <v>-1243.7810945273632</v>
      </c>
      <c r="Q190" s="176"/>
      <c r="R190" s="177"/>
      <c r="S190" s="178"/>
    </row>
    <row r="191" spans="1:19" ht="17.25" thickBot="1">
      <c r="A191" s="109" t="s">
        <v>113</v>
      </c>
      <c r="B191" s="110">
        <v>1370</v>
      </c>
      <c r="C191" s="70">
        <v>-1.7921146999999998E-2</v>
      </c>
      <c r="D191" s="15">
        <v>1370</v>
      </c>
      <c r="E191" s="32">
        <f t="shared" si="102"/>
        <v>0</v>
      </c>
      <c r="F191" s="18">
        <f>IF(ISNUMBER(D191), $B199 * E191, "")</f>
        <v>0</v>
      </c>
      <c r="G191" s="31">
        <v>1370</v>
      </c>
      <c r="H191" s="32">
        <f t="shared" si="103"/>
        <v>0</v>
      </c>
      <c r="I191" s="91">
        <f>IF(ISNUMBER(G191), $B199 * H191, "")</f>
        <v>0</v>
      </c>
      <c r="J191" s="15">
        <v>1370</v>
      </c>
      <c r="K191" s="32">
        <f t="shared" si="104"/>
        <v>0</v>
      </c>
      <c r="L191" s="18">
        <f>IF(ISNUMBER(J191), $B199 * K191, "")</f>
        <v>0</v>
      </c>
      <c r="M191" s="31">
        <v>1345</v>
      </c>
      <c r="N191" s="32">
        <f t="shared" si="105"/>
        <v>-1.824817518248175E-2</v>
      </c>
      <c r="O191" s="18">
        <f>IF(ISNUMBER(M191), $B199 * N191, "")</f>
        <v>-2737.2262773722628</v>
      </c>
      <c r="Q191" s="161"/>
      <c r="R191" s="161"/>
      <c r="S191" s="161"/>
    </row>
    <row r="192" spans="1:19" ht="17.25" thickBot="1">
      <c r="A192" s="109" t="s">
        <v>347</v>
      </c>
      <c r="B192" s="110">
        <v>637</v>
      </c>
      <c r="C192" s="70">
        <v>-3.0441400300000001E-2</v>
      </c>
      <c r="D192" s="15">
        <v>672</v>
      </c>
      <c r="E192" s="32">
        <f t="shared" si="102"/>
        <v>5.4945054945054944E-2</v>
      </c>
      <c r="F192" s="18">
        <f>IF(ISNUMBER(D192), $B199 * E192, "")</f>
        <v>8241.7582417582416</v>
      </c>
      <c r="G192" s="31">
        <v>672</v>
      </c>
      <c r="H192" s="32">
        <f t="shared" si="103"/>
        <v>5.4945054945054944E-2</v>
      </c>
      <c r="I192" s="91">
        <f>IF(ISNUMBER(G192), $B199 * H192, "")</f>
        <v>8241.7582417582416</v>
      </c>
      <c r="J192" s="15">
        <v>672</v>
      </c>
      <c r="K192" s="32">
        <f t="shared" si="104"/>
        <v>5.4945054945054944E-2</v>
      </c>
      <c r="L192" s="18">
        <f>IF(ISNUMBER(J192), $B199 * K192, "")</f>
        <v>8241.7582417582416</v>
      </c>
      <c r="M192" s="31">
        <v>659</v>
      </c>
      <c r="N192" s="32">
        <f t="shared" si="105"/>
        <v>3.453689167974882E-2</v>
      </c>
      <c r="O192" s="18">
        <f>IF(ISNUMBER(M192), $B199 * N192, "")</f>
        <v>5180.5337519623226</v>
      </c>
      <c r="Q192" s="156"/>
      <c r="R192" s="156"/>
      <c r="S192" s="156"/>
    </row>
    <row r="193" spans="1:19" ht="17.25" thickBot="1">
      <c r="A193" s="111" t="s">
        <v>163</v>
      </c>
      <c r="B193" s="112">
        <v>7955</v>
      </c>
      <c r="C193" s="71">
        <v>-3.7507562000000001E-2</v>
      </c>
      <c r="D193" s="20">
        <v>7830</v>
      </c>
      <c r="E193" s="21">
        <f t="shared" si="102"/>
        <v>-1.5713387806411062E-2</v>
      </c>
      <c r="F193" s="22">
        <f>IF(ISNUMBER(D193), $B199 * E193, "")</f>
        <v>-2357.0081709616593</v>
      </c>
      <c r="G193" s="30">
        <v>7830</v>
      </c>
      <c r="H193" s="21">
        <f t="shared" si="103"/>
        <v>-1.5713387806411062E-2</v>
      </c>
      <c r="I193" s="95">
        <f>IF(ISNUMBER(G193), $B199 * H193, "")</f>
        <v>-2357.0081709616593</v>
      </c>
      <c r="J193" s="20">
        <v>7830</v>
      </c>
      <c r="K193" s="21">
        <f t="shared" si="104"/>
        <v>-1.5713387806411062E-2</v>
      </c>
      <c r="L193" s="22">
        <f>IF(ISNUMBER(J193), $B199 * K193, "")</f>
        <v>-2357.0081709616593</v>
      </c>
      <c r="M193" s="30">
        <v>7545</v>
      </c>
      <c r="N193" s="21">
        <f t="shared" si="105"/>
        <v>-5.1539912005028284E-2</v>
      </c>
      <c r="O193" s="22">
        <f>IF(ISNUMBER(M193), $B199 * N193, "")</f>
        <v>-7730.9868007542427</v>
      </c>
      <c r="Q193" s="156"/>
      <c r="R193" s="156"/>
      <c r="S193" s="156"/>
    </row>
    <row r="194" spans="1:19" ht="17.25" thickBot="1">
      <c r="A194" s="109" t="s">
        <v>349</v>
      </c>
      <c r="B194" s="113">
        <v>802</v>
      </c>
      <c r="C194" s="73">
        <v>-4.9763033200000001E-2</v>
      </c>
      <c r="D194" s="96">
        <v>793</v>
      </c>
      <c r="E194" s="97">
        <f>IF(ISNUMBER(D194), (D194 - $B194) / $B194, "")</f>
        <v>-1.1221945137157107E-2</v>
      </c>
      <c r="F194" s="98">
        <f>IF(ISNUMBER(D194), $B199 * E194, "")</f>
        <v>-1683.2917705735661</v>
      </c>
      <c r="G194" s="99">
        <v>793</v>
      </c>
      <c r="H194" s="97">
        <f>IF(ISNUMBER(G194), (G194 - $B194) / $B194, "")</f>
        <v>-1.1221945137157107E-2</v>
      </c>
      <c r="I194" s="100">
        <f>IF(ISNUMBER(G194), $B199 * H194, "")</f>
        <v>-1683.2917705735661</v>
      </c>
      <c r="J194" s="96">
        <v>793</v>
      </c>
      <c r="K194" s="97">
        <f>IF(ISNUMBER(J194), (J194 - $B194) / $B194, "")</f>
        <v>-1.1221945137157107E-2</v>
      </c>
      <c r="L194" s="98">
        <f>IF(ISNUMBER(J194), $B199 * K194, "")</f>
        <v>-1683.2917705735661</v>
      </c>
      <c r="M194" s="99">
        <v>777</v>
      </c>
      <c r="N194" s="97">
        <f>IF(ISNUMBER(M194), (M194 - $B194) / $B194, "")</f>
        <v>-3.117206982543641E-2</v>
      </c>
      <c r="O194" s="98">
        <f>IF(ISNUMBER(M194), $B199 * N194, "")</f>
        <v>-4675.8104738154616</v>
      </c>
      <c r="Q194" s="161"/>
      <c r="R194" s="161"/>
      <c r="S194" s="161"/>
    </row>
    <row r="195" spans="1:19" ht="17.25" thickBot="1">
      <c r="A195" s="109" t="s">
        <v>198</v>
      </c>
      <c r="B195" s="110">
        <v>7.24</v>
      </c>
      <c r="C195" s="70">
        <v>-5.1114023600000003E-2</v>
      </c>
      <c r="D195" s="15">
        <v>7.49</v>
      </c>
      <c r="E195" s="32">
        <f t="shared" ref="E195:E198" si="106">IF(ISNUMBER(D195), (D195 - $B195) / $B195, "")</f>
        <v>3.4530386740331494E-2</v>
      </c>
      <c r="F195" s="18">
        <f>IF(ISNUMBER(D195), $B199 * E195, "")</f>
        <v>5179.558011049724</v>
      </c>
      <c r="G195" s="31">
        <v>7.49</v>
      </c>
      <c r="H195" s="32">
        <f t="shared" ref="H195:H198" si="107">IF(ISNUMBER(G195), (G195 - $B195) / $B195, "")</f>
        <v>3.4530386740331494E-2</v>
      </c>
      <c r="I195" s="91">
        <f>IF(ISNUMBER(G195), $B199 * H195, "")</f>
        <v>5179.558011049724</v>
      </c>
      <c r="J195" s="15">
        <v>7.49</v>
      </c>
      <c r="K195" s="32">
        <f t="shared" ref="K195:K198" si="108">IF(ISNUMBER(J195), (J195 - $B195) / $B195, "")</f>
        <v>3.4530386740331494E-2</v>
      </c>
      <c r="L195" s="18">
        <f>IF(ISNUMBER(J195), $B199 * K195, "")</f>
        <v>5179.558011049724</v>
      </c>
      <c r="M195" s="31">
        <v>7.59</v>
      </c>
      <c r="N195" s="32">
        <f t="shared" ref="N195:N198" si="109">IF(ISNUMBER(M195), (M195 - $B195) / $B195, "")</f>
        <v>4.8342541436464041E-2</v>
      </c>
      <c r="O195" s="18">
        <f>IF(ISNUMBER(M195), $B199 * N195, "")</f>
        <v>7251.3812154696061</v>
      </c>
      <c r="Q195" s="161"/>
      <c r="R195" s="161"/>
      <c r="S195" s="161"/>
    </row>
    <row r="196" spans="1:19" ht="17.25" thickBot="1">
      <c r="A196" s="109" t="s">
        <v>107</v>
      </c>
      <c r="B196" s="110">
        <v>42.3</v>
      </c>
      <c r="C196" s="70">
        <v>-5.5803571400000002E-2</v>
      </c>
      <c r="D196" s="15">
        <v>45.5</v>
      </c>
      <c r="E196" s="32">
        <f t="shared" si="106"/>
        <v>7.565011820330976E-2</v>
      </c>
      <c r="F196" s="18">
        <f>IF(ISNUMBER(D196), $B199 * E196, "")</f>
        <v>11347.517730496464</v>
      </c>
      <c r="G196" s="31">
        <v>45.5</v>
      </c>
      <c r="H196" s="32">
        <f t="shared" si="107"/>
        <v>7.565011820330976E-2</v>
      </c>
      <c r="I196" s="91">
        <f>IF(ISNUMBER(G196), $B199 * H196, "")</f>
        <v>11347.517730496464</v>
      </c>
      <c r="J196" s="15">
        <v>45.5</v>
      </c>
      <c r="K196" s="32">
        <f t="shared" si="108"/>
        <v>7.565011820330976E-2</v>
      </c>
      <c r="L196" s="18">
        <f>IF(ISNUMBER(J196), $B199 * K196, "")</f>
        <v>11347.517730496464</v>
      </c>
      <c r="M196" s="31">
        <v>47.2</v>
      </c>
      <c r="N196" s="32">
        <f t="shared" si="109"/>
        <v>0.11583924349881811</v>
      </c>
      <c r="O196" s="18">
        <f>IF(ISNUMBER(M196), $B199 * N196, "")</f>
        <v>17375.886524822716</v>
      </c>
      <c r="Q196" s="161"/>
      <c r="R196" s="161"/>
      <c r="S196" s="161"/>
    </row>
    <row r="197" spans="1:19">
      <c r="A197" s="109" t="s">
        <v>350</v>
      </c>
      <c r="B197" s="110">
        <v>8.2899999999999991</v>
      </c>
      <c r="C197" s="70">
        <v>-6.0090702900000001E-2</v>
      </c>
      <c r="D197" s="15">
        <v>8.48</v>
      </c>
      <c r="E197" s="32">
        <f t="shared" si="106"/>
        <v>2.2919179734620182E-2</v>
      </c>
      <c r="F197" s="18">
        <f>IF(ISNUMBER(D197), $B199 * E197, "")</f>
        <v>3437.8769601930271</v>
      </c>
      <c r="G197" s="31">
        <v>8.48</v>
      </c>
      <c r="H197" s="32">
        <f t="shared" si="107"/>
        <v>2.2919179734620182E-2</v>
      </c>
      <c r="I197" s="91">
        <f>IF(ISNUMBER(G197), $B199 * H197, "")</f>
        <v>3437.8769601930271</v>
      </c>
      <c r="J197" s="15">
        <v>8.48</v>
      </c>
      <c r="K197" s="32">
        <f t="shared" si="108"/>
        <v>2.2919179734620182E-2</v>
      </c>
      <c r="L197" s="18">
        <f>IF(ISNUMBER(J197), $B199 * K197, "")</f>
        <v>3437.8769601930271</v>
      </c>
      <c r="M197" s="31">
        <v>8.76</v>
      </c>
      <c r="N197" s="32">
        <f t="shared" si="109"/>
        <v>5.6694813027744352E-2</v>
      </c>
      <c r="O197" s="18">
        <f>IF(ISNUMBER(M197), $B199 * N197, "")</f>
        <v>8504.2219541616523</v>
      </c>
      <c r="Q197" s="183"/>
      <c r="R197" s="184"/>
      <c r="S197" s="185"/>
    </row>
    <row r="198" spans="1:19" ht="17.25" thickBot="1">
      <c r="A198" s="114" t="s">
        <v>97</v>
      </c>
      <c r="B198" s="115">
        <v>8.9999999999999998E-4</v>
      </c>
      <c r="C198" s="72">
        <v>-0.1</v>
      </c>
      <c r="D198" s="24">
        <v>1E-3</v>
      </c>
      <c r="E198" s="25">
        <f t="shared" si="106"/>
        <v>0.11111111111111116</v>
      </c>
      <c r="F198" s="94">
        <f>IF(ISNUMBER(D198), $B199 * E198, "")</f>
        <v>16666.666666666675</v>
      </c>
      <c r="G198" s="92">
        <v>1E-3</v>
      </c>
      <c r="H198" s="25">
        <f t="shared" si="107"/>
        <v>0.11111111111111116</v>
      </c>
      <c r="I198" s="93">
        <f>IF(ISNUMBER(G198), $B199 * H198, "")</f>
        <v>16666.666666666675</v>
      </c>
      <c r="J198" s="24">
        <v>1E-3</v>
      </c>
      <c r="K198" s="25">
        <f t="shared" si="108"/>
        <v>0.11111111111111116</v>
      </c>
      <c r="L198" s="94">
        <f>IF(ISNUMBER(J198), $B199 * K198, "")</f>
        <v>16666.666666666675</v>
      </c>
      <c r="M198" s="92">
        <v>1E-3</v>
      </c>
      <c r="N198" s="25">
        <f t="shared" si="109"/>
        <v>0.11111111111111116</v>
      </c>
      <c r="O198" s="94">
        <f>IF(ISNUMBER(M198), $B199 * N198, "")</f>
        <v>16666.666666666675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2.0067119292721536E-2</v>
      </c>
      <c r="F199" s="28">
        <f>SUM(F179:F198)</f>
        <v>60201.357878164607</v>
      </c>
      <c r="G199" s="26" t="s">
        <v>261</v>
      </c>
      <c r="H199" s="27">
        <f>IF(COUNT(H179:H198), SUM(H179:H198) / COUNT(H179:H198), 0)</f>
        <v>2.0067119292721536E-2</v>
      </c>
      <c r="I199" s="28">
        <f>SUM(I179:I198)</f>
        <v>60201.357878164607</v>
      </c>
      <c r="J199" s="26" t="s">
        <v>261</v>
      </c>
      <c r="K199" s="27">
        <f>IF(COUNT(K179:K198), SUM(K179:K198) / COUNT(K179:K198), 0)</f>
        <v>2.0067119292721536E-2</v>
      </c>
      <c r="L199" s="28">
        <f>SUM(L179:L198)</f>
        <v>60201.357878164607</v>
      </c>
      <c r="M199" s="26" t="s">
        <v>261</v>
      </c>
      <c r="N199" s="27">
        <f>IF(COUNT(N179:N198), SUM(N179:N198) / COUNT(N179:N198), 0)</f>
        <v>8.9650077569115045E-3</v>
      </c>
      <c r="O199" s="28">
        <f>SUM(O179:O198)</f>
        <v>26895.023270734513</v>
      </c>
      <c r="Q199" s="189"/>
      <c r="R199" s="190"/>
      <c r="S199" s="1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6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17" priority="157">
      <formula>AND($N17 &gt; 0, ISNUMBER($N17))</formula>
    </cfRule>
    <cfRule type="expression" dxfId="4616" priority="158">
      <formula>AND($N17 = 0 * ISNUMBER($N17))</formula>
    </cfRule>
    <cfRule type="expression" dxfId="4615" priority="159">
      <formula>AND($N17 &lt; 0, ISNUMBER($N17))</formula>
    </cfRule>
  </conditionalFormatting>
  <conditionalFormatting sqref="A17:F36">
    <cfRule type="expression" dxfId="4614" priority="166">
      <formula>AND($E17 &gt; 0, ISNUMBER($E17))</formula>
    </cfRule>
    <cfRule type="expression" dxfId="4613" priority="167">
      <formula>AND($E17 = 0 * ISNUMBER($E17))</formula>
    </cfRule>
    <cfRule type="expression" dxfId="4612" priority="168">
      <formula>AND($E17 &lt; 0, ISNUMBER($E17))</formula>
    </cfRule>
  </conditionalFormatting>
  <conditionalFormatting sqref="A17:C36 G17:I36">
    <cfRule type="expression" dxfId="4611" priority="163">
      <formula>AND($H17 &gt; 0, ISNUMBER($H17))</formula>
    </cfRule>
    <cfRule type="expression" dxfId="4610" priority="164">
      <formula>AND($H17 = 0 * ISNUMBER($H17))</formula>
    </cfRule>
    <cfRule type="expression" dxfId="4609" priority="165">
      <formula>AND($H17 &lt; 0, ISNUMBER($H17))</formula>
    </cfRule>
  </conditionalFormatting>
  <conditionalFormatting sqref="A17:C36 J17:L36">
    <cfRule type="expression" dxfId="4608" priority="160">
      <formula>AND($K17 &gt; 0, ISNUMBER($K17))</formula>
    </cfRule>
    <cfRule type="expression" dxfId="4607" priority="161">
      <formula>AND($K17 = 0 * ISNUMBER($K17))</formula>
    </cfRule>
    <cfRule type="expression" dxfId="4606" priority="162">
      <formula>AND($K17 &lt; 0, ISNUMBER($K17))</formula>
    </cfRule>
  </conditionalFormatting>
  <conditionalFormatting sqref="D15:F16 E37:F37">
    <cfRule type="expression" dxfId="4605" priority="154">
      <formula>$E$37 &gt; 0</formula>
    </cfRule>
    <cfRule type="expression" dxfId="4604" priority="155">
      <formula>$E$37 = 0</formula>
    </cfRule>
    <cfRule type="expression" dxfId="4603" priority="156">
      <formula>$E$37 &lt; 0</formula>
    </cfRule>
  </conditionalFormatting>
  <conditionalFormatting sqref="G15:I16 H37:I37">
    <cfRule type="expression" dxfId="4602" priority="151">
      <formula>$H$37 &gt; 0</formula>
    </cfRule>
    <cfRule type="expression" dxfId="4601" priority="152">
      <formula>$H$37 = 0</formula>
    </cfRule>
    <cfRule type="expression" dxfId="4600" priority="153">
      <formula>$H$37 &lt; 0</formula>
    </cfRule>
  </conditionalFormatting>
  <conditionalFormatting sqref="J15:L16 K37:L37">
    <cfRule type="expression" dxfId="4599" priority="148">
      <formula>$K$37 &gt; 0</formula>
    </cfRule>
    <cfRule type="expression" dxfId="4598" priority="149">
      <formula>$K$37 = 0</formula>
    </cfRule>
    <cfRule type="expression" dxfId="4597" priority="150">
      <formula>$K$37 &lt; 0</formula>
    </cfRule>
  </conditionalFormatting>
  <conditionalFormatting sqref="M15:O16 N37:O37">
    <cfRule type="expression" dxfId="4596" priority="145">
      <formula>$N$37 &gt; 0</formula>
    </cfRule>
    <cfRule type="expression" dxfId="4595" priority="146">
      <formula>$N$37 = 0</formula>
    </cfRule>
    <cfRule type="expression" dxfId="4594" priority="147">
      <formula>$N$37 &lt; 0</formula>
    </cfRule>
  </conditionalFormatting>
  <conditionalFormatting sqref="A44:C63 M44:O63">
    <cfRule type="expression" dxfId="4593" priority="133">
      <formula>AND($N44 &gt; 0, ISNUMBER($N44))</formula>
    </cfRule>
    <cfRule type="expression" dxfId="4592" priority="134">
      <formula>AND($N44 = 0 * ISNUMBER($N44))</formula>
    </cfRule>
    <cfRule type="expression" dxfId="4591" priority="135">
      <formula>AND($N44 &lt; 0, ISNUMBER($N44))</formula>
    </cfRule>
  </conditionalFormatting>
  <conditionalFormatting sqref="A44:F63">
    <cfRule type="expression" dxfId="4590" priority="142">
      <formula>AND($E44 &gt; 0, ISNUMBER($E44))</formula>
    </cfRule>
    <cfRule type="expression" dxfId="4589" priority="143">
      <formula>AND($E44 = 0 * ISNUMBER($E44))</formula>
    </cfRule>
    <cfRule type="expression" dxfId="4588" priority="144">
      <formula>AND($E44 &lt; 0, ISNUMBER($E44))</formula>
    </cfRule>
  </conditionalFormatting>
  <conditionalFormatting sqref="A44:C63 G44:I63">
    <cfRule type="expression" dxfId="4587" priority="139">
      <formula>AND($H44 &gt; 0, ISNUMBER($H44))</formula>
    </cfRule>
    <cfRule type="expression" dxfId="4586" priority="140">
      <formula>AND($H44 = 0 * ISNUMBER($H44))</formula>
    </cfRule>
    <cfRule type="expression" dxfId="4585" priority="141">
      <formula>AND($H44 &lt; 0, ISNUMBER($H44))</formula>
    </cfRule>
  </conditionalFormatting>
  <conditionalFormatting sqref="A44:C63 J44:L63">
    <cfRule type="expression" dxfId="4584" priority="136">
      <formula>AND($K44 &gt; 0, ISNUMBER($K44))</formula>
    </cfRule>
    <cfRule type="expression" dxfId="4583" priority="137">
      <formula>AND($K44 = 0 * ISNUMBER($K44))</formula>
    </cfRule>
    <cfRule type="expression" dxfId="4582" priority="138">
      <formula>AND($K44 &lt; 0, ISNUMBER($K44))</formula>
    </cfRule>
  </conditionalFormatting>
  <conditionalFormatting sqref="D42:F43 E64:F64">
    <cfRule type="expression" dxfId="4581" priority="130">
      <formula>$E$64 &gt; 0</formula>
    </cfRule>
    <cfRule type="expression" dxfId="4580" priority="131">
      <formula>$E$64 = 0</formula>
    </cfRule>
    <cfRule type="expression" dxfId="4579" priority="132">
      <formula>$E$64 &lt; 0</formula>
    </cfRule>
  </conditionalFormatting>
  <conditionalFormatting sqref="G42:I43 H64:I64">
    <cfRule type="expression" dxfId="4578" priority="127">
      <formula>$H$64 &gt; 0</formula>
    </cfRule>
    <cfRule type="expression" dxfId="4577" priority="128">
      <formula>$H$64 = 0</formula>
    </cfRule>
    <cfRule type="expression" dxfId="4576" priority="129">
      <formula>$H$64 &lt; 0</formula>
    </cfRule>
  </conditionalFormatting>
  <conditionalFormatting sqref="J42:L43 K64:L64">
    <cfRule type="expression" dxfId="4575" priority="124">
      <formula>$K$64 &gt; 0</formula>
    </cfRule>
    <cfRule type="expression" dxfId="4574" priority="125">
      <formula>$K$64 = 0</formula>
    </cfRule>
    <cfRule type="expression" dxfId="4573" priority="126">
      <formula>$K$64 &lt; 0</formula>
    </cfRule>
  </conditionalFormatting>
  <conditionalFormatting sqref="M42:O43 N64:O64">
    <cfRule type="expression" dxfId="4572" priority="121">
      <formula>$N$64 &gt; 0</formula>
    </cfRule>
    <cfRule type="expression" dxfId="4571" priority="122">
      <formula>$N$64 = 0</formula>
    </cfRule>
    <cfRule type="expression" dxfId="4570" priority="123">
      <formula>$N$64 &lt; 0</formula>
    </cfRule>
  </conditionalFormatting>
  <conditionalFormatting sqref="A71:C90 M71:O90">
    <cfRule type="expression" dxfId="4569" priority="109">
      <formula>AND($N71 &gt; 0, ISNUMBER($N71))</formula>
    </cfRule>
    <cfRule type="expression" dxfId="4568" priority="110">
      <formula>AND($N71 = 0 * ISNUMBER($N71))</formula>
    </cfRule>
    <cfRule type="expression" dxfId="4567" priority="111">
      <formula>AND($N71 &lt; 0, ISNUMBER($N71))</formula>
    </cfRule>
  </conditionalFormatting>
  <conditionalFormatting sqref="A71:F90">
    <cfRule type="expression" dxfId="4566" priority="118">
      <formula>AND($E71 &gt; 0, ISNUMBER($E71))</formula>
    </cfRule>
    <cfRule type="expression" dxfId="4565" priority="119">
      <formula>AND($E71 = 0 * ISNUMBER($E71))</formula>
    </cfRule>
    <cfRule type="expression" dxfId="4564" priority="120">
      <formula>AND($E71 &lt; 0, ISNUMBER($E71))</formula>
    </cfRule>
  </conditionalFormatting>
  <conditionalFormatting sqref="A71:C90 G71:I90">
    <cfRule type="expression" dxfId="4563" priority="115">
      <formula>AND($H71 &gt; 0, ISNUMBER($H71))</formula>
    </cfRule>
    <cfRule type="expression" dxfId="4562" priority="116">
      <formula>AND($H71 = 0 * ISNUMBER($H71))</formula>
    </cfRule>
    <cfRule type="expression" dxfId="4561" priority="117">
      <formula>AND($H71 &lt; 0, ISNUMBER($H71))</formula>
    </cfRule>
  </conditionalFormatting>
  <conditionalFormatting sqref="A71:C90 J71:L90">
    <cfRule type="expression" dxfId="4560" priority="112">
      <formula>AND($K71 &gt; 0, ISNUMBER($K71))</formula>
    </cfRule>
    <cfRule type="expression" dxfId="4559" priority="113">
      <formula>AND($K71 = 0 * ISNUMBER($K71))</formula>
    </cfRule>
    <cfRule type="expression" dxfId="4558" priority="114">
      <formula>AND($K71 &lt; 0, ISNUMBER($K71))</formula>
    </cfRule>
  </conditionalFormatting>
  <conditionalFormatting sqref="D69:F70 E91:F91">
    <cfRule type="expression" dxfId="4557" priority="106">
      <formula>$E$91 &gt; 0</formula>
    </cfRule>
    <cfRule type="expression" dxfId="4556" priority="107">
      <formula>$E$91 = 0</formula>
    </cfRule>
    <cfRule type="expression" dxfId="4555" priority="108">
      <formula>$E$91 &lt; 0</formula>
    </cfRule>
  </conditionalFormatting>
  <conditionalFormatting sqref="G69:I70 H91:I91">
    <cfRule type="expression" dxfId="4554" priority="103">
      <formula>$H$91 &gt; 0</formula>
    </cfRule>
    <cfRule type="expression" dxfId="4553" priority="104">
      <formula>$H$91 = 0</formula>
    </cfRule>
    <cfRule type="expression" dxfId="4552" priority="105">
      <formula>$H$91 &lt; 0</formula>
    </cfRule>
  </conditionalFormatting>
  <conditionalFormatting sqref="J69:L70 K91:L91">
    <cfRule type="expression" dxfId="4551" priority="100">
      <formula>$K$91 &gt; 0</formula>
    </cfRule>
    <cfRule type="expression" dxfId="4550" priority="101">
      <formula>$K$91 = 0</formula>
    </cfRule>
    <cfRule type="expression" dxfId="4549" priority="102">
      <formula>$K$91 &lt; 0</formula>
    </cfRule>
  </conditionalFormatting>
  <conditionalFormatting sqref="M69:O70 N91:O91">
    <cfRule type="expression" dxfId="4548" priority="97">
      <formula>$N$91 &gt; 0</formula>
    </cfRule>
    <cfRule type="expression" dxfId="4547" priority="98">
      <formula>$N$91 = 0</formula>
    </cfRule>
    <cfRule type="expression" dxfId="4546" priority="99">
      <formula>$N$91 &lt; 0</formula>
    </cfRule>
  </conditionalFormatting>
  <conditionalFormatting sqref="A98:C117 M98:O117">
    <cfRule type="expression" dxfId="4545" priority="85">
      <formula>AND($N98 &gt; 0, ISNUMBER($N98))</formula>
    </cfRule>
    <cfRule type="expression" dxfId="4544" priority="86">
      <formula>AND($N98 = 0 * ISNUMBER($N98))</formula>
    </cfRule>
    <cfRule type="expression" dxfId="4543" priority="87">
      <formula>AND($N98 &lt; 0, ISNUMBER($N98))</formula>
    </cfRule>
  </conditionalFormatting>
  <conditionalFormatting sqref="A98:F117">
    <cfRule type="expression" dxfId="4542" priority="94">
      <formula>AND($E98 &gt; 0, ISNUMBER($E98))</formula>
    </cfRule>
    <cfRule type="expression" dxfId="4541" priority="95">
      <formula>AND($E98 = 0 * ISNUMBER($E98))</formula>
    </cfRule>
    <cfRule type="expression" dxfId="4540" priority="96">
      <formula>AND($E98 &lt; 0, ISNUMBER($E98))</formula>
    </cfRule>
  </conditionalFormatting>
  <conditionalFormatting sqref="A98:C117 G98:I117">
    <cfRule type="expression" dxfId="4539" priority="91">
      <formula>AND($H98 &gt; 0, ISNUMBER($H98))</formula>
    </cfRule>
    <cfRule type="expression" dxfId="4538" priority="92">
      <formula>AND($H98 = 0 * ISNUMBER($H98))</formula>
    </cfRule>
    <cfRule type="expression" dxfId="4537" priority="93">
      <formula>AND($H98 &lt; 0, ISNUMBER($H98))</formula>
    </cfRule>
  </conditionalFormatting>
  <conditionalFormatting sqref="A98:C117 J98:L117">
    <cfRule type="expression" dxfId="4536" priority="88">
      <formula>AND($K98 &gt; 0, ISNUMBER($K98))</formula>
    </cfRule>
    <cfRule type="expression" dxfId="4535" priority="89">
      <formula>AND($K98 = 0 * ISNUMBER($K98))</formula>
    </cfRule>
    <cfRule type="expression" dxfId="4534" priority="90">
      <formula>AND($K98 &lt; 0, ISNUMBER($K98))</formula>
    </cfRule>
  </conditionalFormatting>
  <conditionalFormatting sqref="D96:F97 E118:F118">
    <cfRule type="expression" dxfId="4533" priority="82">
      <formula>$E$118 &gt; 0</formula>
    </cfRule>
    <cfRule type="expression" dxfId="4532" priority="83">
      <formula>$E$118 = 0</formula>
    </cfRule>
    <cfRule type="expression" dxfId="4531" priority="84">
      <formula>$E$118 &lt; 0</formula>
    </cfRule>
  </conditionalFormatting>
  <conditionalFormatting sqref="G96:I97 H118:I118">
    <cfRule type="expression" dxfId="4530" priority="79">
      <formula>$H$118 &gt; 0</formula>
    </cfRule>
    <cfRule type="expression" dxfId="4529" priority="80">
      <formula>$H$118 = 0</formula>
    </cfRule>
    <cfRule type="expression" dxfId="4528" priority="81">
      <formula>$H$118 &lt; 0</formula>
    </cfRule>
  </conditionalFormatting>
  <conditionalFormatting sqref="J96:L97 K118:L118">
    <cfRule type="expression" dxfId="4527" priority="76">
      <formula>$K$118 &gt; 0</formula>
    </cfRule>
    <cfRule type="expression" dxfId="4526" priority="77">
      <formula>$K$118 = 0</formula>
    </cfRule>
    <cfRule type="expression" dxfId="4525" priority="78">
      <formula>$K$118 &lt; 0</formula>
    </cfRule>
  </conditionalFormatting>
  <conditionalFormatting sqref="M96:O97 N118:O118">
    <cfRule type="expression" dxfId="4524" priority="73">
      <formula>$N$118 &gt; 0</formula>
    </cfRule>
    <cfRule type="expression" dxfId="4523" priority="74">
      <formula>$N$118 = 0</formula>
    </cfRule>
    <cfRule type="expression" dxfId="4522" priority="75">
      <formula>$N$118 &lt; 0</formula>
    </cfRule>
  </conditionalFormatting>
  <conditionalFormatting sqref="A125:C144 M125:O144">
    <cfRule type="expression" dxfId="4521" priority="61">
      <formula>AND($N125 &gt; 0, ISNUMBER($N125))</formula>
    </cfRule>
    <cfRule type="expression" dxfId="4520" priority="62">
      <formula>AND($N125 = 0 * ISNUMBER($N125))</formula>
    </cfRule>
    <cfRule type="expression" dxfId="4519" priority="63">
      <formula>AND($N125 &lt; 0, ISNUMBER($N125))</formula>
    </cfRule>
  </conditionalFormatting>
  <conditionalFormatting sqref="A125:F144">
    <cfRule type="expression" dxfId="4518" priority="70">
      <formula>AND($E125 &gt; 0, ISNUMBER($E125))</formula>
    </cfRule>
    <cfRule type="expression" dxfId="4517" priority="71">
      <formula>AND($E125 = 0 * ISNUMBER($E125))</formula>
    </cfRule>
    <cfRule type="expression" dxfId="4516" priority="72">
      <formula>AND($E125 &lt; 0, ISNUMBER($E125))</formula>
    </cfRule>
  </conditionalFormatting>
  <conditionalFormatting sqref="A125:C144 G125:I144">
    <cfRule type="expression" dxfId="4515" priority="67">
      <formula>AND($H125 &gt; 0, ISNUMBER($H125))</formula>
    </cfRule>
    <cfRule type="expression" dxfId="4514" priority="68">
      <formula>AND($H125 = 0 * ISNUMBER($H125))</formula>
    </cfRule>
    <cfRule type="expression" dxfId="4513" priority="69">
      <formula>AND($H125 &lt; 0, ISNUMBER($H125))</formula>
    </cfRule>
  </conditionalFormatting>
  <conditionalFormatting sqref="A125:C144 J125:L144">
    <cfRule type="expression" dxfId="4512" priority="64">
      <formula>AND($K125 &gt; 0, ISNUMBER($K125))</formula>
    </cfRule>
    <cfRule type="expression" dxfId="4511" priority="65">
      <formula>AND($K125 = 0 * ISNUMBER($K125))</formula>
    </cfRule>
    <cfRule type="expression" dxfId="4510" priority="66">
      <formula>AND($K125 &lt; 0, ISNUMBER($K125))</formula>
    </cfRule>
  </conditionalFormatting>
  <conditionalFormatting sqref="D123:F124 E145:F145">
    <cfRule type="expression" dxfId="4509" priority="58">
      <formula>$E$145 &gt; 0</formula>
    </cfRule>
    <cfRule type="expression" dxfId="4508" priority="59">
      <formula>$E$145 = 0</formula>
    </cfRule>
    <cfRule type="expression" dxfId="4507" priority="60">
      <formula>$E$145 &lt; 0</formula>
    </cfRule>
  </conditionalFormatting>
  <conditionalFormatting sqref="G123:I124 H145:I145">
    <cfRule type="expression" dxfId="4506" priority="55">
      <formula>$H$145 &gt; 0</formula>
    </cfRule>
    <cfRule type="expression" dxfId="4505" priority="56">
      <formula>$H$145 = 0</formula>
    </cfRule>
    <cfRule type="expression" dxfId="4504" priority="57">
      <formula>$H$145 &lt; 0</formula>
    </cfRule>
  </conditionalFormatting>
  <conditionalFormatting sqref="J123:L124 K145:L145">
    <cfRule type="expression" dxfId="4503" priority="52">
      <formula>$K$145 &gt; 0</formula>
    </cfRule>
    <cfRule type="expression" dxfId="4502" priority="53">
      <formula>$K$145 = 0</formula>
    </cfRule>
    <cfRule type="expression" dxfId="4501" priority="54">
      <formula>$K$145 &lt; 0</formula>
    </cfRule>
  </conditionalFormatting>
  <conditionalFormatting sqref="M123:O124 N145:O145">
    <cfRule type="expression" dxfId="4500" priority="49">
      <formula>$N$145 &gt; 0</formula>
    </cfRule>
    <cfRule type="expression" dxfId="4499" priority="50">
      <formula>$N$145 = 0</formula>
    </cfRule>
    <cfRule type="expression" dxfId="4498" priority="51">
      <formula>$N$145 &lt; 0</formula>
    </cfRule>
  </conditionalFormatting>
  <conditionalFormatting sqref="A152:C171 M152:O171">
    <cfRule type="expression" dxfId="4497" priority="37">
      <formula>AND($N152 &gt; 0, ISNUMBER($N152))</formula>
    </cfRule>
    <cfRule type="expression" dxfId="4496" priority="38">
      <formula>AND($N152 = 0 * ISNUMBER($N152))</formula>
    </cfRule>
    <cfRule type="expression" dxfId="4495" priority="39">
      <formula>AND($N152 &lt; 0, ISNUMBER($N152))</formula>
    </cfRule>
  </conditionalFormatting>
  <conditionalFormatting sqref="A152:F171">
    <cfRule type="expression" dxfId="4494" priority="46">
      <formula>AND($E152 &gt; 0, ISNUMBER($E152))</formula>
    </cfRule>
    <cfRule type="expression" dxfId="4493" priority="47">
      <formula>AND($E152 = 0 * ISNUMBER($E152))</formula>
    </cfRule>
    <cfRule type="expression" dxfId="4492" priority="48">
      <formula>AND($E152 &lt; 0, ISNUMBER($E152))</formula>
    </cfRule>
  </conditionalFormatting>
  <conditionalFormatting sqref="A152:C171 G152:I171">
    <cfRule type="expression" dxfId="4491" priority="43">
      <formula>AND($H152 &gt; 0, ISNUMBER($H152))</formula>
    </cfRule>
    <cfRule type="expression" dxfId="4490" priority="44">
      <formula>AND($H152 = 0 * ISNUMBER($H152))</formula>
    </cfRule>
    <cfRule type="expression" dxfId="4489" priority="45">
      <formula>AND($H152 &lt; 0, ISNUMBER($H152))</formula>
    </cfRule>
  </conditionalFormatting>
  <conditionalFormatting sqref="A152:C171 J152:L171">
    <cfRule type="expression" dxfId="4488" priority="40">
      <formula>AND($K152 &gt; 0, ISNUMBER($K152))</formula>
    </cfRule>
    <cfRule type="expression" dxfId="4487" priority="41">
      <formula>AND($K152 = 0 * ISNUMBER($K152))</formula>
    </cfRule>
    <cfRule type="expression" dxfId="4486" priority="42">
      <formula>AND($K152 &lt; 0, ISNUMBER($K152))</formula>
    </cfRule>
  </conditionalFormatting>
  <conditionalFormatting sqref="D150:F151 E172:F172">
    <cfRule type="expression" dxfId="4485" priority="34">
      <formula>$E$172 &gt; 0</formula>
    </cfRule>
    <cfRule type="expression" dxfId="4484" priority="35">
      <formula>$E$172 = 0</formula>
    </cfRule>
    <cfRule type="expression" dxfId="4483" priority="36">
      <formula>$E$172 &lt; 0</formula>
    </cfRule>
  </conditionalFormatting>
  <conditionalFormatting sqref="G150:I151 H172:I172">
    <cfRule type="expression" dxfId="4482" priority="31">
      <formula>$H$172 &gt; 0</formula>
    </cfRule>
    <cfRule type="expression" dxfId="4481" priority="32">
      <formula>$H$172 = 0</formula>
    </cfRule>
    <cfRule type="expression" dxfId="4480" priority="33">
      <formula>$H$172 &lt; 0</formula>
    </cfRule>
  </conditionalFormatting>
  <conditionalFormatting sqref="J150:L151 K172:L172">
    <cfRule type="expression" dxfId="4479" priority="28">
      <formula>$K$172 &gt; 0</formula>
    </cfRule>
    <cfRule type="expression" dxfId="4478" priority="29">
      <formula>$K$172 = 0</formula>
    </cfRule>
    <cfRule type="expression" dxfId="4477" priority="30">
      <formula>$K$172 &lt; 0</formula>
    </cfRule>
  </conditionalFormatting>
  <conditionalFormatting sqref="M150:O151 N172:O172">
    <cfRule type="expression" dxfId="4476" priority="25">
      <formula>$N$172 &gt; 0</formula>
    </cfRule>
    <cfRule type="expression" dxfId="4475" priority="26">
      <formula>$N$172 = 0</formula>
    </cfRule>
    <cfRule type="expression" dxfId="4474" priority="27">
      <formula>$N$172 &lt; 0</formula>
    </cfRule>
  </conditionalFormatting>
  <conditionalFormatting sqref="A179:C198 M179:O198">
    <cfRule type="expression" dxfId="4473" priority="13">
      <formula>AND($N179 &gt; 0, ISNUMBER($N179))</formula>
    </cfRule>
    <cfRule type="expression" dxfId="4472" priority="14">
      <formula>AND($N179 = 0 * ISNUMBER($N179))</formula>
    </cfRule>
    <cfRule type="expression" dxfId="4471" priority="15">
      <formula>AND($N179 &lt; 0, ISNUMBER($N179))</formula>
    </cfRule>
  </conditionalFormatting>
  <conditionalFormatting sqref="A179:F198">
    <cfRule type="expression" dxfId="4470" priority="22">
      <formula>AND($E179 &gt; 0, ISNUMBER($E179))</formula>
    </cfRule>
    <cfRule type="expression" dxfId="4469" priority="23">
      <formula>AND($E179 = 0 * ISNUMBER($E179))</formula>
    </cfRule>
    <cfRule type="expression" dxfId="4468" priority="24">
      <formula>AND($E179 &lt; 0, ISNUMBER($E179))</formula>
    </cfRule>
  </conditionalFormatting>
  <conditionalFormatting sqref="A179:C198 G179:I198">
    <cfRule type="expression" dxfId="4467" priority="19">
      <formula>AND($H179 &gt; 0, ISNUMBER($H179))</formula>
    </cfRule>
    <cfRule type="expression" dxfId="4466" priority="20">
      <formula>AND($H179 = 0 * ISNUMBER($H179))</formula>
    </cfRule>
    <cfRule type="expression" dxfId="4465" priority="21">
      <formula>AND($H179 &lt; 0, ISNUMBER($H179))</formula>
    </cfRule>
  </conditionalFormatting>
  <conditionalFormatting sqref="A179:C198 J179:L198">
    <cfRule type="expression" dxfId="4464" priority="16">
      <formula>AND($K179 &gt; 0, ISNUMBER($K179))</formula>
    </cfRule>
    <cfRule type="expression" dxfId="4463" priority="17">
      <formula>AND($K179 = 0 * ISNUMBER($K179))</formula>
    </cfRule>
    <cfRule type="expression" dxfId="4462" priority="18">
      <formula>AND($K179 &lt; 0, ISNUMBER($K179))</formula>
    </cfRule>
  </conditionalFormatting>
  <conditionalFormatting sqref="D177:F178 E199:F199">
    <cfRule type="expression" dxfId="4461" priority="10">
      <formula>$E$199 &gt; 0</formula>
    </cfRule>
    <cfRule type="expression" dxfId="4460" priority="11">
      <formula>$E$199 = 0</formula>
    </cfRule>
    <cfRule type="expression" dxfId="4459" priority="12">
      <formula>$E$199 &lt; 0</formula>
    </cfRule>
  </conditionalFormatting>
  <conditionalFormatting sqref="G177:I178 H199:I199">
    <cfRule type="expression" dxfId="4458" priority="7">
      <formula>$H$199 &gt; 0</formula>
    </cfRule>
    <cfRule type="expression" dxfId="4457" priority="8">
      <formula>$H$199 = 0</formula>
    </cfRule>
    <cfRule type="expression" dxfId="4456" priority="9">
      <formula>$H$199 &lt; 0</formula>
    </cfRule>
  </conditionalFormatting>
  <conditionalFormatting sqref="J177:L178 K199:L199">
    <cfRule type="expression" dxfId="4455" priority="4">
      <formula>$K$199 &gt; 0</formula>
    </cfRule>
    <cfRule type="expression" dxfId="4454" priority="5">
      <formula>$K$199 = 0</formula>
    </cfRule>
    <cfRule type="expression" dxfId="4453" priority="6">
      <formula>$K$199 &lt; 0</formula>
    </cfRule>
  </conditionalFormatting>
  <conditionalFormatting sqref="M177:O178 N199:O199">
    <cfRule type="expression" dxfId="4452" priority="1">
      <formula>$N$199 &gt; 0</formula>
    </cfRule>
    <cfRule type="expression" dxfId="4451" priority="2">
      <formula>$N$199 = 0</formula>
    </cfRule>
    <cfRule type="expression" dxfId="44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98470-AD57-4D2C-AA45-271486B392CC}">
  <sheetPr codeName="Sheet7"/>
  <dimension ref="A1:S199"/>
  <sheetViews>
    <sheetView topLeftCell="A27" zoomScaleNormal="100" workbookViewId="0">
      <selection activeCell="J19" sqref="J19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44897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-8,756 KRW (-0.29%)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5,462 KRW (0.18%)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33,855 KRW (1.13%)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23,312 KRW (0.78%)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2022-12-02(금) 오전 00:00</v>
      </c>
      <c r="C15" s="202"/>
      <c r="D15" s="158" t="str">
        <f>TEXT($G$1, "[$-ko-KR]yyyy-mm-dd(ddd) ") &amp; "오후 14:00"</f>
        <v>2022-12-02(금) 오후 14:00</v>
      </c>
      <c r="E15" s="159"/>
      <c r="F15" s="160"/>
      <c r="G15" s="158" t="str">
        <f>TEXT($G$1, "[$-ko-KR]yyyy-mm-dd(ddd) ") &amp; "오후 19:00"</f>
        <v>2022-12-02(금) 오후 19:00</v>
      </c>
      <c r="H15" s="159"/>
      <c r="I15" s="160"/>
      <c r="J15" s="158" t="str">
        <f>TEXT($G$1, "[$-ko-KR]yyyy-mm-dd(ddd) ") &amp; "오후 21:00"</f>
        <v>2022-12-02(금) 오후 21:00</v>
      </c>
      <c r="K15" s="159"/>
      <c r="L15" s="160"/>
      <c r="M15" s="158" t="str">
        <f>TEXT($G$1+1, "[$-ko-KR]yyyy-mm-dd(ddd) ") &amp; "오전 00:00"</f>
        <v>2022-12-03(토)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2022-12-02(금) 오전 00:00</v>
      </c>
      <c r="C42" s="199"/>
      <c r="D42" s="158" t="str">
        <f>TEXT($G$1, "[$-ko-KR]yyyy-mm-dd(ddd) ") &amp; "오후 14:00"</f>
        <v>2022-12-02(금) 오후 14:00</v>
      </c>
      <c r="E42" s="159"/>
      <c r="F42" s="160"/>
      <c r="G42" s="158" t="str">
        <f>TEXT($G$1, "[$-ko-KR]yyyy-mm-dd(ddd) ") &amp; "오후 19:00"</f>
        <v>2022-12-02(금) 오후 19:00</v>
      </c>
      <c r="H42" s="159"/>
      <c r="I42" s="160"/>
      <c r="J42" s="158" t="str">
        <f>TEXT($G$1, "[$-ko-KR]yyyy-mm-dd(ddd) ") &amp; "오후 21:00"</f>
        <v>2022-12-02(금) 오후 21:00</v>
      </c>
      <c r="K42" s="159"/>
      <c r="L42" s="160"/>
      <c r="M42" s="158" t="str">
        <f>TEXT($G$1+1, "[$-ko-KR]yyyy-mm-dd(ddd) ") &amp; "오전 00:00"</f>
        <v>2022-12-03(토)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107</v>
      </c>
      <c r="B44" s="108">
        <v>47.2</v>
      </c>
      <c r="C44" s="69">
        <v>6.7873303199999999E-2</v>
      </c>
      <c r="D44" s="13">
        <v>46.7</v>
      </c>
      <c r="E44" s="14">
        <f>IF(ISNUMBER(D44), (D44 - $B44) / $B44, "")</f>
        <v>-1.059322033898305E-2</v>
      </c>
      <c r="F44" s="16">
        <f>IF(ISNUMBER(D44), $B64 * E44, "")</f>
        <v>-1588.9830508474577</v>
      </c>
      <c r="G44" s="29">
        <v>45.4</v>
      </c>
      <c r="H44" s="14">
        <f>IF(ISNUMBER(G44), (G44 - $B44) / $B44, "")</f>
        <v>-3.8135593220339069E-2</v>
      </c>
      <c r="I44" s="90">
        <f>IF(ISNUMBER(G44), $B64 * H44, "")</f>
        <v>-5720.3389830508604</v>
      </c>
      <c r="J44" s="13">
        <v>46.1</v>
      </c>
      <c r="K44" s="14">
        <f>IF(ISNUMBER(J44), (J44 - $B44) / $B44, "")</f>
        <v>-2.330508474576274E-2</v>
      </c>
      <c r="L44" s="16">
        <f>IF(ISNUMBER(J44), $B64 * K44, "")</f>
        <v>-3495.7627118644109</v>
      </c>
      <c r="M44" s="29">
        <v>45.4</v>
      </c>
      <c r="N44" s="14">
        <f>IF(ISNUMBER(M44), (M44 - $B44) / $B44, "")</f>
        <v>-3.8135593220339069E-2</v>
      </c>
      <c r="O44" s="16">
        <f>IF(ISNUMBER(M44), $B64 * N44, "")</f>
        <v>-5720.3389830508604</v>
      </c>
      <c r="Q44" s="156"/>
      <c r="R44" s="156"/>
      <c r="S44" s="156"/>
    </row>
    <row r="45" spans="1:19" ht="17.25" customHeight="1" thickBot="1">
      <c r="A45" s="109" t="s">
        <v>350</v>
      </c>
      <c r="B45" s="110">
        <v>8.76</v>
      </c>
      <c r="C45" s="70">
        <v>2.5761124100000001E-2</v>
      </c>
      <c r="D45" s="15">
        <v>8.69</v>
      </c>
      <c r="E45" s="32">
        <f t="shared" ref="E45:E48" si="14">IF(ISNUMBER(D45), (D45 - $B45) / $B45, "")</f>
        <v>-7.9908675799087083E-3</v>
      </c>
      <c r="F45" s="18">
        <f>IF(ISNUMBER(D45), $B64 * E45, "")</f>
        <v>-1198.6301369863063</v>
      </c>
      <c r="G45" s="31">
        <v>8.56</v>
      </c>
      <c r="H45" s="32">
        <f t="shared" ref="H45:H48" si="15">IF(ISNUMBER(G45), (G45 - $B45) / $B45, "")</f>
        <v>-2.2831050228310421E-2</v>
      </c>
      <c r="I45" s="91">
        <f>IF(ISNUMBER(G45), $B64 * H45, "")</f>
        <v>-3424.657534246563</v>
      </c>
      <c r="J45" s="15">
        <v>8.61</v>
      </c>
      <c r="K45" s="32">
        <f t="shared" ref="K45:K48" si="16">IF(ISNUMBER(J45), (J45 - $B45) / $B45, "")</f>
        <v>-1.7123287671232917E-2</v>
      </c>
      <c r="L45" s="18">
        <f>IF(ISNUMBER(J45), $B64 * K45, "")</f>
        <v>-2568.4931506849375</v>
      </c>
      <c r="M45" s="31">
        <v>8.51</v>
      </c>
      <c r="N45" s="32">
        <f t="shared" ref="N45:N48" si="17">IF(ISNUMBER(M45), (M45 - $B45) / $B45, "")</f>
        <v>-2.853881278538813E-2</v>
      </c>
      <c r="O45" s="18">
        <f>IF(ISNUMBER(M45), $B64 * N45, "")</f>
        <v>-4280.821917808219</v>
      </c>
      <c r="Q45" s="156"/>
      <c r="R45" s="156"/>
      <c r="S45" s="156"/>
    </row>
    <row r="46" spans="1:19" ht="17.25" customHeight="1" thickBot="1">
      <c r="A46" s="109" t="s">
        <v>185</v>
      </c>
      <c r="B46" s="110">
        <v>34.200000000000003</v>
      </c>
      <c r="C46" s="70">
        <v>5.8823529000000003E-3</v>
      </c>
      <c r="D46" s="15">
        <v>33.1</v>
      </c>
      <c r="E46" s="32">
        <f t="shared" si="14"/>
        <v>-3.2163742690058519E-2</v>
      </c>
      <c r="F46" s="18">
        <f>IF(ISNUMBER(D46), $B64 * E46, "")</f>
        <v>-4824.5614035087783</v>
      </c>
      <c r="G46" s="31">
        <v>33.4</v>
      </c>
      <c r="H46" s="32">
        <f t="shared" si="15"/>
        <v>-2.33918128654972E-2</v>
      </c>
      <c r="I46" s="91">
        <f>IF(ISNUMBER(G46), $B64 * H46, "")</f>
        <v>-3508.7719298245797</v>
      </c>
      <c r="J46" s="15">
        <v>34.1</v>
      </c>
      <c r="K46" s="32">
        <f t="shared" si="16"/>
        <v>-2.923976608187176E-3</v>
      </c>
      <c r="L46" s="18">
        <f>IF(ISNUMBER(J46), $B64 * K46, "")</f>
        <v>-438.59649122807639</v>
      </c>
      <c r="M46" s="31">
        <v>33.799999999999997</v>
      </c>
      <c r="N46" s="32">
        <f t="shared" si="17"/>
        <v>-1.1695906432748704E-2</v>
      </c>
      <c r="O46" s="18">
        <f>IF(ISNUMBER(M46), $B64 * N46, "")</f>
        <v>-1754.3859649123056</v>
      </c>
      <c r="Q46" s="161"/>
      <c r="R46" s="161"/>
      <c r="S46" s="161"/>
    </row>
    <row r="47" spans="1:19" ht="17.25" customHeight="1" thickBot="1">
      <c r="A47" s="109" t="s">
        <v>200</v>
      </c>
      <c r="B47" s="110">
        <v>6.91</v>
      </c>
      <c r="C47" s="70">
        <v>4.3604650999999996E-3</v>
      </c>
      <c r="D47" s="15">
        <v>6.87</v>
      </c>
      <c r="E47" s="32">
        <f t="shared" si="14"/>
        <v>-5.7887120115774288E-3</v>
      </c>
      <c r="F47" s="18">
        <f>IF(ISNUMBER(D47), $B64 * E47, "")</f>
        <v>-868.30680173661437</v>
      </c>
      <c r="G47" s="31">
        <v>7.2</v>
      </c>
      <c r="H47" s="32">
        <f t="shared" si="15"/>
        <v>4.1968162083936326E-2</v>
      </c>
      <c r="I47" s="91">
        <f>IF(ISNUMBER(G47), $B64 * H47, "")</f>
        <v>6295.2243125904488</v>
      </c>
      <c r="J47" s="15">
        <v>7.28</v>
      </c>
      <c r="K47" s="32">
        <f t="shared" si="16"/>
        <v>5.3545586107091189E-2</v>
      </c>
      <c r="L47" s="18">
        <f>IF(ISNUMBER(J47), $B64 * K47, "")</f>
        <v>8031.8379160636787</v>
      </c>
      <c r="M47" s="31">
        <v>7.07</v>
      </c>
      <c r="N47" s="32">
        <f t="shared" si="17"/>
        <v>2.3154848046309715E-2</v>
      </c>
      <c r="O47" s="18">
        <f>IF(ISNUMBER(M47), $B64 * N47, "")</f>
        <v>3473.2272069464575</v>
      </c>
      <c r="Q47" s="161"/>
      <c r="R47" s="161"/>
      <c r="S47" s="161"/>
    </row>
    <row r="48" spans="1:19" ht="17.25" customHeight="1" thickBot="1">
      <c r="A48" s="111" t="s">
        <v>97</v>
      </c>
      <c r="B48" s="112">
        <v>1E-3</v>
      </c>
      <c r="C48" s="71">
        <v>0</v>
      </c>
      <c r="D48" s="20">
        <v>8.9999999999999998E-4</v>
      </c>
      <c r="E48" s="21">
        <f t="shared" si="14"/>
        <v>-0.10000000000000005</v>
      </c>
      <c r="F48" s="22">
        <f>IF(ISNUMBER(D48), $B64 * E48, "")</f>
        <v>-15000.000000000007</v>
      </c>
      <c r="G48" s="30">
        <v>1E-3</v>
      </c>
      <c r="H48" s="21">
        <f t="shared" si="15"/>
        <v>0</v>
      </c>
      <c r="I48" s="95">
        <f>IF(ISNUMBER(G48), $B64 * H48, "")</f>
        <v>0</v>
      </c>
      <c r="J48" s="20">
        <v>8.9999999999999998E-4</v>
      </c>
      <c r="K48" s="21">
        <f t="shared" si="16"/>
        <v>-0.10000000000000005</v>
      </c>
      <c r="L48" s="22">
        <f>IF(ISNUMBER(J48), $B64 * K48, "")</f>
        <v>-15000.000000000007</v>
      </c>
      <c r="M48" s="30">
        <v>8.9999999999999998E-4</v>
      </c>
      <c r="N48" s="21">
        <f t="shared" si="17"/>
        <v>-0.10000000000000005</v>
      </c>
      <c r="O48" s="22">
        <f>IF(ISNUMBER(M48), $B64 * N48, "")</f>
        <v>-15000.000000000007</v>
      </c>
      <c r="Q48" s="161"/>
      <c r="R48" s="161"/>
      <c r="S48" s="161"/>
    </row>
    <row r="49" spans="1:19" ht="17.25" customHeight="1" thickBot="1">
      <c r="A49" s="109" t="s">
        <v>193</v>
      </c>
      <c r="B49" s="113">
        <v>20.100000000000001</v>
      </c>
      <c r="C49" s="73">
        <v>0</v>
      </c>
      <c r="D49" s="96">
        <v>20</v>
      </c>
      <c r="E49" s="97">
        <f>IF(ISNUMBER(D49), (D49 - $B49) / $B49, "")</f>
        <v>-4.9751243781095229E-3</v>
      </c>
      <c r="F49" s="98">
        <f>IF(ISNUMBER(D49), $B64 * E49, "")</f>
        <v>-746.26865671642838</v>
      </c>
      <c r="G49" s="99">
        <v>20.100000000000001</v>
      </c>
      <c r="H49" s="97">
        <f>IF(ISNUMBER(G49), (G49 - $B49) / $B49, "")</f>
        <v>0</v>
      </c>
      <c r="I49" s="100">
        <f>IF(ISNUMBER(G49), $B64 * H49, "")</f>
        <v>0</v>
      </c>
      <c r="J49" s="96">
        <v>20.100000000000001</v>
      </c>
      <c r="K49" s="97">
        <f>IF(ISNUMBER(J49), (J49 - $B49) / $B49, "")</f>
        <v>0</v>
      </c>
      <c r="L49" s="98">
        <f>IF(ISNUMBER(J49), $B64 * K49, "")</f>
        <v>0</v>
      </c>
      <c r="M49" s="99">
        <v>20.2</v>
      </c>
      <c r="N49" s="97">
        <f>IF(ISNUMBER(M49), (M49 - $B49) / $B49, "")</f>
        <v>4.975124378109346E-3</v>
      </c>
      <c r="O49" s="98">
        <f>IF(ISNUMBER(M49), $B64 * N49, "")</f>
        <v>746.26865671640189</v>
      </c>
      <c r="Q49" s="161"/>
      <c r="R49" s="161"/>
      <c r="S49" s="161"/>
    </row>
    <row r="50" spans="1:19" ht="17.25" customHeight="1" thickBot="1">
      <c r="A50" s="109" t="s">
        <v>195</v>
      </c>
      <c r="B50" s="110">
        <v>6.73</v>
      </c>
      <c r="C50" s="70">
        <v>-2.9629629999999999E-3</v>
      </c>
      <c r="D50" s="15">
        <v>6.69</v>
      </c>
      <c r="E50" s="32">
        <f t="shared" ref="E50:E53" si="18">IF(ISNUMBER(D50), (D50 - $B50) / $B50, "")</f>
        <v>-5.9435364041604804E-3</v>
      </c>
      <c r="F50" s="18">
        <f>IF(ISNUMBER(D50), $B64 * E50, "")</f>
        <v>-891.53046062407202</v>
      </c>
      <c r="G50" s="31">
        <v>6.83</v>
      </c>
      <c r="H50" s="32">
        <f t="shared" ref="H50:H53" si="19">IF(ISNUMBER(G50), (G50 - $B50) / $B50, "")</f>
        <v>1.4858841010401134E-2</v>
      </c>
      <c r="I50" s="91">
        <f>IF(ISNUMBER(G50), $B64 * H50, "")</f>
        <v>2228.8261515601703</v>
      </c>
      <c r="J50" s="15">
        <v>6.93</v>
      </c>
      <c r="K50" s="32">
        <f t="shared" ref="K50:K53" si="20">IF(ISNUMBER(J50), (J50 - $B50) / $B50, "")</f>
        <v>2.9717682020802268E-2</v>
      </c>
      <c r="L50" s="18">
        <f>IF(ISNUMBER(J50), $B64 * K50, "")</f>
        <v>4457.6523031203405</v>
      </c>
      <c r="M50" s="31">
        <v>6.8</v>
      </c>
      <c r="N50" s="32">
        <f t="shared" ref="N50:N53" si="21">IF(ISNUMBER(M50), (M50 - $B50) / $B50, "")</f>
        <v>1.0401188707280741E-2</v>
      </c>
      <c r="O50" s="18">
        <f>IF(ISNUMBER(M50), $B64 * N50, "")</f>
        <v>1560.1783060921111</v>
      </c>
      <c r="Q50" s="161"/>
      <c r="R50" s="161"/>
      <c r="S50" s="161"/>
    </row>
    <row r="51" spans="1:19" ht="17.25" customHeight="1" thickBot="1">
      <c r="A51" s="109" t="s">
        <v>145</v>
      </c>
      <c r="B51" s="110">
        <v>73.099999999999994</v>
      </c>
      <c r="C51" s="70">
        <v>-4.0871935E-3</v>
      </c>
      <c r="D51" s="15">
        <v>73</v>
      </c>
      <c r="E51" s="32">
        <f t="shared" si="18"/>
        <v>-1.3679890560874737E-3</v>
      </c>
      <c r="F51" s="18">
        <f>IF(ISNUMBER(D51), $B64 * E51, "")</f>
        <v>-205.19835841312104</v>
      </c>
      <c r="G51" s="31">
        <v>72.8</v>
      </c>
      <c r="H51" s="32">
        <f t="shared" si="19"/>
        <v>-4.1039671682626157E-3</v>
      </c>
      <c r="I51" s="91">
        <f>IF(ISNUMBER(G51), $B64 * H51, "")</f>
        <v>-615.59507523939237</v>
      </c>
      <c r="J51" s="15">
        <v>73</v>
      </c>
      <c r="K51" s="32">
        <f t="shared" si="20"/>
        <v>-1.3679890560874737E-3</v>
      </c>
      <c r="L51" s="18">
        <f>IF(ISNUMBER(J51), $B64 * K51, "")</f>
        <v>-205.19835841312104</v>
      </c>
      <c r="M51" s="31">
        <v>72.900000000000006</v>
      </c>
      <c r="N51" s="32">
        <f t="shared" si="21"/>
        <v>-2.7359781121749473E-3</v>
      </c>
      <c r="O51" s="18">
        <f>IF(ISNUMBER(M51), $B64 * N51, "")</f>
        <v>-410.39671682624208</v>
      </c>
      <c r="Q51" s="161"/>
      <c r="R51" s="161"/>
      <c r="S51" s="161"/>
    </row>
    <row r="52" spans="1:19" ht="17.25" customHeight="1" thickBot="1">
      <c r="A52" s="109" t="s">
        <v>224</v>
      </c>
      <c r="B52" s="110">
        <v>22.2</v>
      </c>
      <c r="C52" s="70">
        <v>-4.4843048999999996E-3</v>
      </c>
      <c r="D52" s="15">
        <v>21.8</v>
      </c>
      <c r="E52" s="32">
        <f t="shared" si="18"/>
        <v>-1.8018018018017955E-2</v>
      </c>
      <c r="F52" s="18">
        <f>IF(ISNUMBER(D52), $B64 * E52, "")</f>
        <v>-2702.7027027026934</v>
      </c>
      <c r="G52" s="31">
        <v>22</v>
      </c>
      <c r="H52" s="32">
        <f t="shared" si="19"/>
        <v>-9.0090090090089777E-3</v>
      </c>
      <c r="I52" s="91">
        <f>IF(ISNUMBER(G52), $B64 * H52, "")</f>
        <v>-1351.3513513513467</v>
      </c>
      <c r="J52" s="15">
        <v>22.1</v>
      </c>
      <c r="K52" s="32">
        <f t="shared" si="20"/>
        <v>-4.5045045045044091E-3</v>
      </c>
      <c r="L52" s="18">
        <f>IF(ISNUMBER(J52), $B64 * K52, "")</f>
        <v>-675.67567567566141</v>
      </c>
      <c r="M52" s="31">
        <v>22.3</v>
      </c>
      <c r="N52" s="32">
        <f t="shared" si="21"/>
        <v>4.5045045045045687E-3</v>
      </c>
      <c r="O52" s="18">
        <f>IF(ISNUMBER(M52), $B64 * N52, "")</f>
        <v>675.67567567568528</v>
      </c>
      <c r="Q52" s="33"/>
      <c r="R52" s="33"/>
    </row>
    <row r="53" spans="1:19" ht="17.25" customHeight="1" thickBot="1">
      <c r="A53" s="114" t="s">
        <v>335</v>
      </c>
      <c r="B53" s="115">
        <v>3.9399999999999998E-2</v>
      </c>
      <c r="C53" s="72">
        <v>-5.0505050999999999E-3</v>
      </c>
      <c r="D53" s="24">
        <v>3.9100000000000003E-2</v>
      </c>
      <c r="E53" s="25">
        <f t="shared" si="18"/>
        <v>-7.6142131979694098E-3</v>
      </c>
      <c r="F53" s="94">
        <f>IF(ISNUMBER(D53), $B64 * E53, "")</f>
        <v>-1142.1319796954115</v>
      </c>
      <c r="G53" s="92">
        <v>3.9300000000000002E-2</v>
      </c>
      <c r="H53" s="25">
        <f t="shared" si="19"/>
        <v>-2.5380710659897443E-3</v>
      </c>
      <c r="I53" s="93">
        <f>IF(ISNUMBER(G53), $B64 * H53, "")</f>
        <v>-380.71065989846164</v>
      </c>
      <c r="J53" s="24">
        <v>3.95E-2</v>
      </c>
      <c r="K53" s="25">
        <f t="shared" si="20"/>
        <v>2.5380710659899204E-3</v>
      </c>
      <c r="L53" s="94">
        <f>IF(ISNUMBER(J53), $B64 * K53, "")</f>
        <v>380.71065989848807</v>
      </c>
      <c r="M53" s="92">
        <v>3.9399999999999998E-2</v>
      </c>
      <c r="N53" s="25">
        <f t="shared" si="21"/>
        <v>0</v>
      </c>
      <c r="O53" s="94">
        <f>IF(ISNUMBER(M53), $B64 * N53, "")</f>
        <v>0</v>
      </c>
      <c r="Q53" s="170"/>
      <c r="R53" s="171"/>
      <c r="S53" s="172"/>
    </row>
    <row r="54" spans="1:19" ht="17.25" customHeight="1">
      <c r="A54" s="107" t="s">
        <v>122</v>
      </c>
      <c r="B54" s="108">
        <v>25.6</v>
      </c>
      <c r="C54" s="69">
        <v>-7.7519379999999999E-3</v>
      </c>
      <c r="D54" s="13">
        <v>25.6</v>
      </c>
      <c r="E54" s="14">
        <f>IF(ISNUMBER(D54), (D54 - $B54) / $B54, "")</f>
        <v>0</v>
      </c>
      <c r="F54" s="16">
        <f>IF(ISNUMBER(D54), $B64 * E54, "")</f>
        <v>0</v>
      </c>
      <c r="G54" s="29">
        <v>25.8</v>
      </c>
      <c r="H54" s="14">
        <f>IF(ISNUMBER(G54), (G54 - $B54) / $B54, "")</f>
        <v>7.8124999999999722E-3</v>
      </c>
      <c r="I54" s="90">
        <f>IF(ISNUMBER(G54), $B64 * H54, "")</f>
        <v>1171.8749999999959</v>
      </c>
      <c r="J54" s="13">
        <v>25.9</v>
      </c>
      <c r="K54" s="14">
        <f>IF(ISNUMBER(J54), (J54 - $B54) / $B54, "")</f>
        <v>1.1718749999999889E-2</v>
      </c>
      <c r="L54" s="16">
        <f>IF(ISNUMBER(J54), $B64 * K54, "")</f>
        <v>1757.8124999999834</v>
      </c>
      <c r="M54" s="29">
        <v>25.9</v>
      </c>
      <c r="N54" s="14">
        <f>IF(ISNUMBER(M54), (M54 - $B54) / $B54, "")</f>
        <v>1.1718749999999889E-2</v>
      </c>
      <c r="O54" s="16">
        <f>IF(ISNUMBER(M54), $B64 * N54, "")</f>
        <v>1757.8124999999834</v>
      </c>
      <c r="Q54" s="173"/>
      <c r="R54" s="174"/>
      <c r="S54" s="175"/>
    </row>
    <row r="55" spans="1:19" ht="17.25" customHeight="1" thickBot="1">
      <c r="A55" s="109" t="s">
        <v>64</v>
      </c>
      <c r="B55" s="110">
        <v>11.6</v>
      </c>
      <c r="C55" s="70">
        <v>-8.5470084999999998E-3</v>
      </c>
      <c r="D55" s="15">
        <v>11.5</v>
      </c>
      <c r="E55" s="32">
        <f t="shared" ref="E55:E58" si="22">IF(ISNUMBER(D55), (D55 - $B55) / $B55, "")</f>
        <v>-8.6206896551723842E-3</v>
      </c>
      <c r="F55" s="18">
        <f>IF(ISNUMBER(D55), $B64 * E55, "")</f>
        <v>-1293.1034482758575</v>
      </c>
      <c r="G55" s="31">
        <v>11.6</v>
      </c>
      <c r="H55" s="32">
        <f t="shared" ref="H55:H58" si="23">IF(ISNUMBER(G55), (G55 - $B55) / $B55, "")</f>
        <v>0</v>
      </c>
      <c r="I55" s="91">
        <f>IF(ISNUMBER(G55), $B64 * H55, "")</f>
        <v>0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11.6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176"/>
      <c r="R55" s="177"/>
      <c r="S55" s="178"/>
    </row>
    <row r="56" spans="1:19" ht="17.25" customHeight="1" thickBot="1">
      <c r="A56" s="109" t="s">
        <v>206</v>
      </c>
      <c r="B56" s="110">
        <v>3.48</v>
      </c>
      <c r="C56" s="70">
        <v>-8.5470084999999998E-3</v>
      </c>
      <c r="D56" s="15">
        <v>3.46</v>
      </c>
      <c r="E56" s="32">
        <f t="shared" si="22"/>
        <v>-5.7471264367816143E-3</v>
      </c>
      <c r="F56" s="18">
        <f>IF(ISNUMBER(D56), $B64 * E56, "")</f>
        <v>-862.06896551724219</v>
      </c>
      <c r="G56" s="31">
        <v>3.54</v>
      </c>
      <c r="H56" s="32">
        <f t="shared" si="23"/>
        <v>1.7241379310344845E-2</v>
      </c>
      <c r="I56" s="91">
        <f>IF(ISNUMBER(G56), $B64 * H56, "")</f>
        <v>2586.2068965517269</v>
      </c>
      <c r="J56" s="15">
        <v>3.61</v>
      </c>
      <c r="K56" s="32">
        <f t="shared" si="24"/>
        <v>3.7356321839080428E-2</v>
      </c>
      <c r="L56" s="18">
        <f>IF(ISNUMBER(J56), $B64 * K56, "")</f>
        <v>5603.4482758620643</v>
      </c>
      <c r="M56" s="31">
        <v>3.54</v>
      </c>
      <c r="N56" s="32">
        <f t="shared" si="25"/>
        <v>1.7241379310344845E-2</v>
      </c>
      <c r="O56" s="18">
        <f>IF(ISNUMBER(M56), $B64 * N56, "")</f>
        <v>2586.2068965517269</v>
      </c>
      <c r="Q56" s="161"/>
      <c r="R56" s="161"/>
      <c r="S56" s="161"/>
    </row>
    <row r="57" spans="1:19" ht="17.25" customHeight="1" thickBot="1">
      <c r="A57" s="109" t="s">
        <v>198</v>
      </c>
      <c r="B57" s="110">
        <v>7.59</v>
      </c>
      <c r="C57" s="70">
        <v>-9.1383812000000002E-3</v>
      </c>
      <c r="D57" s="15">
        <v>7.54</v>
      </c>
      <c r="E57" s="32">
        <f t="shared" si="22"/>
        <v>-6.5876152832674336E-3</v>
      </c>
      <c r="F57" s="18">
        <f>IF(ISNUMBER(D57), $B64 * E57, "")</f>
        <v>-988.1422924901151</v>
      </c>
      <c r="G57" s="31">
        <v>8.23</v>
      </c>
      <c r="H57" s="32">
        <f t="shared" si="23"/>
        <v>8.4321475625823525E-2</v>
      </c>
      <c r="I57" s="91">
        <f>IF(ISNUMBER(G57), $B64 * H57, "")</f>
        <v>12648.221343873529</v>
      </c>
      <c r="J57" s="15">
        <v>9.16</v>
      </c>
      <c r="K57" s="32">
        <f t="shared" si="24"/>
        <v>0.2068511198945982</v>
      </c>
      <c r="L57" s="18">
        <f>IF(ISNUMBER(J57), $B64 * K57, "")</f>
        <v>31027.667984189731</v>
      </c>
      <c r="M57" s="31">
        <v>8.65</v>
      </c>
      <c r="N57" s="32">
        <f t="shared" si="25"/>
        <v>0.13965744400527016</v>
      </c>
      <c r="O57" s="18">
        <f>IF(ISNUMBER(M57), $B64 * N57, "")</f>
        <v>20948.616600790523</v>
      </c>
      <c r="Q57" s="156"/>
      <c r="R57" s="156"/>
      <c r="S57" s="156"/>
    </row>
    <row r="58" spans="1:19" ht="17.25" customHeight="1" thickBot="1">
      <c r="A58" s="111" t="s">
        <v>155</v>
      </c>
      <c r="B58" s="112">
        <v>31</v>
      </c>
      <c r="C58" s="71">
        <v>-9.5846644999999994E-3</v>
      </c>
      <c r="D58" s="20">
        <v>30.7</v>
      </c>
      <c r="E58" s="21">
        <f t="shared" si="22"/>
        <v>-9.6774193548387327E-3</v>
      </c>
      <c r="F58" s="22">
        <f>IF(ISNUMBER(D58), $B64 * E58, "")</f>
        <v>-1451.61290322581</v>
      </c>
      <c r="G58" s="30">
        <v>30.8</v>
      </c>
      <c r="H58" s="21">
        <f t="shared" si="23"/>
        <v>-6.4516129032257839E-3</v>
      </c>
      <c r="I58" s="95">
        <f>IF(ISNUMBER(G58), $B64 * H58, "")</f>
        <v>-967.74193548386756</v>
      </c>
      <c r="J58" s="20">
        <v>31</v>
      </c>
      <c r="K58" s="21">
        <f t="shared" si="24"/>
        <v>0</v>
      </c>
      <c r="L58" s="22">
        <f>IF(ISNUMBER(J58), $B64 * K58, "")</f>
        <v>0</v>
      </c>
      <c r="M58" s="30">
        <v>30.9</v>
      </c>
      <c r="N58" s="21">
        <f t="shared" si="25"/>
        <v>-3.2258064516129492E-3</v>
      </c>
      <c r="O58" s="22">
        <f>IF(ISNUMBER(M58), $B64 * N58, "")</f>
        <v>-483.87096774194237</v>
      </c>
      <c r="Q58" s="156"/>
      <c r="R58" s="156"/>
      <c r="S58" s="156"/>
    </row>
    <row r="59" spans="1:19" ht="17.25" customHeight="1" thickBot="1">
      <c r="A59" s="109" t="s">
        <v>126</v>
      </c>
      <c r="B59" s="113">
        <v>30.6</v>
      </c>
      <c r="C59" s="73">
        <v>-9.7087379000000001E-3</v>
      </c>
      <c r="D59" s="96">
        <v>30.5</v>
      </c>
      <c r="E59" s="97">
        <f>IF(ISNUMBER(D59), (D59 - $B59) / $B59, "")</f>
        <v>-3.2679738562091968E-3</v>
      </c>
      <c r="F59" s="98">
        <f>IF(ISNUMBER(D59), $B64 * E59, "")</f>
        <v>-490.19607843137953</v>
      </c>
      <c r="G59" s="99">
        <v>30.9</v>
      </c>
      <c r="H59" s="97">
        <f>IF(ISNUMBER(G59), (G59 - $B59) / $B59, "")</f>
        <v>9.8039215686273572E-3</v>
      </c>
      <c r="I59" s="100">
        <f>IF(ISNUMBER(G59), $B64 * H59, "")</f>
        <v>1470.5882352941035</v>
      </c>
      <c r="J59" s="96">
        <v>31</v>
      </c>
      <c r="K59" s="97">
        <f>IF(ISNUMBER(J59), (J59 - $B59) / $B59, "")</f>
        <v>1.3071895424836555E-2</v>
      </c>
      <c r="L59" s="98">
        <f>IF(ISNUMBER(J59), $B64 * K59, "")</f>
        <v>1960.7843137254831</v>
      </c>
      <c r="M59" s="99">
        <v>30.7</v>
      </c>
      <c r="N59" s="97">
        <f>IF(ISNUMBER(M59), (M59 - $B59) / $B59, "")</f>
        <v>3.2679738562090806E-3</v>
      </c>
      <c r="O59" s="98">
        <f>IF(ISNUMBER(M59), $B64 * N59, "")</f>
        <v>490.19607843136208</v>
      </c>
      <c r="Q59" s="161"/>
      <c r="R59" s="161"/>
      <c r="S59" s="161"/>
    </row>
    <row r="60" spans="1:19" ht="17.25" customHeight="1" thickBot="1">
      <c r="A60" s="109" t="s">
        <v>338</v>
      </c>
      <c r="B60" s="110">
        <v>5.01</v>
      </c>
      <c r="C60" s="70">
        <v>-9.8814229000000007E-3</v>
      </c>
      <c r="D60" s="15">
        <v>4.97</v>
      </c>
      <c r="E60" s="32">
        <f t="shared" ref="E60:E63" si="26">IF(ISNUMBER(D60), (D60 - $B60) / $B60, "")</f>
        <v>-7.9840319361277525E-3</v>
      </c>
      <c r="F60" s="18">
        <f>IF(ISNUMBER(D60), $B64 * E60, "")</f>
        <v>-1197.6047904191628</v>
      </c>
      <c r="G60" s="31">
        <v>5.04</v>
      </c>
      <c r="H60" s="32">
        <f t="shared" ref="H60:H63" si="27">IF(ISNUMBER(G60), (G60 - $B60) / $B60, "")</f>
        <v>5.9880239520958582E-3</v>
      </c>
      <c r="I60" s="91">
        <f>IF(ISNUMBER(G60), $B64 * H60, "")</f>
        <v>898.20359281437868</v>
      </c>
      <c r="J60" s="15">
        <v>5.1100000000000003</v>
      </c>
      <c r="K60" s="32">
        <f t="shared" ref="K60:K63" si="28">IF(ISNUMBER(J60), (J60 - $B60) / $B60, "")</f>
        <v>1.9960079840319469E-2</v>
      </c>
      <c r="L60" s="18">
        <f>IF(ISNUMBER(J60), $B64 * K60, "")</f>
        <v>2994.0119760479201</v>
      </c>
      <c r="M60" s="31">
        <v>5.12</v>
      </c>
      <c r="N60" s="32">
        <f t="shared" ref="N60:N63" si="29">IF(ISNUMBER(M60), (M60 - $B60) / $B60, "")</f>
        <v>2.1956087824351361E-2</v>
      </c>
      <c r="O60" s="18">
        <f>IF(ISNUMBER(M60), $B64 * N60, "")</f>
        <v>3293.4131736527042</v>
      </c>
      <c r="Q60" s="161"/>
      <c r="R60" s="161"/>
      <c r="S60" s="161"/>
    </row>
    <row r="61" spans="1:19" ht="17.25" customHeight="1" thickBot="1">
      <c r="A61" s="109" t="s">
        <v>336</v>
      </c>
      <c r="B61" s="110">
        <v>87.7</v>
      </c>
      <c r="C61" s="70">
        <v>-1.01580135E-2</v>
      </c>
      <c r="D61" s="15">
        <v>87.1</v>
      </c>
      <c r="E61" s="32">
        <f t="shared" si="26"/>
        <v>-6.8415051311289457E-3</v>
      </c>
      <c r="F61" s="18">
        <f>IF(ISNUMBER(D61), $B64 * E61, "")</f>
        <v>-1026.2257696693418</v>
      </c>
      <c r="G61" s="31">
        <v>86.9</v>
      </c>
      <c r="H61" s="32">
        <f t="shared" si="27"/>
        <v>-9.1220068415050985E-3</v>
      </c>
      <c r="I61" s="91">
        <f>IF(ISNUMBER(G61), $B64 * H61, "")</f>
        <v>-1368.3010262257649</v>
      </c>
      <c r="J61" s="15">
        <v>87.1</v>
      </c>
      <c r="K61" s="32">
        <f t="shared" si="28"/>
        <v>-6.8415051311289457E-3</v>
      </c>
      <c r="L61" s="18">
        <f>IF(ISNUMBER(J61), $B64 * K61, "")</f>
        <v>-1026.2257696693418</v>
      </c>
      <c r="M61" s="31">
        <v>86.9</v>
      </c>
      <c r="N61" s="32">
        <f t="shared" si="29"/>
        <v>-9.1220068415050985E-3</v>
      </c>
      <c r="O61" s="18">
        <f>IF(ISNUMBER(M61), $B64 * N61, "")</f>
        <v>-1368.3010262257649</v>
      </c>
      <c r="Q61" s="161"/>
      <c r="R61" s="161"/>
      <c r="S61" s="161"/>
    </row>
    <row r="62" spans="1:19" ht="17.25" customHeight="1">
      <c r="A62" s="109" t="s">
        <v>56</v>
      </c>
      <c r="B62" s="110">
        <v>43.9</v>
      </c>
      <c r="C62" s="70">
        <v>-1.12612613E-2</v>
      </c>
      <c r="D62" s="15">
        <v>43.5</v>
      </c>
      <c r="E62" s="32">
        <f t="shared" si="26"/>
        <v>-9.1116173120728613E-3</v>
      </c>
      <c r="F62" s="18">
        <f>IF(ISNUMBER(D62), $B64 * E62, "")</f>
        <v>-1366.7425968109292</v>
      </c>
      <c r="G62" s="31">
        <v>43.8</v>
      </c>
      <c r="H62" s="32">
        <f t="shared" si="27"/>
        <v>-2.2779043280182557E-3</v>
      </c>
      <c r="I62" s="91">
        <f>IF(ISNUMBER(G62), $B64 * H62, "")</f>
        <v>-341.68564920273838</v>
      </c>
      <c r="J62" s="15">
        <v>44</v>
      </c>
      <c r="K62" s="32">
        <f t="shared" si="28"/>
        <v>2.2779043280182557E-3</v>
      </c>
      <c r="L62" s="18">
        <f>IF(ISNUMBER(J62), $B64 * K62, "")</f>
        <v>341.68564920273838</v>
      </c>
      <c r="M62" s="31">
        <v>43.9</v>
      </c>
      <c r="N62" s="32">
        <f t="shared" si="29"/>
        <v>0</v>
      </c>
      <c r="O62" s="18">
        <f>IF(ISNUMBER(M62), $B64 * N62, "")</f>
        <v>0</v>
      </c>
      <c r="Q62" s="183"/>
      <c r="R62" s="184"/>
      <c r="S62" s="185"/>
    </row>
    <row r="63" spans="1:19" ht="17.25" customHeight="1" thickBot="1">
      <c r="A63" s="114" t="s">
        <v>230</v>
      </c>
      <c r="B63" s="115">
        <v>42.8</v>
      </c>
      <c r="C63" s="72">
        <v>-1.1547344100000001E-2</v>
      </c>
      <c r="D63" s="24">
        <v>41.9</v>
      </c>
      <c r="E63" s="25">
        <f t="shared" si="26"/>
        <v>-2.1028037383177538E-2</v>
      </c>
      <c r="F63" s="94">
        <f>IF(ISNUMBER(D63), $B64 * E63, "")</f>
        <v>-3154.2056074766306</v>
      </c>
      <c r="G63" s="92">
        <v>42</v>
      </c>
      <c r="H63" s="25">
        <f t="shared" si="27"/>
        <v>-1.8691588785046665E-2</v>
      </c>
      <c r="I63" s="93">
        <f>IF(ISNUMBER(G63), $B64 * H63, "")</f>
        <v>-2803.7383177569995</v>
      </c>
      <c r="J63" s="24">
        <v>42.4</v>
      </c>
      <c r="K63" s="25">
        <f t="shared" si="28"/>
        <v>-9.3457943925233326E-3</v>
      </c>
      <c r="L63" s="94">
        <f>IF(ISNUMBER(J63), $B64 * K63, "")</f>
        <v>-1401.8691588784998</v>
      </c>
      <c r="M63" s="92">
        <v>42.5</v>
      </c>
      <c r="N63" s="25">
        <f t="shared" si="29"/>
        <v>-7.0093457943924574E-3</v>
      </c>
      <c r="O63" s="94">
        <f>IF(ISNUMBER(M63), $B64 * N63, "")</f>
        <v>-1051.4018691588685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-1.366607200118245E-2</v>
      </c>
      <c r="F64" s="28">
        <f>SUM(F44:F63)</f>
        <v>-40998.216003547357</v>
      </c>
      <c r="G64" s="26" t="s">
        <v>261</v>
      </c>
      <c r="H64" s="27">
        <f>IF(COUNT(H44:H63), SUM(H44:H63) / COUNT(H44:H63), 0)</f>
        <v>2.2720843568012593E-3</v>
      </c>
      <c r="I64" s="28">
        <f>SUM(I44:I63)</f>
        <v>6816.2530704037799</v>
      </c>
      <c r="J64" s="26" t="s">
        <v>261</v>
      </c>
      <c r="K64" s="27">
        <f>IF(COUNT(K44:K63), SUM(K44:K63) / COUNT(K44:K63), 0)</f>
        <v>1.0581263420565456E-2</v>
      </c>
      <c r="L64" s="28">
        <f>SUM(L44:L63)</f>
        <v>31743.790261696369</v>
      </c>
      <c r="M64" s="26" t="s">
        <v>261</v>
      </c>
      <c r="N64" s="27">
        <f>IF(COUNT(N44:N63), SUM(N44:N63) / COUNT(N44:N63), 0)</f>
        <v>1.8206925497109162E-3</v>
      </c>
      <c r="O64" s="28">
        <f>SUM(O44:O63)</f>
        <v>5462.0776491327433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2022-12-02(금) 오전 00:00</v>
      </c>
      <c r="C69" s="199"/>
      <c r="D69" s="158" t="str">
        <f>TEXT($G$1, "[$-ko-KR]yyyy-mm-dd(ddd) ") &amp; "오후 14:00"</f>
        <v>2022-12-02(금) 오후 14:00</v>
      </c>
      <c r="E69" s="159"/>
      <c r="F69" s="160"/>
      <c r="G69" s="158" t="str">
        <f>TEXT($G$1, "[$-ko-KR]yyyy-mm-dd(ddd) ") &amp; "오후 19:00"</f>
        <v>2022-12-02(금) 오후 19:00</v>
      </c>
      <c r="H69" s="159"/>
      <c r="I69" s="160"/>
      <c r="J69" s="158" t="str">
        <f>TEXT($G$1, "[$-ko-KR]yyyy-mm-dd(ddd) ") &amp; "오후 21:00"</f>
        <v>2022-12-02(금) 오후 21:00</v>
      </c>
      <c r="K69" s="159"/>
      <c r="L69" s="160"/>
      <c r="M69" s="158" t="str">
        <f>TEXT($G$1+1, "[$-ko-KR]yyyy-mm-dd(ddd) ") &amp; "오전 00:00"</f>
        <v>2022-12-03(토)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337</v>
      </c>
      <c r="B71" s="108">
        <v>333</v>
      </c>
      <c r="C71" s="69">
        <v>6.0422961000000004E-3</v>
      </c>
      <c r="D71" s="13">
        <v>335</v>
      </c>
      <c r="E71" s="14">
        <f>IF(ISNUMBER(D71), (D71 - $B71) / $B71, "")</f>
        <v>6.006006006006006E-3</v>
      </c>
      <c r="F71" s="16">
        <f>IF(ISNUMBER(D71), $B91 * E71, "")</f>
        <v>900.90090090090087</v>
      </c>
      <c r="G71" s="29">
        <v>344</v>
      </c>
      <c r="H71" s="14">
        <f>IF(ISNUMBER(G71), (G71 - $B71) / $B71, "")</f>
        <v>3.3033033033033031E-2</v>
      </c>
      <c r="I71" s="90">
        <f>IF(ISNUMBER(G71), $B91 * H71, "")</f>
        <v>4954.9549549549547</v>
      </c>
      <c r="J71" s="13">
        <v>346</v>
      </c>
      <c r="K71" s="14">
        <f>IF(ISNUMBER(J71), (J71 - $B71) / $B71, "")</f>
        <v>3.903903903903904E-2</v>
      </c>
      <c r="L71" s="16">
        <f>IF(ISNUMBER(J71), $B91 * K71, "")</f>
        <v>5855.8558558558561</v>
      </c>
      <c r="M71" s="29">
        <v>343</v>
      </c>
      <c r="N71" s="14">
        <f>IF(ISNUMBER(M71), (M71 - $B71) / $B71, "")</f>
        <v>3.003003003003003E-2</v>
      </c>
      <c r="O71" s="16">
        <f>IF(ISNUMBER(M71), $B91 * N71, "")</f>
        <v>4504.5045045045044</v>
      </c>
      <c r="Q71" s="156"/>
      <c r="R71" s="156"/>
      <c r="S71" s="156"/>
    </row>
    <row r="72" spans="1:19" ht="17.25" thickBot="1">
      <c r="A72" s="109" t="s">
        <v>111</v>
      </c>
      <c r="B72" s="110">
        <v>788</v>
      </c>
      <c r="C72" s="70">
        <v>3.8216561000000001E-3</v>
      </c>
      <c r="D72" s="15">
        <v>793</v>
      </c>
      <c r="E72" s="32">
        <f t="shared" ref="E72:E75" si="30">IF(ISNUMBER(D72), (D72 - $B72) / $B72, "")</f>
        <v>6.3451776649746192E-3</v>
      </c>
      <c r="F72" s="18">
        <f>IF(ISNUMBER(D72), $B91 * E72, "")</f>
        <v>951.7766497461929</v>
      </c>
      <c r="G72" s="31">
        <v>805</v>
      </c>
      <c r="H72" s="32">
        <f t="shared" ref="H72:H75" si="31">IF(ISNUMBER(G72), (G72 - $B72) / $B72, "")</f>
        <v>2.1573604060913704E-2</v>
      </c>
      <c r="I72" s="91">
        <f>IF(ISNUMBER(G72), $B91 * H72, "")</f>
        <v>3236.0406091370555</v>
      </c>
      <c r="J72" s="15">
        <v>802</v>
      </c>
      <c r="K72" s="32">
        <f t="shared" ref="K72:K75" si="32">IF(ISNUMBER(J72), (J72 - $B72) / $B72, "")</f>
        <v>1.7766497461928935E-2</v>
      </c>
      <c r="L72" s="18">
        <f>IF(ISNUMBER(J72), $B91 * K72, "")</f>
        <v>2664.9746192893404</v>
      </c>
      <c r="M72" s="31">
        <v>809</v>
      </c>
      <c r="N72" s="32">
        <f t="shared" ref="N72:N75" si="33">IF(ISNUMBER(M72), (M72 - $B72) / $B72, "")</f>
        <v>2.6649746192893401E-2</v>
      </c>
      <c r="O72" s="18">
        <f>IF(ISNUMBER(M72), $B91 * N72, "")</f>
        <v>3997.4619289340103</v>
      </c>
      <c r="Q72" s="156"/>
      <c r="R72" s="156"/>
      <c r="S72" s="156"/>
    </row>
    <row r="73" spans="1:19" ht="17.25" thickBot="1">
      <c r="A73" s="109" t="s">
        <v>79</v>
      </c>
      <c r="B73" s="110">
        <v>313</v>
      </c>
      <c r="C73" s="70">
        <v>0</v>
      </c>
      <c r="D73" s="15">
        <v>310</v>
      </c>
      <c r="E73" s="32">
        <f t="shared" si="30"/>
        <v>-9.5846645367412137E-3</v>
      </c>
      <c r="F73" s="18">
        <f>IF(ISNUMBER(D73), $B91 * E73, "")</f>
        <v>-1437.6996805111821</v>
      </c>
      <c r="G73" s="31">
        <v>315</v>
      </c>
      <c r="H73" s="32">
        <f t="shared" si="31"/>
        <v>6.3897763578274758E-3</v>
      </c>
      <c r="I73" s="91">
        <f>IF(ISNUMBER(G73), $B91 * H73, "")</f>
        <v>958.46645367412134</v>
      </c>
      <c r="J73" s="15">
        <v>315</v>
      </c>
      <c r="K73" s="32">
        <f t="shared" si="32"/>
        <v>6.3897763578274758E-3</v>
      </c>
      <c r="L73" s="18">
        <f>IF(ISNUMBER(J73), $B91 * K73, "")</f>
        <v>958.46645367412134</v>
      </c>
      <c r="M73" s="31">
        <v>315</v>
      </c>
      <c r="N73" s="32">
        <f t="shared" si="33"/>
        <v>6.3897763578274758E-3</v>
      </c>
      <c r="O73" s="18">
        <f>IF(ISNUMBER(M73), $B91 * N73, "")</f>
        <v>958.46645367412134</v>
      </c>
      <c r="Q73" s="161"/>
      <c r="R73" s="161"/>
      <c r="S73" s="161"/>
    </row>
    <row r="74" spans="1:19" ht="17.25" thickBot="1">
      <c r="A74" s="109" t="s">
        <v>81</v>
      </c>
      <c r="B74" s="110">
        <v>424</v>
      </c>
      <c r="C74" s="70">
        <v>-4.6948357000000003E-3</v>
      </c>
      <c r="D74" s="15">
        <v>423</v>
      </c>
      <c r="E74" s="32">
        <f t="shared" si="30"/>
        <v>-2.3584905660377358E-3</v>
      </c>
      <c r="F74" s="18">
        <f>IF(ISNUMBER(D74), $B91 * E74, "")</f>
        <v>-353.77358490566036</v>
      </c>
      <c r="G74" s="31">
        <v>424</v>
      </c>
      <c r="H74" s="32">
        <f t="shared" si="31"/>
        <v>0</v>
      </c>
      <c r="I74" s="91">
        <f>IF(ISNUMBER(G74), $B91 * H74, "")</f>
        <v>0</v>
      </c>
      <c r="J74" s="15">
        <v>426</v>
      </c>
      <c r="K74" s="32">
        <f t="shared" si="32"/>
        <v>4.7169811320754715E-3</v>
      </c>
      <c r="L74" s="18">
        <f>IF(ISNUMBER(J74), $B91 * K74, "")</f>
        <v>707.54716981132071</v>
      </c>
      <c r="M74" s="31">
        <v>426</v>
      </c>
      <c r="N74" s="32">
        <f t="shared" si="33"/>
        <v>4.7169811320754715E-3</v>
      </c>
      <c r="O74" s="18">
        <f>IF(ISNUMBER(M74), $B91 * N74, "")</f>
        <v>707.54716981132071</v>
      </c>
      <c r="Q74" s="161"/>
      <c r="R74" s="161"/>
      <c r="S74" s="161"/>
    </row>
    <row r="75" spans="1:19" ht="17.25" thickBot="1">
      <c r="A75" s="111" t="s">
        <v>204</v>
      </c>
      <c r="B75" s="112">
        <v>278</v>
      </c>
      <c r="C75" s="71">
        <v>-7.1428571000000003E-3</v>
      </c>
      <c r="D75" s="20">
        <v>275</v>
      </c>
      <c r="E75" s="21">
        <f t="shared" si="30"/>
        <v>-1.0791366906474821E-2</v>
      </c>
      <c r="F75" s="22">
        <f>IF(ISNUMBER(D75), $B91 * E75, "")</f>
        <v>-1618.7050359712232</v>
      </c>
      <c r="G75" s="30">
        <v>276</v>
      </c>
      <c r="H75" s="21">
        <f t="shared" si="31"/>
        <v>-7.1942446043165471E-3</v>
      </c>
      <c r="I75" s="95">
        <f>IF(ISNUMBER(G75), $B91 * H75, "")</f>
        <v>-1079.1366906474821</v>
      </c>
      <c r="J75" s="20">
        <v>279</v>
      </c>
      <c r="K75" s="21">
        <f t="shared" si="32"/>
        <v>3.5971223021582736E-3</v>
      </c>
      <c r="L75" s="22">
        <f>IF(ISNUMBER(J75), $B91 * K75, "")</f>
        <v>539.56834532374103</v>
      </c>
      <c r="M75" s="30">
        <v>277</v>
      </c>
      <c r="N75" s="21">
        <f t="shared" si="33"/>
        <v>-3.5971223021582736E-3</v>
      </c>
      <c r="O75" s="22">
        <f>IF(ISNUMBER(M75), $B91 * N75, "")</f>
        <v>-539.56834532374103</v>
      </c>
      <c r="Q75" s="161"/>
      <c r="R75" s="161"/>
      <c r="S75" s="161"/>
    </row>
    <row r="76" spans="1:19" ht="17.25" thickBot="1">
      <c r="A76" s="109" t="s">
        <v>149</v>
      </c>
      <c r="B76" s="113">
        <v>412</v>
      </c>
      <c r="C76" s="73">
        <v>-7.2289156999999996E-3</v>
      </c>
      <c r="D76" s="96">
        <v>409</v>
      </c>
      <c r="E76" s="97">
        <f>IF(ISNUMBER(D76), (D76 - $B76) / $B76, "")</f>
        <v>-7.2815533980582527E-3</v>
      </c>
      <c r="F76" s="98">
        <f>IF(ISNUMBER(D76), $B91 * E76, "")</f>
        <v>-1092.2330097087379</v>
      </c>
      <c r="G76" s="99">
        <v>414</v>
      </c>
      <c r="H76" s="97">
        <f>IF(ISNUMBER(G76), (G76 - $B76) / $B76, "")</f>
        <v>4.8543689320388345E-3</v>
      </c>
      <c r="I76" s="100">
        <f>IF(ISNUMBER(G76), $B91 * H76, "")</f>
        <v>728.15533980582518</v>
      </c>
      <c r="J76" s="96">
        <v>415</v>
      </c>
      <c r="K76" s="97">
        <f>IF(ISNUMBER(J76), (J76 - $B76) / $B76, "")</f>
        <v>7.2815533980582527E-3</v>
      </c>
      <c r="L76" s="98">
        <f>IF(ISNUMBER(J76), $B91 * K76, "")</f>
        <v>1092.2330097087379</v>
      </c>
      <c r="M76" s="99">
        <v>416</v>
      </c>
      <c r="N76" s="97">
        <f>IF(ISNUMBER(M76), (M76 - $B76) / $B76, "")</f>
        <v>9.7087378640776691E-3</v>
      </c>
      <c r="O76" s="98">
        <f>IF(ISNUMBER(M76), $B91 * N76, "")</f>
        <v>1456.3106796116504</v>
      </c>
      <c r="Q76" s="161"/>
      <c r="R76" s="161"/>
      <c r="S76" s="161"/>
    </row>
    <row r="77" spans="1:19" ht="17.25" thickBot="1">
      <c r="A77" s="109" t="s">
        <v>60</v>
      </c>
      <c r="B77" s="110">
        <v>543</v>
      </c>
      <c r="C77" s="70">
        <v>-9.1240876000000005E-3</v>
      </c>
      <c r="D77" s="15">
        <v>543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561</v>
      </c>
      <c r="H77" s="32">
        <f t="shared" ref="H77:H80" si="35">IF(ISNUMBER(G77), (G77 - $B77) / $B77, "")</f>
        <v>3.3149171270718231E-2</v>
      </c>
      <c r="I77" s="91">
        <f>IF(ISNUMBER(G77), $B91 * H77, "")</f>
        <v>4972.3756906077342</v>
      </c>
      <c r="J77" s="15">
        <v>559</v>
      </c>
      <c r="K77" s="32">
        <f t="shared" ref="K77:K80" si="36">IF(ISNUMBER(J77), (J77 - $B77) / $B77, "")</f>
        <v>2.9465930018416207E-2</v>
      </c>
      <c r="L77" s="18">
        <f>IF(ISNUMBER(J77), $B91 * K77, "")</f>
        <v>4419.8895027624312</v>
      </c>
      <c r="M77" s="31">
        <v>565</v>
      </c>
      <c r="N77" s="32">
        <f t="shared" ref="N77:N80" si="37">IF(ISNUMBER(M77), (M77 - $B77) / $B77, "")</f>
        <v>4.0515653775322284E-2</v>
      </c>
      <c r="O77" s="18">
        <f>IF(ISNUMBER(M77), $B91 * N77, "")</f>
        <v>6077.3480662983429</v>
      </c>
      <c r="Q77" s="161"/>
      <c r="R77" s="161"/>
      <c r="S77" s="161"/>
    </row>
    <row r="78" spans="1:19" ht="17.25" thickBot="1">
      <c r="A78" s="109" t="s">
        <v>169</v>
      </c>
      <c r="B78" s="110">
        <v>285</v>
      </c>
      <c r="C78" s="70">
        <v>-1.04166667E-2</v>
      </c>
      <c r="D78" s="15">
        <v>284</v>
      </c>
      <c r="E78" s="32">
        <f t="shared" si="34"/>
        <v>-3.5087719298245615E-3</v>
      </c>
      <c r="F78" s="18">
        <f>IF(ISNUMBER(D78), $B91 * E78, "")</f>
        <v>-526.31578947368428</v>
      </c>
      <c r="G78" s="31">
        <v>284</v>
      </c>
      <c r="H78" s="32">
        <f t="shared" si="35"/>
        <v>-3.5087719298245615E-3</v>
      </c>
      <c r="I78" s="91">
        <f>IF(ISNUMBER(G78), $B91 * H78, "")</f>
        <v>-526.31578947368428</v>
      </c>
      <c r="J78" s="15">
        <v>286</v>
      </c>
      <c r="K78" s="32">
        <f t="shared" si="36"/>
        <v>3.5087719298245615E-3</v>
      </c>
      <c r="L78" s="18">
        <f>IF(ISNUMBER(J78), $B91 * K78, "")</f>
        <v>526.31578947368428</v>
      </c>
      <c r="M78" s="31">
        <v>285</v>
      </c>
      <c r="N78" s="32">
        <f t="shared" si="37"/>
        <v>0</v>
      </c>
      <c r="O78" s="18">
        <f>IF(ISNUMBER(M78), $B91 * N78, "")</f>
        <v>0</v>
      </c>
      <c r="Q78" s="161"/>
      <c r="R78" s="161"/>
      <c r="S78" s="161"/>
    </row>
    <row r="79" spans="1:19" ht="17.25" thickBot="1">
      <c r="A79" s="109" t="s">
        <v>187</v>
      </c>
      <c r="B79" s="110">
        <v>770</v>
      </c>
      <c r="C79" s="70">
        <v>-1.1553273399999999E-2</v>
      </c>
      <c r="D79" s="15">
        <v>764</v>
      </c>
      <c r="E79" s="32">
        <f t="shared" si="34"/>
        <v>-7.7922077922077922E-3</v>
      </c>
      <c r="F79" s="18">
        <f>IF(ISNUMBER(D79), $B91 * E79, "")</f>
        <v>-1168.8311688311687</v>
      </c>
      <c r="G79" s="31">
        <v>767</v>
      </c>
      <c r="H79" s="32">
        <f t="shared" si="35"/>
        <v>-3.8961038961038961E-3</v>
      </c>
      <c r="I79" s="91">
        <f>IF(ISNUMBER(G79), $B91 * H79, "")</f>
        <v>-584.41558441558436</v>
      </c>
      <c r="J79" s="15">
        <v>772</v>
      </c>
      <c r="K79" s="32">
        <f t="shared" si="36"/>
        <v>2.5974025974025974E-3</v>
      </c>
      <c r="L79" s="18">
        <f>IF(ISNUMBER(J79), $B91 * K79, "")</f>
        <v>389.61038961038963</v>
      </c>
      <c r="M79" s="31">
        <v>775</v>
      </c>
      <c r="N79" s="32">
        <f t="shared" si="37"/>
        <v>6.4935064935064939E-3</v>
      </c>
      <c r="O79" s="18">
        <f>IF(ISNUMBER(M79), $B91 * N79, "")</f>
        <v>974.02597402597405</v>
      </c>
      <c r="Q79" s="33"/>
      <c r="R79" s="33"/>
    </row>
    <row r="80" spans="1:19" ht="17.25" thickBot="1">
      <c r="A80" s="114" t="s">
        <v>101</v>
      </c>
      <c r="B80" s="115">
        <v>245</v>
      </c>
      <c r="C80" s="72">
        <v>-1.20967742E-2</v>
      </c>
      <c r="D80" s="24">
        <v>246</v>
      </c>
      <c r="E80" s="25">
        <f t="shared" si="34"/>
        <v>4.0816326530612249E-3</v>
      </c>
      <c r="F80" s="94">
        <f>IF(ISNUMBER(D80), $B91 * E80, "")</f>
        <v>612.24489795918373</v>
      </c>
      <c r="G80" s="92">
        <v>250</v>
      </c>
      <c r="H80" s="25">
        <f t="shared" si="35"/>
        <v>2.0408163265306121E-2</v>
      </c>
      <c r="I80" s="93">
        <f>IF(ISNUMBER(G80), $B91 * H80, "")</f>
        <v>3061.2244897959181</v>
      </c>
      <c r="J80" s="24">
        <v>251</v>
      </c>
      <c r="K80" s="25">
        <f t="shared" si="36"/>
        <v>2.4489795918367346E-2</v>
      </c>
      <c r="L80" s="94">
        <f>IF(ISNUMBER(J80), $B91 * K80, "")</f>
        <v>3673.4693877551017</v>
      </c>
      <c r="M80" s="92">
        <v>254</v>
      </c>
      <c r="N80" s="25">
        <f t="shared" si="37"/>
        <v>3.6734693877551024E-2</v>
      </c>
      <c r="O80" s="94">
        <f>IF(ISNUMBER(M80), $B91 * N80, "")</f>
        <v>5510.2040816326535</v>
      </c>
      <c r="Q80" s="170"/>
      <c r="R80" s="171"/>
      <c r="S80" s="172"/>
    </row>
    <row r="81" spans="1:19">
      <c r="A81" s="107" t="s">
        <v>226</v>
      </c>
      <c r="B81" s="108">
        <v>238</v>
      </c>
      <c r="C81" s="69">
        <v>-1.2448132799999999E-2</v>
      </c>
      <c r="D81" s="13">
        <v>235</v>
      </c>
      <c r="E81" s="14">
        <f>IF(ISNUMBER(D81), (D81 - $B81) / $B81, "")</f>
        <v>-1.2605042016806723E-2</v>
      </c>
      <c r="F81" s="16">
        <f>IF(ISNUMBER(D81), $B91 * E81, "")</f>
        <v>-1890.7563025210084</v>
      </c>
      <c r="G81" s="29">
        <v>235</v>
      </c>
      <c r="H81" s="14">
        <f>IF(ISNUMBER(G81), (G81 - $B81) / $B81, "")</f>
        <v>-1.2605042016806723E-2</v>
      </c>
      <c r="I81" s="90">
        <f>IF(ISNUMBER(G81), $B91 * H81, "")</f>
        <v>-1890.7563025210084</v>
      </c>
      <c r="J81" s="13">
        <v>237</v>
      </c>
      <c r="K81" s="14">
        <f>IF(ISNUMBER(J81), (J81 - $B81) / $B81, "")</f>
        <v>-4.2016806722689074E-3</v>
      </c>
      <c r="L81" s="16">
        <f>IF(ISNUMBER(J81), $B91 * K81, "")</f>
        <v>-630.25210084033608</v>
      </c>
      <c r="M81" s="29">
        <v>238</v>
      </c>
      <c r="N81" s="14">
        <f>IF(ISNUMBER(M81), (M81 - $B81) / $B81, "")</f>
        <v>0</v>
      </c>
      <c r="O81" s="16">
        <f>IF(ISNUMBER(M81), $B91 * N81, "")</f>
        <v>0</v>
      </c>
      <c r="Q81" s="173"/>
      <c r="R81" s="174"/>
      <c r="S81" s="175"/>
    </row>
    <row r="82" spans="1:19" ht="17.25" thickBot="1">
      <c r="A82" s="109" t="s">
        <v>183</v>
      </c>
      <c r="B82" s="110">
        <v>153</v>
      </c>
      <c r="C82" s="70">
        <v>-1.2903225799999999E-2</v>
      </c>
      <c r="D82" s="15">
        <v>153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152</v>
      </c>
      <c r="H82" s="32">
        <f t="shared" ref="H82:H85" si="39">IF(ISNUMBER(G82), (G82 - $B82) / $B82, "")</f>
        <v>-6.5359477124183009E-3</v>
      </c>
      <c r="I82" s="91">
        <f>IF(ISNUMBER(G82), $B91 * H82, "")</f>
        <v>-980.39215686274508</v>
      </c>
      <c r="J82" s="15">
        <v>152</v>
      </c>
      <c r="K82" s="32">
        <f t="shared" ref="K82:K85" si="40">IF(ISNUMBER(J82), (J82 - $B82) / $B82, "")</f>
        <v>-6.5359477124183009E-3</v>
      </c>
      <c r="L82" s="18">
        <f>IF(ISNUMBER(J82), $B91 * K82, "")</f>
        <v>-980.39215686274508</v>
      </c>
      <c r="M82" s="31">
        <v>153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176"/>
      <c r="R82" s="177"/>
      <c r="S82" s="178"/>
    </row>
    <row r="83" spans="1:19" ht="17.25" thickBot="1">
      <c r="A83" s="109" t="s">
        <v>346</v>
      </c>
      <c r="B83" s="110">
        <v>524</v>
      </c>
      <c r="C83" s="70">
        <v>-1.3182674199999999E-2</v>
      </c>
      <c r="D83" s="15">
        <v>522</v>
      </c>
      <c r="E83" s="32">
        <f t="shared" si="38"/>
        <v>-3.8167938931297708E-3</v>
      </c>
      <c r="F83" s="18">
        <f>IF(ISNUMBER(D83), $B91 * E83, "")</f>
        <v>-572.51908396946567</v>
      </c>
      <c r="G83" s="31">
        <v>520</v>
      </c>
      <c r="H83" s="32">
        <f t="shared" si="39"/>
        <v>-7.6335877862595417E-3</v>
      </c>
      <c r="I83" s="91">
        <f>IF(ISNUMBER(G83), $B91 * H83, "")</f>
        <v>-1145.0381679389313</v>
      </c>
      <c r="J83" s="15">
        <v>522</v>
      </c>
      <c r="K83" s="32">
        <f t="shared" si="40"/>
        <v>-3.8167938931297708E-3</v>
      </c>
      <c r="L83" s="18">
        <f>IF(ISNUMBER(J83), $B91 * K83, "")</f>
        <v>-572.51908396946567</v>
      </c>
      <c r="M83" s="31">
        <v>521</v>
      </c>
      <c r="N83" s="32">
        <f t="shared" si="41"/>
        <v>-5.7251908396946565E-3</v>
      </c>
      <c r="O83" s="18">
        <f>IF(ISNUMBER(M83), $B91 * N83, "")</f>
        <v>-858.77862595419845</v>
      </c>
      <c r="Q83" s="161"/>
      <c r="R83" s="161"/>
      <c r="S83" s="161"/>
    </row>
    <row r="84" spans="1:19" ht="17.25" thickBot="1">
      <c r="A84" s="109" t="s">
        <v>232</v>
      </c>
      <c r="B84" s="110">
        <v>299</v>
      </c>
      <c r="C84" s="70">
        <v>-1.32013201E-2</v>
      </c>
      <c r="D84" s="15">
        <v>296</v>
      </c>
      <c r="E84" s="32">
        <f t="shared" si="38"/>
        <v>-1.0033444816053512E-2</v>
      </c>
      <c r="F84" s="18">
        <f>IF(ISNUMBER(D84), $B91 * E84, "")</f>
        <v>-1505.0167224080267</v>
      </c>
      <c r="G84" s="31">
        <v>305</v>
      </c>
      <c r="H84" s="32">
        <f t="shared" si="39"/>
        <v>2.0066889632107024E-2</v>
      </c>
      <c r="I84" s="91">
        <f>IF(ISNUMBER(G84), $B91 * H84, "")</f>
        <v>3010.0334448160534</v>
      </c>
      <c r="J84" s="15">
        <v>303</v>
      </c>
      <c r="K84" s="32">
        <f t="shared" si="40"/>
        <v>1.3377926421404682E-2</v>
      </c>
      <c r="L84" s="18">
        <f>IF(ISNUMBER(J84), $B91 * K84, "")</f>
        <v>2006.6889632107022</v>
      </c>
      <c r="M84" s="31">
        <v>303</v>
      </c>
      <c r="N84" s="32">
        <f t="shared" si="41"/>
        <v>1.3377926421404682E-2</v>
      </c>
      <c r="O84" s="18">
        <f>IF(ISNUMBER(M84), $B91 * N84, "")</f>
        <v>2006.6889632107022</v>
      </c>
      <c r="Q84" s="156"/>
      <c r="R84" s="156"/>
      <c r="S84" s="156"/>
    </row>
    <row r="85" spans="1:19" ht="17.25" thickBot="1">
      <c r="A85" s="111" t="s">
        <v>159</v>
      </c>
      <c r="B85" s="112">
        <v>207</v>
      </c>
      <c r="C85" s="71">
        <v>-1.42857143E-2</v>
      </c>
      <c r="D85" s="20">
        <v>208</v>
      </c>
      <c r="E85" s="21">
        <f t="shared" si="38"/>
        <v>4.830917874396135E-3</v>
      </c>
      <c r="F85" s="22">
        <f>IF(ISNUMBER(D85), $B91 * E85, "")</f>
        <v>724.63768115942025</v>
      </c>
      <c r="G85" s="30">
        <v>209</v>
      </c>
      <c r="H85" s="21">
        <f t="shared" si="39"/>
        <v>9.6618357487922701E-3</v>
      </c>
      <c r="I85" s="95">
        <f>IF(ISNUMBER(G85), $B91 * H85, "")</f>
        <v>1449.2753623188405</v>
      </c>
      <c r="J85" s="20">
        <v>210</v>
      </c>
      <c r="K85" s="21">
        <f t="shared" si="40"/>
        <v>1.4492753623188406E-2</v>
      </c>
      <c r="L85" s="22">
        <f>IF(ISNUMBER(J85), $B91 * K85, "")</f>
        <v>2173.913043478261</v>
      </c>
      <c r="M85" s="30">
        <v>209</v>
      </c>
      <c r="N85" s="21">
        <f t="shared" si="41"/>
        <v>9.6618357487922701E-3</v>
      </c>
      <c r="O85" s="22">
        <f>IF(ISNUMBER(M85), $B91 * N85, "")</f>
        <v>1449.2753623188405</v>
      </c>
      <c r="Q85" s="156"/>
      <c r="R85" s="156"/>
      <c r="S85" s="156"/>
    </row>
    <row r="86" spans="1:19" ht="17.25" thickBot="1">
      <c r="A86" s="109" t="s">
        <v>342</v>
      </c>
      <c r="B86" s="113">
        <v>136</v>
      </c>
      <c r="C86" s="73">
        <v>-1.44927536E-2</v>
      </c>
      <c r="D86" s="96">
        <v>139</v>
      </c>
      <c r="E86" s="97">
        <f>IF(ISNUMBER(D86), (D86 - $B86) / $B86, "")</f>
        <v>2.2058823529411766E-2</v>
      </c>
      <c r="F86" s="98">
        <f>IF(ISNUMBER(D86), $B91 * E86, "")</f>
        <v>3308.8235294117649</v>
      </c>
      <c r="G86" s="99">
        <v>140</v>
      </c>
      <c r="H86" s="97">
        <f>IF(ISNUMBER(G86), (G86 - $B86) / $B86, "")</f>
        <v>2.9411764705882353E-2</v>
      </c>
      <c r="I86" s="100">
        <f>IF(ISNUMBER(G86), $B91 * H86, "")</f>
        <v>4411.7647058823532</v>
      </c>
      <c r="J86" s="96">
        <v>140</v>
      </c>
      <c r="K86" s="97">
        <f>IF(ISNUMBER(J86), (J86 - $B86) / $B86, "")</f>
        <v>2.9411764705882353E-2</v>
      </c>
      <c r="L86" s="98">
        <f>IF(ISNUMBER(J86), $B91 * K86, "")</f>
        <v>4411.7647058823532</v>
      </c>
      <c r="M86" s="99">
        <v>140</v>
      </c>
      <c r="N86" s="97">
        <f>IF(ISNUMBER(M86), (M86 - $B86) / $B86, "")</f>
        <v>2.9411764705882353E-2</v>
      </c>
      <c r="O86" s="98">
        <f>IF(ISNUMBER(M86), $B91 * N86, "")</f>
        <v>4411.7647058823532</v>
      </c>
      <c r="Q86" s="161"/>
      <c r="R86" s="161"/>
      <c r="S86" s="161"/>
    </row>
    <row r="87" spans="1:19" ht="17.25" thickBot="1">
      <c r="A87" s="109" t="s">
        <v>238</v>
      </c>
      <c r="B87" s="110">
        <v>647</v>
      </c>
      <c r="C87" s="70">
        <v>-1.5220700199999999E-2</v>
      </c>
      <c r="D87" s="15">
        <v>643</v>
      </c>
      <c r="E87" s="32">
        <f t="shared" ref="E87:E90" si="42">IF(ISNUMBER(D87), (D87 - $B87) / $B87, "")</f>
        <v>-6.1823802163833074E-3</v>
      </c>
      <c r="F87" s="18">
        <f>IF(ISNUMBER(D87), $B91 * E87, "")</f>
        <v>-927.35703245749608</v>
      </c>
      <c r="G87" s="31">
        <v>646</v>
      </c>
      <c r="H87" s="32">
        <f t="shared" ref="H87:H90" si="43">IF(ISNUMBER(G87), (G87 - $B87) / $B87, "")</f>
        <v>-1.5455950540958269E-3</v>
      </c>
      <c r="I87" s="91">
        <f>IF(ISNUMBER(G87), $B91 * H87, "")</f>
        <v>-231.83925811437402</v>
      </c>
      <c r="J87" s="15">
        <v>647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651</v>
      </c>
      <c r="N87" s="32">
        <f t="shared" ref="N87:N90" si="45">IF(ISNUMBER(M87), (M87 - $B87) / $B87, "")</f>
        <v>6.1823802163833074E-3</v>
      </c>
      <c r="O87" s="18">
        <f>IF(ISNUMBER(M87), $B91 * N87, "")</f>
        <v>927.35703245749608</v>
      </c>
      <c r="Q87" s="161"/>
      <c r="R87" s="161"/>
      <c r="S87" s="161"/>
    </row>
    <row r="88" spans="1:19" ht="17.25" thickBot="1">
      <c r="A88" s="109" t="s">
        <v>332</v>
      </c>
      <c r="B88" s="110">
        <v>322</v>
      </c>
      <c r="C88" s="70">
        <v>-1.5290519900000001E-2</v>
      </c>
      <c r="D88" s="15">
        <v>322</v>
      </c>
      <c r="E88" s="32">
        <f t="shared" si="42"/>
        <v>0</v>
      </c>
      <c r="F88" s="18">
        <f>IF(ISNUMBER(D88), $B91 * E88, "")</f>
        <v>0</v>
      </c>
      <c r="G88" s="31">
        <v>327</v>
      </c>
      <c r="H88" s="32">
        <f t="shared" si="43"/>
        <v>1.5527950310559006E-2</v>
      </c>
      <c r="I88" s="91">
        <f>IF(ISNUMBER(G88), $B91 * H88, "")</f>
        <v>2329.1925465838508</v>
      </c>
      <c r="J88" s="15">
        <v>328</v>
      </c>
      <c r="K88" s="32">
        <f t="shared" si="44"/>
        <v>1.8633540372670808E-2</v>
      </c>
      <c r="L88" s="18">
        <f>IF(ISNUMBER(J88), $B91 * K88, "")</f>
        <v>2795.0310559006211</v>
      </c>
      <c r="M88" s="31">
        <v>327</v>
      </c>
      <c r="N88" s="32">
        <f t="shared" si="45"/>
        <v>1.5527950310559006E-2</v>
      </c>
      <c r="O88" s="18">
        <f>IF(ISNUMBER(M88), $B91 * N88, "")</f>
        <v>2329.1925465838508</v>
      </c>
      <c r="Q88" s="161"/>
      <c r="R88" s="161"/>
      <c r="S88" s="161"/>
    </row>
    <row r="89" spans="1:19">
      <c r="A89" s="109" t="s">
        <v>51</v>
      </c>
      <c r="B89" s="110">
        <v>117</v>
      </c>
      <c r="C89" s="70">
        <v>-1.6806722699999999E-2</v>
      </c>
      <c r="D89" s="15">
        <v>117</v>
      </c>
      <c r="E89" s="32">
        <f t="shared" si="42"/>
        <v>0</v>
      </c>
      <c r="F89" s="18">
        <f>IF(ISNUMBER(D89), $B91 * E89, "")</f>
        <v>0</v>
      </c>
      <c r="G89" s="31">
        <v>117</v>
      </c>
      <c r="H89" s="32">
        <f t="shared" si="43"/>
        <v>0</v>
      </c>
      <c r="I89" s="91">
        <f>IF(ISNUMBER(G89), $B91 * H89, "")</f>
        <v>0</v>
      </c>
      <c r="J89" s="15">
        <v>118</v>
      </c>
      <c r="K89" s="32">
        <f t="shared" si="44"/>
        <v>8.5470085470085479E-3</v>
      </c>
      <c r="L89" s="18">
        <f>IF(ISNUMBER(J89), $B91 * K89, "")</f>
        <v>1282.0512820512822</v>
      </c>
      <c r="M89" s="31">
        <v>118</v>
      </c>
      <c r="N89" s="32">
        <f t="shared" si="45"/>
        <v>8.5470085470085479E-3</v>
      </c>
      <c r="O89" s="18">
        <f>IF(ISNUMBER(M89), $B91 * N89, "")</f>
        <v>1282.0512820512822</v>
      </c>
      <c r="Q89" s="183"/>
      <c r="R89" s="184"/>
      <c r="S89" s="185"/>
    </row>
    <row r="90" spans="1:19" ht="17.25" thickBot="1">
      <c r="A90" s="114" t="s">
        <v>130</v>
      </c>
      <c r="B90" s="115">
        <v>896</v>
      </c>
      <c r="C90" s="72">
        <v>-1.75438596E-2</v>
      </c>
      <c r="D90" s="24">
        <v>884</v>
      </c>
      <c r="E90" s="25">
        <f t="shared" si="42"/>
        <v>-1.3392857142857142E-2</v>
      </c>
      <c r="F90" s="94">
        <f>IF(ISNUMBER(D90), $B91 * E90, "")</f>
        <v>-2008.9285714285713</v>
      </c>
      <c r="G90" s="92">
        <v>898</v>
      </c>
      <c r="H90" s="25">
        <f t="shared" si="43"/>
        <v>2.232142857142857E-3</v>
      </c>
      <c r="I90" s="93">
        <f>IF(ISNUMBER(G90), $B91 * H90, "")</f>
        <v>334.82142857142856</v>
      </c>
      <c r="J90" s="24">
        <v>892</v>
      </c>
      <c r="K90" s="25">
        <f t="shared" si="44"/>
        <v>-4.464285714285714E-3</v>
      </c>
      <c r="L90" s="94">
        <f>IF(ISNUMBER(J90), $B91 * K90, "")</f>
        <v>-669.64285714285711</v>
      </c>
      <c r="M90" s="92">
        <v>888</v>
      </c>
      <c r="N90" s="25">
        <f t="shared" si="45"/>
        <v>-8.9285714285714281E-3</v>
      </c>
      <c r="O90" s="94">
        <f>IF(ISNUMBER(M90), $B91 * N90, "")</f>
        <v>-1339.2857142857142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-2.2012507743362541E-3</v>
      </c>
      <c r="F91" s="28">
        <f>SUM(F71:F90)</f>
        <v>-6603.7523230087627</v>
      </c>
      <c r="G91" s="26" t="s">
        <v>261</v>
      </c>
      <c r="H91" s="27">
        <f>IF(COUNT(H71:H90), SUM(H71:H90) / COUNT(H71:H90), 0)</f>
        <v>7.669470358724775E-3</v>
      </c>
      <c r="I91" s="28">
        <f>SUM(I71:I90)</f>
        <v>23008.411076174325</v>
      </c>
      <c r="J91" s="26" t="s">
        <v>261</v>
      </c>
      <c r="K91" s="27">
        <f>IF(COUNT(K71:K90), SUM(K71:K90) / COUNT(K71:K90), 0)</f>
        <v>1.0214857791657513E-2</v>
      </c>
      <c r="L91" s="28">
        <f>SUM(L71:L90)</f>
        <v>30644.573374972537</v>
      </c>
      <c r="M91" s="26" t="s">
        <v>261</v>
      </c>
      <c r="N91" s="27">
        <f>IF(COUNT(N71:N90), SUM(N71:N90) / COUNT(N71:N90), 0)</f>
        <v>1.1284855355144481E-2</v>
      </c>
      <c r="O91" s="28">
        <f>SUM(O71:O90)</f>
        <v>33854.56606543345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2022-12-02(금) 오전 00:00</v>
      </c>
      <c r="C96" s="199"/>
      <c r="D96" s="158" t="str">
        <f>TEXT($G$1, "[$-ko-KR]yyyy-mm-dd(ddd) ") &amp; "오후 14:00"</f>
        <v>2022-12-02(금) 오후 14:00</v>
      </c>
      <c r="E96" s="159"/>
      <c r="F96" s="160"/>
      <c r="G96" s="158" t="str">
        <f>TEXT($G$1, "[$-ko-KR]yyyy-mm-dd(ddd) ") &amp; "오후 19:00"</f>
        <v>2022-12-02(금) 오후 19:00</v>
      </c>
      <c r="H96" s="159"/>
      <c r="I96" s="160"/>
      <c r="J96" s="158" t="str">
        <f>TEXT($G$1, "[$-ko-KR]yyyy-mm-dd(ddd) ") &amp; "오후 21:00"</f>
        <v>2022-12-02(금) 오후 21:00</v>
      </c>
      <c r="K96" s="159"/>
      <c r="L96" s="160"/>
      <c r="M96" s="158" t="str">
        <f>TEXT($G$1+1, "[$-ko-KR]yyyy-mm-dd(ddd) ") &amp; "오전 00:00"</f>
        <v>2022-12-03(토)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107</v>
      </c>
      <c r="B98" s="108">
        <v>47.2</v>
      </c>
      <c r="C98" s="69">
        <v>6.7873303199999999E-2</v>
      </c>
      <c r="D98" s="13">
        <v>46.7</v>
      </c>
      <c r="E98" s="14">
        <f>IF(ISNUMBER(D98), (D98 - $B98) / $B98, "")</f>
        <v>-1.059322033898305E-2</v>
      </c>
      <c r="F98" s="16">
        <f>IF(ISNUMBER(D98), $B118 * E98, "")</f>
        <v>-1588.9830508474577</v>
      </c>
      <c r="G98" s="29">
        <v>45.4</v>
      </c>
      <c r="H98" s="14">
        <f>IF(ISNUMBER(G98), (G98 - $B98) / $B98, "")</f>
        <v>-3.8135593220339069E-2</v>
      </c>
      <c r="I98" s="90">
        <f>IF(ISNUMBER(G98), $B118 * H98, "")</f>
        <v>-5720.3389830508604</v>
      </c>
      <c r="J98" s="13">
        <v>46.1</v>
      </c>
      <c r="K98" s="14">
        <f>IF(ISNUMBER(J98), (J98 - $B98) / $B98, "")</f>
        <v>-2.330508474576274E-2</v>
      </c>
      <c r="L98" s="16">
        <f>IF(ISNUMBER(J98), $B118 * K98, "")</f>
        <v>-3495.7627118644109</v>
      </c>
      <c r="M98" s="29">
        <v>45.4</v>
      </c>
      <c r="N98" s="14">
        <f>IF(ISNUMBER(M98), (M98 - $B98) / $B98, "")</f>
        <v>-3.8135593220339069E-2</v>
      </c>
      <c r="O98" s="16">
        <f>IF(ISNUMBER(M98), $B118 * N98, "")</f>
        <v>-5720.3389830508604</v>
      </c>
      <c r="Q98" s="156"/>
      <c r="R98" s="156"/>
      <c r="S98" s="156"/>
    </row>
    <row r="99" spans="1:19" ht="17.25" thickBot="1">
      <c r="A99" s="109" t="s">
        <v>350</v>
      </c>
      <c r="B99" s="110">
        <v>8.76</v>
      </c>
      <c r="C99" s="70">
        <v>2.5761124100000001E-2</v>
      </c>
      <c r="D99" s="15">
        <v>8.69</v>
      </c>
      <c r="E99" s="32">
        <f t="shared" ref="E99:E102" si="46">IF(ISNUMBER(D99), (D99 - $B99) / $B99, "")</f>
        <v>-7.9908675799087083E-3</v>
      </c>
      <c r="F99" s="18">
        <f>IF(ISNUMBER(D99), $B118 * E99, "")</f>
        <v>-1198.6301369863063</v>
      </c>
      <c r="G99" s="31">
        <v>8.56</v>
      </c>
      <c r="H99" s="32">
        <f t="shared" ref="H99:H102" si="47">IF(ISNUMBER(G99), (G99 - $B99) / $B99, "")</f>
        <v>-2.2831050228310421E-2</v>
      </c>
      <c r="I99" s="91">
        <f>IF(ISNUMBER(G99), $B118 * H99, "")</f>
        <v>-3424.657534246563</v>
      </c>
      <c r="J99" s="15">
        <v>8.61</v>
      </c>
      <c r="K99" s="32">
        <f t="shared" ref="K99:K102" si="48">IF(ISNUMBER(J99), (J99 - $B99) / $B99, "")</f>
        <v>-1.7123287671232917E-2</v>
      </c>
      <c r="L99" s="18">
        <f>IF(ISNUMBER(J99), $B118 * K99, "")</f>
        <v>-2568.4931506849375</v>
      </c>
      <c r="M99" s="31">
        <v>8.51</v>
      </c>
      <c r="N99" s="32">
        <f t="shared" ref="N99:N102" si="49">IF(ISNUMBER(M99), (M99 - $B99) / $B99, "")</f>
        <v>-2.853881278538813E-2</v>
      </c>
      <c r="O99" s="18">
        <f>IF(ISNUMBER(M99), $B118 * N99, "")</f>
        <v>-4280.821917808219</v>
      </c>
      <c r="Q99" s="156"/>
      <c r="R99" s="156"/>
      <c r="S99" s="156"/>
    </row>
    <row r="100" spans="1:19" ht="17.25" thickBot="1">
      <c r="A100" s="109" t="s">
        <v>320</v>
      </c>
      <c r="B100" s="110">
        <v>2385</v>
      </c>
      <c r="C100" s="70">
        <v>1.0593220299999999E-2</v>
      </c>
      <c r="D100" s="15">
        <v>2385</v>
      </c>
      <c r="E100" s="32">
        <f t="shared" si="46"/>
        <v>0</v>
      </c>
      <c r="F100" s="18">
        <f>IF(ISNUMBER(D100), $B118 * E100, "")</f>
        <v>0</v>
      </c>
      <c r="G100" s="31">
        <v>2330</v>
      </c>
      <c r="H100" s="32">
        <f t="shared" si="47"/>
        <v>-2.3060796645702306E-2</v>
      </c>
      <c r="I100" s="91">
        <f>IF(ISNUMBER(G100), $B118 * H100, "")</f>
        <v>-3459.1194968553459</v>
      </c>
      <c r="J100" s="15">
        <v>2365</v>
      </c>
      <c r="K100" s="32">
        <f t="shared" si="48"/>
        <v>-8.385744234800839E-3</v>
      </c>
      <c r="L100" s="18">
        <f>IF(ISNUMBER(J100), $B118 * K100, "")</f>
        <v>-1257.8616352201259</v>
      </c>
      <c r="M100" s="31">
        <v>2325</v>
      </c>
      <c r="N100" s="32">
        <f t="shared" si="49"/>
        <v>-2.5157232704402517E-2</v>
      </c>
      <c r="O100" s="18">
        <f>IF(ISNUMBER(M100), $B118 * N100, "")</f>
        <v>-3773.5849056603774</v>
      </c>
      <c r="Q100" s="161"/>
      <c r="R100" s="161"/>
      <c r="S100" s="161"/>
    </row>
    <row r="101" spans="1:19" ht="17.25" thickBot="1">
      <c r="A101" s="109" t="s">
        <v>151</v>
      </c>
      <c r="B101" s="110">
        <v>3190</v>
      </c>
      <c r="C101" s="70">
        <v>6.3091483000000002E-3</v>
      </c>
      <c r="D101" s="15">
        <v>3185</v>
      </c>
      <c r="E101" s="32">
        <f t="shared" si="46"/>
        <v>-1.567398119122257E-3</v>
      </c>
      <c r="F101" s="18">
        <f>IF(ISNUMBER(D101), $B118 * E101, "")</f>
        <v>-235.10971786833855</v>
      </c>
      <c r="G101" s="31">
        <v>3200</v>
      </c>
      <c r="H101" s="32">
        <f t="shared" si="47"/>
        <v>3.134796238244514E-3</v>
      </c>
      <c r="I101" s="91">
        <f>IF(ISNUMBER(G101), $B118 * H101, "")</f>
        <v>470.2194357366771</v>
      </c>
      <c r="J101" s="15">
        <v>3210</v>
      </c>
      <c r="K101" s="32">
        <f t="shared" si="48"/>
        <v>6.269592476489028E-3</v>
      </c>
      <c r="L101" s="18">
        <f>IF(ISNUMBER(J101), $B118 * K101, "")</f>
        <v>940.4388714733542</v>
      </c>
      <c r="M101" s="31">
        <v>3165</v>
      </c>
      <c r="N101" s="32">
        <f t="shared" si="49"/>
        <v>-7.8369905956112845E-3</v>
      </c>
      <c r="O101" s="18">
        <f>IF(ISNUMBER(M101), $B118 * N101, "")</f>
        <v>-1175.5485893416926</v>
      </c>
      <c r="Q101" s="161"/>
      <c r="R101" s="161"/>
      <c r="S101" s="161"/>
    </row>
    <row r="102" spans="1:19" ht="17.25" thickBot="1">
      <c r="A102" s="111" t="s">
        <v>337</v>
      </c>
      <c r="B102" s="112">
        <v>333</v>
      </c>
      <c r="C102" s="71">
        <v>6.0422961000000004E-3</v>
      </c>
      <c r="D102" s="20">
        <v>335</v>
      </c>
      <c r="E102" s="21">
        <f t="shared" si="46"/>
        <v>6.006006006006006E-3</v>
      </c>
      <c r="F102" s="22">
        <f>IF(ISNUMBER(D102), $B118 * E102, "")</f>
        <v>900.90090090090087</v>
      </c>
      <c r="G102" s="30">
        <v>344</v>
      </c>
      <c r="H102" s="21">
        <f t="shared" si="47"/>
        <v>3.3033033033033031E-2</v>
      </c>
      <c r="I102" s="95">
        <f>IF(ISNUMBER(G102), $B118 * H102, "")</f>
        <v>4954.9549549549547</v>
      </c>
      <c r="J102" s="20">
        <v>346</v>
      </c>
      <c r="K102" s="21">
        <f t="shared" si="48"/>
        <v>3.903903903903904E-2</v>
      </c>
      <c r="L102" s="22">
        <f>IF(ISNUMBER(J102), $B118 * K102, "")</f>
        <v>5855.8558558558561</v>
      </c>
      <c r="M102" s="30">
        <v>343</v>
      </c>
      <c r="N102" s="21">
        <f t="shared" si="49"/>
        <v>3.003003003003003E-2</v>
      </c>
      <c r="O102" s="22">
        <f>IF(ISNUMBER(M102), $B118 * N102, "")</f>
        <v>4504.5045045045044</v>
      </c>
      <c r="Q102" s="161"/>
      <c r="R102" s="161"/>
      <c r="S102" s="161"/>
    </row>
    <row r="103" spans="1:19" ht="17.25" thickBot="1">
      <c r="A103" s="109" t="s">
        <v>185</v>
      </c>
      <c r="B103" s="113">
        <v>34.200000000000003</v>
      </c>
      <c r="C103" s="73">
        <v>5.8823529000000003E-3</v>
      </c>
      <c r="D103" s="96">
        <v>33.1</v>
      </c>
      <c r="E103" s="97">
        <f>IF(ISNUMBER(D103), (D103 - $B103) / $B103, "")</f>
        <v>-3.2163742690058519E-2</v>
      </c>
      <c r="F103" s="98">
        <f>IF(ISNUMBER(D103), $B118 * E103, "")</f>
        <v>-4824.5614035087783</v>
      </c>
      <c r="G103" s="99">
        <v>33.4</v>
      </c>
      <c r="H103" s="97">
        <f>IF(ISNUMBER(G103), (G103 - $B103) / $B103, "")</f>
        <v>-2.33918128654972E-2</v>
      </c>
      <c r="I103" s="100">
        <f>IF(ISNUMBER(G103), $B118 * H103, "")</f>
        <v>-3508.7719298245797</v>
      </c>
      <c r="J103" s="96">
        <v>34.1</v>
      </c>
      <c r="K103" s="97">
        <f>IF(ISNUMBER(J103), (J103 - $B103) / $B103, "")</f>
        <v>-2.923976608187176E-3</v>
      </c>
      <c r="L103" s="98">
        <f>IF(ISNUMBER(J103), $B118 * K103, "")</f>
        <v>-438.59649122807639</v>
      </c>
      <c r="M103" s="99">
        <v>33.799999999999997</v>
      </c>
      <c r="N103" s="97">
        <f>IF(ISNUMBER(M103), (M103 - $B103) / $B103, "")</f>
        <v>-1.1695906432748704E-2</v>
      </c>
      <c r="O103" s="98">
        <f>IF(ISNUMBER(M103), $B118 * N103, "")</f>
        <v>-1754.3859649123056</v>
      </c>
      <c r="Q103" s="161"/>
      <c r="R103" s="161"/>
      <c r="S103" s="161"/>
    </row>
    <row r="104" spans="1:19" ht="17.25" thickBot="1">
      <c r="A104" s="109" t="s">
        <v>200</v>
      </c>
      <c r="B104" s="110">
        <v>6.91</v>
      </c>
      <c r="C104" s="70">
        <v>4.3604650999999996E-3</v>
      </c>
      <c r="D104" s="15">
        <v>6.87</v>
      </c>
      <c r="E104" s="32">
        <f t="shared" ref="E104:E107" si="50">IF(ISNUMBER(D104), (D104 - $B104) / $B104, "")</f>
        <v>-5.7887120115774288E-3</v>
      </c>
      <c r="F104" s="18">
        <f>IF(ISNUMBER(D104), $B118 * E104, "")</f>
        <v>-868.30680173661437</v>
      </c>
      <c r="G104" s="31">
        <v>7.2</v>
      </c>
      <c r="H104" s="32">
        <f t="shared" ref="H104:H107" si="51">IF(ISNUMBER(G104), (G104 - $B104) / $B104, "")</f>
        <v>4.1968162083936326E-2</v>
      </c>
      <c r="I104" s="91">
        <f>IF(ISNUMBER(G104), $B118 * H104, "")</f>
        <v>6295.2243125904488</v>
      </c>
      <c r="J104" s="15">
        <v>7.28</v>
      </c>
      <c r="K104" s="32">
        <f t="shared" ref="K104:K107" si="52">IF(ISNUMBER(J104), (J104 - $B104) / $B104, "")</f>
        <v>5.3545586107091189E-2</v>
      </c>
      <c r="L104" s="18">
        <f>IF(ISNUMBER(J104), $B118 * K104, "")</f>
        <v>8031.8379160636787</v>
      </c>
      <c r="M104" s="31">
        <v>7.07</v>
      </c>
      <c r="N104" s="32">
        <f t="shared" ref="N104:N107" si="53">IF(ISNUMBER(M104), (M104 - $B104) / $B104, "")</f>
        <v>2.3154848046309715E-2</v>
      </c>
      <c r="O104" s="18">
        <f>IF(ISNUMBER(M104), $B118 * N104, "")</f>
        <v>3473.2272069464575</v>
      </c>
      <c r="Q104" s="161"/>
      <c r="R104" s="161"/>
      <c r="S104" s="161"/>
    </row>
    <row r="105" spans="1:19" ht="17.25" thickBot="1">
      <c r="A105" s="109" t="s">
        <v>128</v>
      </c>
      <c r="B105" s="110">
        <v>7360</v>
      </c>
      <c r="C105" s="70">
        <v>4.0927693999999997E-3</v>
      </c>
      <c r="D105" s="15">
        <v>7305</v>
      </c>
      <c r="E105" s="32">
        <f t="shared" si="50"/>
        <v>-7.472826086956522E-3</v>
      </c>
      <c r="F105" s="18">
        <f>IF(ISNUMBER(D105), $B118 * E105, "")</f>
        <v>-1120.9239130434783</v>
      </c>
      <c r="G105" s="31">
        <v>7460</v>
      </c>
      <c r="H105" s="32">
        <f t="shared" si="51"/>
        <v>1.358695652173913E-2</v>
      </c>
      <c r="I105" s="91">
        <f>IF(ISNUMBER(G105), $B118 * H105, "")</f>
        <v>2038.0434782608695</v>
      </c>
      <c r="J105" s="15">
        <v>7550</v>
      </c>
      <c r="K105" s="32">
        <f t="shared" si="52"/>
        <v>2.5815217391304348E-2</v>
      </c>
      <c r="L105" s="18">
        <f>IF(ISNUMBER(J105), $B118 * K105, "")</f>
        <v>3872.282608695652</v>
      </c>
      <c r="M105" s="31">
        <v>7570</v>
      </c>
      <c r="N105" s="32">
        <f t="shared" si="53"/>
        <v>2.8532608695652172E-2</v>
      </c>
      <c r="O105" s="18">
        <f>IF(ISNUMBER(M105), $B118 * N105, "")</f>
        <v>4279.891304347826</v>
      </c>
      <c r="Q105" s="161"/>
      <c r="R105" s="161"/>
      <c r="S105" s="161"/>
    </row>
    <row r="106" spans="1:19" ht="17.25" thickBot="1">
      <c r="A106" s="109" t="s">
        <v>111</v>
      </c>
      <c r="B106" s="110">
        <v>788</v>
      </c>
      <c r="C106" s="70">
        <v>3.8216561000000001E-3</v>
      </c>
      <c r="D106" s="15">
        <v>793</v>
      </c>
      <c r="E106" s="32">
        <f t="shared" si="50"/>
        <v>6.3451776649746192E-3</v>
      </c>
      <c r="F106" s="18">
        <f>IF(ISNUMBER(D106), $B118 * E106, "")</f>
        <v>951.7766497461929</v>
      </c>
      <c r="G106" s="31">
        <v>805</v>
      </c>
      <c r="H106" s="32">
        <f t="shared" si="51"/>
        <v>2.1573604060913704E-2</v>
      </c>
      <c r="I106" s="91">
        <f>IF(ISNUMBER(G106), $B118 * H106, "")</f>
        <v>3236.0406091370555</v>
      </c>
      <c r="J106" s="15">
        <v>802</v>
      </c>
      <c r="K106" s="32">
        <f t="shared" si="52"/>
        <v>1.7766497461928935E-2</v>
      </c>
      <c r="L106" s="18">
        <f>IF(ISNUMBER(J106), $B118 * K106, "")</f>
        <v>2664.9746192893404</v>
      </c>
      <c r="M106" s="31">
        <v>809</v>
      </c>
      <c r="N106" s="32">
        <f t="shared" si="53"/>
        <v>2.6649746192893401E-2</v>
      </c>
      <c r="O106" s="18">
        <f>IF(ISNUMBER(M106), $B118 * N106, "")</f>
        <v>3997.4619289340103</v>
      </c>
      <c r="Q106" s="33"/>
      <c r="R106" s="33"/>
    </row>
    <row r="107" spans="1:19" ht="17.25" thickBot="1">
      <c r="A107" s="114" t="s">
        <v>328</v>
      </c>
      <c r="B107" s="115">
        <v>17520</v>
      </c>
      <c r="C107" s="72">
        <v>5.7110220000000005E-4</v>
      </c>
      <c r="D107" s="24">
        <v>17500</v>
      </c>
      <c r="E107" s="25">
        <f t="shared" si="50"/>
        <v>-1.1415525114155251E-3</v>
      </c>
      <c r="F107" s="94">
        <f>IF(ISNUMBER(D107), $B118 * E107, "")</f>
        <v>-171.23287671232876</v>
      </c>
      <c r="G107" s="92">
        <v>17690</v>
      </c>
      <c r="H107" s="25">
        <f t="shared" si="51"/>
        <v>9.7031963470319629E-3</v>
      </c>
      <c r="I107" s="93">
        <f>IF(ISNUMBER(G107), $B118 * H107, "")</f>
        <v>1455.4794520547944</v>
      </c>
      <c r="J107" s="24">
        <v>17680</v>
      </c>
      <c r="K107" s="25">
        <f t="shared" si="52"/>
        <v>9.1324200913242004E-3</v>
      </c>
      <c r="L107" s="94">
        <f>IF(ISNUMBER(J107), $B118 * K107, "")</f>
        <v>1369.8630136986301</v>
      </c>
      <c r="M107" s="92">
        <v>17630</v>
      </c>
      <c r="N107" s="25">
        <f t="shared" si="53"/>
        <v>6.2785388127853878E-3</v>
      </c>
      <c r="O107" s="94">
        <f>IF(ISNUMBER(M107), $B118 * N107, "")</f>
        <v>941.78082191780811</v>
      </c>
      <c r="Q107" s="170"/>
      <c r="R107" s="171"/>
      <c r="S107" s="172"/>
    </row>
    <row r="108" spans="1:19">
      <c r="A108" s="107" t="s">
        <v>79</v>
      </c>
      <c r="B108" s="108">
        <v>313</v>
      </c>
      <c r="C108" s="69">
        <v>0</v>
      </c>
      <c r="D108" s="13">
        <v>310</v>
      </c>
      <c r="E108" s="14">
        <f>IF(ISNUMBER(D108), (D108 - $B108) / $B108, "")</f>
        <v>-9.5846645367412137E-3</v>
      </c>
      <c r="F108" s="16">
        <f>IF(ISNUMBER(D108), $B118 * E108, "")</f>
        <v>-1437.6996805111821</v>
      </c>
      <c r="G108" s="29">
        <v>315</v>
      </c>
      <c r="H108" s="14">
        <f>IF(ISNUMBER(G108), (G108 - $B108) / $B108, "")</f>
        <v>6.3897763578274758E-3</v>
      </c>
      <c r="I108" s="90">
        <f>IF(ISNUMBER(G108), $B118 * H108, "")</f>
        <v>958.46645367412134</v>
      </c>
      <c r="J108" s="13">
        <v>315</v>
      </c>
      <c r="K108" s="14">
        <f>IF(ISNUMBER(J108), (J108 - $B108) / $B108, "")</f>
        <v>6.3897763578274758E-3</v>
      </c>
      <c r="L108" s="16">
        <f>IF(ISNUMBER(J108), $B118 * K108, "")</f>
        <v>958.46645367412134</v>
      </c>
      <c r="M108" s="29">
        <v>315</v>
      </c>
      <c r="N108" s="14">
        <f>IF(ISNUMBER(M108), (M108 - $B108) / $B108, "")</f>
        <v>6.3897763578274758E-3</v>
      </c>
      <c r="O108" s="16">
        <f>IF(ISNUMBER(M108), $B118 * N108, "")</f>
        <v>958.46645367412134</v>
      </c>
      <c r="Q108" s="173"/>
      <c r="R108" s="174"/>
      <c r="S108" s="175"/>
    </row>
    <row r="109" spans="1:19" ht="17.25" thickBot="1">
      <c r="A109" s="109" t="s">
        <v>87</v>
      </c>
      <c r="B109" s="110">
        <v>56920</v>
      </c>
      <c r="C109" s="70">
        <v>0</v>
      </c>
      <c r="D109" s="15">
        <v>56340</v>
      </c>
      <c r="E109" s="32">
        <f t="shared" ref="E109:E112" si="54">IF(ISNUMBER(D109), (D109 - $B109) / $B109, "")</f>
        <v>-1.0189739985945186E-2</v>
      </c>
      <c r="F109" s="18">
        <f>IF(ISNUMBER(D109), $B118 * E109, "")</f>
        <v>-1528.4609978917779</v>
      </c>
      <c r="G109" s="31">
        <v>56550</v>
      </c>
      <c r="H109" s="32">
        <f t="shared" ref="H109:H112" si="55">IF(ISNUMBER(G109), (G109 - $B109) / $B109, "")</f>
        <v>-6.5003513703443426E-3</v>
      </c>
      <c r="I109" s="91">
        <f>IF(ISNUMBER(G109), $B118 * H109, "")</f>
        <v>-975.05270555165134</v>
      </c>
      <c r="J109" s="15">
        <v>56630</v>
      </c>
      <c r="K109" s="32">
        <f t="shared" ref="K109:K112" si="56">IF(ISNUMBER(J109), (J109 - $B109) / $B109, "")</f>
        <v>-5.0948699929725932E-3</v>
      </c>
      <c r="L109" s="18">
        <f>IF(ISNUMBER(J109), $B118 * K109, "")</f>
        <v>-764.23049894588894</v>
      </c>
      <c r="M109" s="31">
        <v>56330</v>
      </c>
      <c r="N109" s="32">
        <f t="shared" ref="N109:N112" si="57">IF(ISNUMBER(M109), (M109 - $B109) / $B109, "")</f>
        <v>-1.0365425158116654E-2</v>
      </c>
      <c r="O109" s="18">
        <f>IF(ISNUMBER(M109), $B118 * N109, "")</f>
        <v>-1554.8137737174982</v>
      </c>
      <c r="Q109" s="176"/>
      <c r="R109" s="177"/>
      <c r="S109" s="178"/>
    </row>
    <row r="110" spans="1:19" ht="17.25" thickBot="1">
      <c r="A110" s="109" t="s">
        <v>97</v>
      </c>
      <c r="B110" s="110">
        <v>1E-3</v>
      </c>
      <c r="C110" s="70">
        <v>0</v>
      </c>
      <c r="D110" s="15">
        <v>8.9999999999999998E-4</v>
      </c>
      <c r="E110" s="32">
        <f t="shared" si="54"/>
        <v>-0.10000000000000005</v>
      </c>
      <c r="F110" s="18">
        <f>IF(ISNUMBER(D110), $B118 * E110, "")</f>
        <v>-15000.000000000007</v>
      </c>
      <c r="G110" s="31">
        <v>1E-3</v>
      </c>
      <c r="H110" s="32">
        <f t="shared" si="55"/>
        <v>0</v>
      </c>
      <c r="I110" s="91">
        <f>IF(ISNUMBER(G110), $B118 * H110, "")</f>
        <v>0</v>
      </c>
      <c r="J110" s="15">
        <v>8.9999999999999998E-4</v>
      </c>
      <c r="K110" s="32">
        <f t="shared" si="56"/>
        <v>-0.10000000000000005</v>
      </c>
      <c r="L110" s="18">
        <f>IF(ISNUMBER(J110), $B118 * K110, "")</f>
        <v>-15000.000000000007</v>
      </c>
      <c r="M110" s="31">
        <v>8.9999999999999998E-4</v>
      </c>
      <c r="N110" s="32">
        <f t="shared" si="57"/>
        <v>-0.10000000000000005</v>
      </c>
      <c r="O110" s="18">
        <f>IF(ISNUMBER(M110), $B118 * N110, "")</f>
        <v>-15000.000000000007</v>
      </c>
      <c r="Q110" s="161"/>
      <c r="R110" s="161"/>
      <c r="S110" s="161"/>
    </row>
    <row r="111" spans="1:19" ht="17.25" thickBot="1">
      <c r="A111" s="109" t="s">
        <v>193</v>
      </c>
      <c r="B111" s="110">
        <v>20.100000000000001</v>
      </c>
      <c r="C111" s="70">
        <v>0</v>
      </c>
      <c r="D111" s="15">
        <v>20</v>
      </c>
      <c r="E111" s="32">
        <f t="shared" si="54"/>
        <v>-4.9751243781095229E-3</v>
      </c>
      <c r="F111" s="18">
        <f>IF(ISNUMBER(D111), $B118 * E111, "")</f>
        <v>-746.26865671642838</v>
      </c>
      <c r="G111" s="31">
        <v>20.100000000000001</v>
      </c>
      <c r="H111" s="32">
        <f t="shared" si="55"/>
        <v>0</v>
      </c>
      <c r="I111" s="91">
        <f>IF(ISNUMBER(G111), $B118 * H111, "")</f>
        <v>0</v>
      </c>
      <c r="J111" s="15">
        <v>20.100000000000001</v>
      </c>
      <c r="K111" s="32">
        <f t="shared" si="56"/>
        <v>0</v>
      </c>
      <c r="L111" s="18">
        <f>IF(ISNUMBER(J111), $B118 * K111, "")</f>
        <v>0</v>
      </c>
      <c r="M111" s="31">
        <v>20.2</v>
      </c>
      <c r="N111" s="32">
        <f t="shared" si="57"/>
        <v>4.975124378109346E-3</v>
      </c>
      <c r="O111" s="18">
        <f>IF(ISNUMBER(M111), $B118 * N111, "")</f>
        <v>746.26865671640189</v>
      </c>
      <c r="Q111" s="156"/>
      <c r="R111" s="156"/>
      <c r="S111" s="156"/>
    </row>
    <row r="112" spans="1:19" ht="17.25" thickBot="1">
      <c r="A112" s="111" t="s">
        <v>324</v>
      </c>
      <c r="B112" s="112">
        <v>1230</v>
      </c>
      <c r="C112" s="71">
        <v>0</v>
      </c>
      <c r="D112" s="20">
        <v>1225</v>
      </c>
      <c r="E112" s="21">
        <f t="shared" si="54"/>
        <v>-4.0650406504065045E-3</v>
      </c>
      <c r="F112" s="22">
        <f>IF(ISNUMBER(D112), $B118 * E112, "")</f>
        <v>-609.75609756097572</v>
      </c>
      <c r="G112" s="30">
        <v>1240</v>
      </c>
      <c r="H112" s="21">
        <f t="shared" si="55"/>
        <v>8.130081300813009E-3</v>
      </c>
      <c r="I112" s="95">
        <f>IF(ISNUMBER(G112), $B118 * H112, "")</f>
        <v>1219.5121951219514</v>
      </c>
      <c r="J112" s="20">
        <v>1235</v>
      </c>
      <c r="K112" s="21">
        <f t="shared" si="56"/>
        <v>4.0650406504065045E-3</v>
      </c>
      <c r="L112" s="22">
        <f>IF(ISNUMBER(J112), $B118 * K112, "")</f>
        <v>609.75609756097572</v>
      </c>
      <c r="M112" s="30">
        <v>1230</v>
      </c>
      <c r="N112" s="21">
        <f t="shared" si="57"/>
        <v>0</v>
      </c>
      <c r="O112" s="22">
        <f>IF(ISNUMBER(M112), $B118 * N112, "")</f>
        <v>0</v>
      </c>
      <c r="Q112" s="156"/>
      <c r="R112" s="156"/>
      <c r="S112" s="156"/>
    </row>
    <row r="113" spans="1:19" ht="17.25" thickBot="1">
      <c r="A113" s="109" t="s">
        <v>195</v>
      </c>
      <c r="B113" s="113">
        <v>6.73</v>
      </c>
      <c r="C113" s="73">
        <v>-2.9629629999999999E-3</v>
      </c>
      <c r="D113" s="96">
        <v>6.69</v>
      </c>
      <c r="E113" s="97">
        <f>IF(ISNUMBER(D113), (D113 - $B113) / $B113, "")</f>
        <v>-5.9435364041604804E-3</v>
      </c>
      <c r="F113" s="98">
        <f>IF(ISNUMBER(D113), $B118 * E113, "")</f>
        <v>-891.53046062407202</v>
      </c>
      <c r="G113" s="99">
        <v>6.83</v>
      </c>
      <c r="H113" s="97">
        <f>IF(ISNUMBER(G113), (G113 - $B113) / $B113, "")</f>
        <v>1.4858841010401134E-2</v>
      </c>
      <c r="I113" s="100">
        <f>IF(ISNUMBER(G113), $B118 * H113, "")</f>
        <v>2228.8261515601703</v>
      </c>
      <c r="J113" s="96">
        <v>6.93</v>
      </c>
      <c r="K113" s="97">
        <f>IF(ISNUMBER(J113), (J113 - $B113) / $B113, "")</f>
        <v>2.9717682020802268E-2</v>
      </c>
      <c r="L113" s="98">
        <f>IF(ISNUMBER(J113), $B118 * K113, "")</f>
        <v>4457.6523031203405</v>
      </c>
      <c r="M113" s="99">
        <v>6.8</v>
      </c>
      <c r="N113" s="97">
        <f>IF(ISNUMBER(M113), (M113 - $B113) / $B113, "")</f>
        <v>1.0401188707280741E-2</v>
      </c>
      <c r="O113" s="98">
        <f>IF(ISNUMBER(M113), $B118 * N113, "")</f>
        <v>1560.1783060921111</v>
      </c>
      <c r="Q113" s="161"/>
      <c r="R113" s="161"/>
      <c r="S113" s="161"/>
    </row>
    <row r="114" spans="1:19" ht="17.25" thickBot="1">
      <c r="A114" s="109" t="s">
        <v>95</v>
      </c>
      <c r="B114" s="110">
        <v>1355</v>
      </c>
      <c r="C114" s="70">
        <v>-3.6764706E-3</v>
      </c>
      <c r="D114" s="15">
        <v>1350</v>
      </c>
      <c r="E114" s="32">
        <f t="shared" ref="E114:E117" si="58">IF(ISNUMBER(D114), (D114 - $B114) / $B114, "")</f>
        <v>-3.6900369003690036E-3</v>
      </c>
      <c r="F114" s="18">
        <f>IF(ISNUMBER(D114), $B118 * E114, "")</f>
        <v>-553.50553505535049</v>
      </c>
      <c r="G114" s="31">
        <v>1375</v>
      </c>
      <c r="H114" s="32">
        <f t="shared" ref="H114:H117" si="59">IF(ISNUMBER(G114), (G114 - $B114) / $B114, "")</f>
        <v>1.4760147601476014E-2</v>
      </c>
      <c r="I114" s="91">
        <f>IF(ISNUMBER(G114), $B118 * H114, "")</f>
        <v>2214.022140221402</v>
      </c>
      <c r="J114" s="15">
        <v>1385</v>
      </c>
      <c r="K114" s="32">
        <f t="shared" ref="K114:K117" si="60">IF(ISNUMBER(J114), (J114 - $B114) / $B114, "")</f>
        <v>2.2140221402214021E-2</v>
      </c>
      <c r="L114" s="18">
        <f>IF(ISNUMBER(J114), $B118 * K114, "")</f>
        <v>3321.033210332103</v>
      </c>
      <c r="M114" s="31">
        <v>1385</v>
      </c>
      <c r="N114" s="32">
        <f t="shared" ref="N114:N117" si="61">IF(ISNUMBER(M114), (M114 - $B114) / $B114, "")</f>
        <v>2.2140221402214021E-2</v>
      </c>
      <c r="O114" s="18">
        <f>IF(ISNUMBER(M114), $B118 * N114, "")</f>
        <v>3321.033210332103</v>
      </c>
      <c r="Q114" s="161"/>
      <c r="R114" s="161"/>
      <c r="S114" s="161"/>
    </row>
    <row r="115" spans="1:19" ht="17.25" thickBot="1">
      <c r="A115" s="109" t="s">
        <v>145</v>
      </c>
      <c r="B115" s="110">
        <v>73.099999999999994</v>
      </c>
      <c r="C115" s="70">
        <v>-4.0871935E-3</v>
      </c>
      <c r="D115" s="15">
        <v>73</v>
      </c>
      <c r="E115" s="32">
        <f t="shared" si="58"/>
        <v>-1.3679890560874737E-3</v>
      </c>
      <c r="F115" s="18">
        <f>IF(ISNUMBER(D115), $B118 * E115, "")</f>
        <v>-205.19835841312104</v>
      </c>
      <c r="G115" s="31">
        <v>72.8</v>
      </c>
      <c r="H115" s="32">
        <f t="shared" si="59"/>
        <v>-4.1039671682626157E-3</v>
      </c>
      <c r="I115" s="91">
        <f>IF(ISNUMBER(G115), $B118 * H115, "")</f>
        <v>-615.59507523939237</v>
      </c>
      <c r="J115" s="15">
        <v>73</v>
      </c>
      <c r="K115" s="32">
        <f t="shared" si="60"/>
        <v>-1.3679890560874737E-3</v>
      </c>
      <c r="L115" s="18">
        <f>IF(ISNUMBER(J115), $B118 * K115, "")</f>
        <v>-205.19835841312104</v>
      </c>
      <c r="M115" s="31">
        <v>72.900000000000006</v>
      </c>
      <c r="N115" s="32">
        <f t="shared" si="61"/>
        <v>-2.7359781121749473E-3</v>
      </c>
      <c r="O115" s="18">
        <f>IF(ISNUMBER(M115), $B118 * N115, "")</f>
        <v>-410.39671682624208</v>
      </c>
      <c r="Q115" s="161"/>
      <c r="R115" s="161"/>
      <c r="S115" s="161"/>
    </row>
    <row r="116" spans="1:19">
      <c r="A116" s="109" t="s">
        <v>147</v>
      </c>
      <c r="B116" s="110">
        <v>9235</v>
      </c>
      <c r="C116" s="70">
        <v>-4.3126685000000001E-3</v>
      </c>
      <c r="D116" s="15">
        <v>9170</v>
      </c>
      <c r="E116" s="32">
        <f t="shared" si="58"/>
        <v>-7.0384407146724419E-3</v>
      </c>
      <c r="F116" s="18">
        <f>IF(ISNUMBER(D116), $B118 * E116, "")</f>
        <v>-1055.7661072008664</v>
      </c>
      <c r="G116" s="31">
        <v>9220</v>
      </c>
      <c r="H116" s="32">
        <f t="shared" si="59"/>
        <v>-1.6242555495397943E-3</v>
      </c>
      <c r="I116" s="91">
        <f>IF(ISNUMBER(G116), $B118 * H116, "")</f>
        <v>-243.63833243096914</v>
      </c>
      <c r="J116" s="15">
        <v>9265</v>
      </c>
      <c r="K116" s="32">
        <f t="shared" si="60"/>
        <v>3.2485110990795887E-3</v>
      </c>
      <c r="L116" s="18">
        <f>IF(ISNUMBER(J116), $B118 * K116, "")</f>
        <v>487.27666486193829</v>
      </c>
      <c r="M116" s="31">
        <v>9310</v>
      </c>
      <c r="N116" s="32">
        <f t="shared" si="61"/>
        <v>8.1212777476989718E-3</v>
      </c>
      <c r="O116" s="18">
        <f>IF(ISNUMBER(M116), $B118 * N116, "")</f>
        <v>1218.1916621548457</v>
      </c>
      <c r="Q116" s="183"/>
      <c r="R116" s="184"/>
      <c r="S116" s="185"/>
    </row>
    <row r="117" spans="1:19" ht="17.25" thickBot="1">
      <c r="A117" s="114" t="s">
        <v>93</v>
      </c>
      <c r="B117" s="115">
        <v>1721500</v>
      </c>
      <c r="C117" s="72">
        <v>-4.3377674999999999E-3</v>
      </c>
      <c r="D117" s="24">
        <v>1712000</v>
      </c>
      <c r="E117" s="25">
        <f t="shared" si="58"/>
        <v>-5.5184432181237296E-3</v>
      </c>
      <c r="F117" s="94">
        <f>IF(ISNUMBER(D117), $B118 * E117, "")</f>
        <v>-827.76648271855947</v>
      </c>
      <c r="G117" s="92">
        <v>1713000</v>
      </c>
      <c r="H117" s="25">
        <f t="shared" si="59"/>
        <v>-4.9375544583212319E-3</v>
      </c>
      <c r="I117" s="93">
        <f>IF(ISNUMBER(G117), $B118 * H117, "")</f>
        <v>-740.63316874818474</v>
      </c>
      <c r="J117" s="24">
        <v>1732000</v>
      </c>
      <c r="K117" s="25">
        <f t="shared" si="60"/>
        <v>6.0993319779262273E-3</v>
      </c>
      <c r="L117" s="94">
        <f>IF(ISNUMBER(J117), $B118 * K117, "")</f>
        <v>914.89979668893409</v>
      </c>
      <c r="M117" s="92">
        <v>1720500</v>
      </c>
      <c r="N117" s="25">
        <f t="shared" si="61"/>
        <v>-5.8088875980249783E-4</v>
      </c>
      <c r="O117" s="94">
        <f>IF(ISNUMBER(M117), $B118 * N117, "")</f>
        <v>-87.133313970374672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-1.0337007575582849E-2</v>
      </c>
      <c r="F118" s="28">
        <f>SUM(F98:F117)</f>
        <v>-31011.022726748542</v>
      </c>
      <c r="G118" s="26" t="s">
        <v>261</v>
      </c>
      <c r="H118" s="27">
        <f>IF(COUNT(H98:H117), SUM(H98:H117) / COUNT(H98:H117), 0)</f>
        <v>2.1276606524549659E-3</v>
      </c>
      <c r="I118" s="28">
        <f>SUM(I98:I117)</f>
        <v>6382.9819573649002</v>
      </c>
      <c r="J118" s="26" t="s">
        <v>261</v>
      </c>
      <c r="K118" s="27">
        <f>IF(COUNT(K98:K117), SUM(K98:K117) / COUNT(K98:K117), 0)</f>
        <v>3.2513981883194516E-3</v>
      </c>
      <c r="L118" s="28">
        <f>SUM(L98:L117)</f>
        <v>9754.1945649583558</v>
      </c>
      <c r="M118" s="26" t="s">
        <v>261</v>
      </c>
      <c r="N118" s="27">
        <f>IF(COUNT(N98:N117), SUM(N98:N117) / COUNT(N98:N117), 0)</f>
        <v>-2.9186733698891307E-3</v>
      </c>
      <c r="O118" s="28">
        <f>SUM(O98:O117)</f>
        <v>-8756.0201096673845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2022-12-02(금) 오전 00:00</v>
      </c>
      <c r="C123" s="199"/>
      <c r="D123" s="158" t="str">
        <f>TEXT($G$1, "[$-ko-KR]yyyy-mm-dd(ddd) ") &amp; "오후 14:00"</f>
        <v>2022-12-02(금) 오후 14:00</v>
      </c>
      <c r="E123" s="159"/>
      <c r="F123" s="160"/>
      <c r="G123" s="158" t="str">
        <f>TEXT($G$1, "[$-ko-KR]yyyy-mm-dd(ddd) ") &amp; "오후 19:00"</f>
        <v>2022-12-02(금) 오후 19:00</v>
      </c>
      <c r="H123" s="159"/>
      <c r="I123" s="160"/>
      <c r="J123" s="158" t="str">
        <f>TEXT($G$1, "[$-ko-KR]yyyy-mm-dd(ddd) ") &amp; "오후 21:00"</f>
        <v>2022-12-02(금) 오후 21:00</v>
      </c>
      <c r="K123" s="159"/>
      <c r="L123" s="160"/>
      <c r="M123" s="158" t="str">
        <f>TEXT($G$1+1, "[$-ko-KR]yyyy-mm-dd(ddd) ") &amp; "오전 00:00"</f>
        <v>2022-12-03(토)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338</v>
      </c>
      <c r="B125" s="108">
        <v>5.01</v>
      </c>
      <c r="C125" s="69">
        <v>-9.8814229000000007E-3</v>
      </c>
      <c r="D125" s="13">
        <v>4.97</v>
      </c>
      <c r="E125" s="14">
        <f>IF(ISNUMBER(D125), (D125 - $B125) / $B125, "")</f>
        <v>-7.9840319361277525E-3</v>
      </c>
      <c r="F125" s="16">
        <f>IF(ISNUMBER(D125), $B145 * E125, "")</f>
        <v>-1197.6047904191628</v>
      </c>
      <c r="G125" s="29">
        <v>5.04</v>
      </c>
      <c r="H125" s="14">
        <f>IF(ISNUMBER(G125), (G125 - $B125) / $B125, "")</f>
        <v>5.9880239520958582E-3</v>
      </c>
      <c r="I125" s="90">
        <f>IF(ISNUMBER(G125), $B145 * H125, "")</f>
        <v>898.20359281437868</v>
      </c>
      <c r="J125" s="13">
        <v>5.1100000000000003</v>
      </c>
      <c r="K125" s="14">
        <f>IF(ISNUMBER(J125), (J125 - $B125) / $B125, "")</f>
        <v>1.9960079840319469E-2</v>
      </c>
      <c r="L125" s="16">
        <f>IF(ISNUMBER(J125), $B145 * K125, "")</f>
        <v>2994.0119760479201</v>
      </c>
      <c r="M125" s="29">
        <v>5.12</v>
      </c>
      <c r="N125" s="14">
        <f>IF(ISNUMBER(M125), (M125 - $B125) / $B125, "")</f>
        <v>2.1956087824351361E-2</v>
      </c>
      <c r="O125" s="16">
        <f>IF(ISNUMBER(M125), $B145 * N125, "")</f>
        <v>3293.4131736527042</v>
      </c>
      <c r="Q125" s="156"/>
      <c r="R125" s="156"/>
      <c r="S125" s="156"/>
    </row>
    <row r="126" spans="1:19" ht="17.25" thickBot="1">
      <c r="A126" s="109" t="s">
        <v>336</v>
      </c>
      <c r="B126" s="110">
        <v>87.7</v>
      </c>
      <c r="C126" s="70">
        <v>-1.01580135E-2</v>
      </c>
      <c r="D126" s="15">
        <v>87.1</v>
      </c>
      <c r="E126" s="32">
        <f t="shared" ref="E126:E129" si="62">IF(ISNUMBER(D126), (D126 - $B126) / $B126, "")</f>
        <v>-6.8415051311289457E-3</v>
      </c>
      <c r="F126" s="18">
        <f>IF(ISNUMBER(D126), $B145 * E126, "")</f>
        <v>-1026.2257696693418</v>
      </c>
      <c r="G126" s="31">
        <v>86.9</v>
      </c>
      <c r="H126" s="32">
        <f t="shared" ref="H126:H129" si="63">IF(ISNUMBER(G126), (G126 - $B126) / $B126, "")</f>
        <v>-9.1220068415050985E-3</v>
      </c>
      <c r="I126" s="91">
        <f>IF(ISNUMBER(G126), $B145 * H126, "")</f>
        <v>-1368.3010262257649</v>
      </c>
      <c r="J126" s="15">
        <v>87.1</v>
      </c>
      <c r="K126" s="32">
        <f t="shared" ref="K126:K129" si="64">IF(ISNUMBER(J126), (J126 - $B126) / $B126, "")</f>
        <v>-6.8415051311289457E-3</v>
      </c>
      <c r="L126" s="18">
        <f>IF(ISNUMBER(J126), $B145 * K126, "")</f>
        <v>-1026.2257696693418</v>
      </c>
      <c r="M126" s="31">
        <v>86.9</v>
      </c>
      <c r="N126" s="32">
        <f t="shared" ref="N126:N129" si="65">IF(ISNUMBER(M126), (M126 - $B126) / $B126, "")</f>
        <v>-9.1220068415050985E-3</v>
      </c>
      <c r="O126" s="18">
        <f>IF(ISNUMBER(M126), $B145 * N126, "")</f>
        <v>-1368.3010262257649</v>
      </c>
      <c r="Q126" s="156"/>
      <c r="R126" s="156"/>
      <c r="S126" s="156"/>
    </row>
    <row r="127" spans="1:19" ht="17.25" thickBot="1">
      <c r="A127" s="109" t="s">
        <v>56</v>
      </c>
      <c r="B127" s="110">
        <v>43.9</v>
      </c>
      <c r="C127" s="70">
        <v>-1.12612613E-2</v>
      </c>
      <c r="D127" s="15">
        <v>43.5</v>
      </c>
      <c r="E127" s="32">
        <f t="shared" si="62"/>
        <v>-9.1116173120728613E-3</v>
      </c>
      <c r="F127" s="18">
        <f>IF(ISNUMBER(D127), $B145 * E127, "")</f>
        <v>-1366.7425968109292</v>
      </c>
      <c r="G127" s="31">
        <v>43.8</v>
      </c>
      <c r="H127" s="32">
        <f t="shared" si="63"/>
        <v>-2.2779043280182557E-3</v>
      </c>
      <c r="I127" s="91">
        <f>IF(ISNUMBER(G127), $B145 * H127, "")</f>
        <v>-341.68564920273838</v>
      </c>
      <c r="J127" s="15">
        <v>44</v>
      </c>
      <c r="K127" s="32">
        <f t="shared" si="64"/>
        <v>2.2779043280182557E-3</v>
      </c>
      <c r="L127" s="18">
        <f>IF(ISNUMBER(J127), $B145 * K127, "")</f>
        <v>341.68564920273838</v>
      </c>
      <c r="M127" s="31">
        <v>43.9</v>
      </c>
      <c r="N127" s="32">
        <f t="shared" si="65"/>
        <v>0</v>
      </c>
      <c r="O127" s="18">
        <f>IF(ISNUMBER(M127), $B145 * N127, "")</f>
        <v>0</v>
      </c>
      <c r="Q127" s="161"/>
      <c r="R127" s="161"/>
      <c r="S127" s="161"/>
    </row>
    <row r="128" spans="1:19" ht="17.25" thickBot="1">
      <c r="A128" s="109" t="s">
        <v>230</v>
      </c>
      <c r="B128" s="110">
        <v>42.8</v>
      </c>
      <c r="C128" s="70">
        <v>-1.1547344100000001E-2</v>
      </c>
      <c r="D128" s="15">
        <v>41.9</v>
      </c>
      <c r="E128" s="32">
        <f t="shared" si="62"/>
        <v>-2.1028037383177538E-2</v>
      </c>
      <c r="F128" s="18">
        <f>IF(ISNUMBER(D128), $B145 * E128, "")</f>
        <v>-3154.2056074766306</v>
      </c>
      <c r="G128" s="31">
        <v>42</v>
      </c>
      <c r="H128" s="32">
        <f t="shared" si="63"/>
        <v>-1.8691588785046665E-2</v>
      </c>
      <c r="I128" s="91">
        <f>IF(ISNUMBER(G128), $B145 * H128, "")</f>
        <v>-2803.7383177569995</v>
      </c>
      <c r="J128" s="15">
        <v>42.4</v>
      </c>
      <c r="K128" s="32">
        <f t="shared" si="64"/>
        <v>-9.3457943925233326E-3</v>
      </c>
      <c r="L128" s="18">
        <f>IF(ISNUMBER(J128), $B145 * K128, "")</f>
        <v>-1401.8691588784998</v>
      </c>
      <c r="M128" s="31">
        <v>42.5</v>
      </c>
      <c r="N128" s="32">
        <f t="shared" si="65"/>
        <v>-7.0093457943924574E-3</v>
      </c>
      <c r="O128" s="18">
        <f>IF(ISNUMBER(M128), $B145 * N128, "")</f>
        <v>-1051.4018691588685</v>
      </c>
      <c r="Q128" s="161"/>
      <c r="R128" s="161"/>
      <c r="S128" s="161"/>
    </row>
    <row r="129" spans="1:19" ht="17.25" thickBot="1">
      <c r="A129" s="111" t="s">
        <v>333</v>
      </c>
      <c r="B129" s="112">
        <v>66</v>
      </c>
      <c r="C129" s="71">
        <v>-1.19760479E-2</v>
      </c>
      <c r="D129" s="20">
        <v>65.5</v>
      </c>
      <c r="E129" s="21">
        <f t="shared" si="62"/>
        <v>-7.575757575757576E-3</v>
      </c>
      <c r="F129" s="22">
        <f>IF(ISNUMBER(D129), $B145 * E129, "")</f>
        <v>-1136.3636363636365</v>
      </c>
      <c r="G129" s="30">
        <v>65.3</v>
      </c>
      <c r="H129" s="21">
        <f t="shared" si="63"/>
        <v>-1.0606060606060648E-2</v>
      </c>
      <c r="I129" s="95">
        <f>IF(ISNUMBER(G129), $B145 * H129, "")</f>
        <v>-1590.9090909090974</v>
      </c>
      <c r="J129" s="20">
        <v>65.400000000000006</v>
      </c>
      <c r="K129" s="21">
        <f t="shared" si="64"/>
        <v>-9.0909090909090055E-3</v>
      </c>
      <c r="L129" s="22">
        <f>IF(ISNUMBER(J129), $B145 * K129, "")</f>
        <v>-1363.6363636363508</v>
      </c>
      <c r="M129" s="30">
        <v>65.2</v>
      </c>
      <c r="N129" s="21">
        <f t="shared" si="65"/>
        <v>-1.2121212121212078E-2</v>
      </c>
      <c r="O129" s="22">
        <f>IF(ISNUMBER(M129), $B145 * N129, "")</f>
        <v>-1818.1818181818116</v>
      </c>
      <c r="Q129" s="161"/>
      <c r="R129" s="161"/>
      <c r="S129" s="161"/>
    </row>
    <row r="130" spans="1:19" ht="17.25" thickBot="1">
      <c r="A130" s="109" t="s">
        <v>240</v>
      </c>
      <c r="B130" s="113">
        <v>30.2</v>
      </c>
      <c r="C130" s="73">
        <v>-1.30718954E-2</v>
      </c>
      <c r="D130" s="96">
        <v>30.1</v>
      </c>
      <c r="E130" s="97">
        <f>IF(ISNUMBER(D130), (D130 - $B130) / $B130, "")</f>
        <v>-3.3112582781456247E-3</v>
      </c>
      <c r="F130" s="98">
        <f>IF(ISNUMBER(D130), $B145 * E130, "")</f>
        <v>-496.68874172184371</v>
      </c>
      <c r="G130" s="99">
        <v>30</v>
      </c>
      <c r="H130" s="97">
        <f>IF(ISNUMBER(G130), (G130 - $B130) / $B130, "")</f>
        <v>-6.6225165562913673E-3</v>
      </c>
      <c r="I130" s="100">
        <f>IF(ISNUMBER(G130), $B145 * H130, "")</f>
        <v>-993.37748344370505</v>
      </c>
      <c r="J130" s="96">
        <v>30.2</v>
      </c>
      <c r="K130" s="97">
        <f>IF(ISNUMBER(J130), (J130 - $B130) / $B130, "")</f>
        <v>0</v>
      </c>
      <c r="L130" s="98">
        <f>IF(ISNUMBER(J130), $B145 * K130, "")</f>
        <v>0</v>
      </c>
      <c r="M130" s="99">
        <v>30.2</v>
      </c>
      <c r="N130" s="97">
        <f>IF(ISNUMBER(M130), (M130 - $B130) / $B130, "")</f>
        <v>0</v>
      </c>
      <c r="O130" s="98">
        <f>IF(ISNUMBER(M130), $B145 * N130, "")</f>
        <v>0</v>
      </c>
      <c r="Q130" s="161"/>
      <c r="R130" s="161"/>
      <c r="S130" s="161"/>
    </row>
    <row r="131" spans="1:19" ht="17.25" thickBot="1">
      <c r="A131" s="109" t="s">
        <v>71</v>
      </c>
      <c r="B131" s="110">
        <v>12.1</v>
      </c>
      <c r="C131" s="70">
        <v>-1.6260162599999999E-2</v>
      </c>
      <c r="D131" s="15">
        <v>11.9</v>
      </c>
      <c r="E131" s="32">
        <f t="shared" ref="E131:E134" si="66">IF(ISNUMBER(D131), (D131 - $B131) / $B131, "")</f>
        <v>-1.6528925619834652E-2</v>
      </c>
      <c r="F131" s="18">
        <f>IF(ISNUMBER(D131), $B145 * E131, "")</f>
        <v>-2479.3388429751976</v>
      </c>
      <c r="G131" s="31">
        <v>12</v>
      </c>
      <c r="H131" s="32">
        <f t="shared" ref="H131:H134" si="67">IF(ISNUMBER(G131), (G131 - $B131) / $B131, "")</f>
        <v>-8.2644628099173261E-3</v>
      </c>
      <c r="I131" s="91">
        <f>IF(ISNUMBER(G131), $B145 * H131, "")</f>
        <v>-1239.6694214875988</v>
      </c>
      <c r="J131" s="15">
        <v>12.1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12.1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161"/>
      <c r="R131" s="161"/>
      <c r="S131" s="161"/>
    </row>
    <row r="132" spans="1:19" ht="17.25" thickBot="1">
      <c r="A132" s="109" t="s">
        <v>124</v>
      </c>
      <c r="B132" s="110">
        <v>34.799999999999997</v>
      </c>
      <c r="C132" s="70">
        <v>-1.6949152499999998E-2</v>
      </c>
      <c r="D132" s="15">
        <v>34.299999999999997</v>
      </c>
      <c r="E132" s="32">
        <f t="shared" si="66"/>
        <v>-1.4367816091954025E-2</v>
      </c>
      <c r="F132" s="18">
        <f>IF(ISNUMBER(D132), $B145 * E132, "")</f>
        <v>-2155.1724137931037</v>
      </c>
      <c r="G132" s="31">
        <v>34.299999999999997</v>
      </c>
      <c r="H132" s="32">
        <f t="shared" si="67"/>
        <v>-1.4367816091954025E-2</v>
      </c>
      <c r="I132" s="91">
        <f>IF(ISNUMBER(G132), $B145 * H132, "")</f>
        <v>-2155.1724137931037</v>
      </c>
      <c r="J132" s="15">
        <v>34.4</v>
      </c>
      <c r="K132" s="32">
        <f t="shared" si="68"/>
        <v>-1.1494252873563178E-2</v>
      </c>
      <c r="L132" s="18">
        <f>IF(ISNUMBER(J132), $B145 * K132, "")</f>
        <v>-1724.1379310344767</v>
      </c>
      <c r="M132" s="31">
        <v>34.299999999999997</v>
      </c>
      <c r="N132" s="32">
        <f t="shared" si="69"/>
        <v>-1.4367816091954025E-2</v>
      </c>
      <c r="O132" s="18">
        <f>IF(ISNUMBER(M132), $B145 * N132, "")</f>
        <v>-2155.1724137931037</v>
      </c>
      <c r="Q132" s="161"/>
      <c r="R132" s="161"/>
      <c r="S132" s="161"/>
    </row>
    <row r="133" spans="1:19" ht="17.25" thickBot="1">
      <c r="A133" s="109" t="s">
        <v>141</v>
      </c>
      <c r="B133" s="110">
        <v>3.47</v>
      </c>
      <c r="C133" s="70">
        <v>-1.6997167099999998E-2</v>
      </c>
      <c r="D133" s="15">
        <v>3.45</v>
      </c>
      <c r="E133" s="32">
        <f t="shared" si="66"/>
        <v>-5.7636887608069213E-3</v>
      </c>
      <c r="F133" s="18">
        <f>IF(ISNUMBER(D133), $B145 * E133, "")</f>
        <v>-864.55331412103817</v>
      </c>
      <c r="G133" s="31">
        <v>3.48</v>
      </c>
      <c r="H133" s="32">
        <f t="shared" si="67"/>
        <v>2.8818443804033964E-3</v>
      </c>
      <c r="I133" s="91">
        <f>IF(ISNUMBER(G133), $B145 * H133, "")</f>
        <v>432.27665706050948</v>
      </c>
      <c r="J133" s="15">
        <v>3.52</v>
      </c>
      <c r="K133" s="32">
        <f t="shared" si="68"/>
        <v>1.4409221902017239E-2</v>
      </c>
      <c r="L133" s="18">
        <f>IF(ISNUMBER(J133), $B145 * K133, "")</f>
        <v>2161.3832853025856</v>
      </c>
      <c r="M133" s="31">
        <v>3.51</v>
      </c>
      <c r="N133" s="32">
        <f t="shared" si="69"/>
        <v>1.1527377521613714E-2</v>
      </c>
      <c r="O133" s="18">
        <f>IF(ISNUMBER(M133), $B145 * N133, "")</f>
        <v>1729.106628242057</v>
      </c>
      <c r="Q133" s="33"/>
      <c r="R133" s="33"/>
    </row>
    <row r="134" spans="1:19" ht="17.25" thickBot="1">
      <c r="A134" s="114" t="s">
        <v>143</v>
      </c>
      <c r="B134" s="115">
        <v>3.96</v>
      </c>
      <c r="C134" s="72">
        <v>-1.9801980199999999E-2</v>
      </c>
      <c r="D134" s="24">
        <v>3.99</v>
      </c>
      <c r="E134" s="25">
        <f t="shared" si="66"/>
        <v>7.5757575757576384E-3</v>
      </c>
      <c r="F134" s="94">
        <f>IF(ISNUMBER(D134), $B145 * E134, "")</f>
        <v>1136.3636363636458</v>
      </c>
      <c r="G134" s="92">
        <v>4.03</v>
      </c>
      <c r="H134" s="25">
        <f t="shared" si="67"/>
        <v>1.7676767676767749E-2</v>
      </c>
      <c r="I134" s="93">
        <f>IF(ISNUMBER(G134), $B145 * H134, "")</f>
        <v>2651.5151515151624</v>
      </c>
      <c r="J134" s="24">
        <v>4.09</v>
      </c>
      <c r="K134" s="25">
        <f t="shared" si="68"/>
        <v>3.2828282828282804E-2</v>
      </c>
      <c r="L134" s="94">
        <f>IF(ISNUMBER(J134), $B145 * K134, "")</f>
        <v>4924.2424242424204</v>
      </c>
      <c r="M134" s="92">
        <v>4.1100000000000003</v>
      </c>
      <c r="N134" s="25">
        <f t="shared" si="69"/>
        <v>3.787878787878797E-2</v>
      </c>
      <c r="O134" s="94">
        <f>IF(ISNUMBER(M134), $B145 * N134, "")</f>
        <v>5681.8181818181956</v>
      </c>
      <c r="Q134" s="170"/>
      <c r="R134" s="171"/>
      <c r="S134" s="172"/>
    </row>
    <row r="135" spans="1:19">
      <c r="A135" s="107" t="s">
        <v>326</v>
      </c>
      <c r="B135" s="108">
        <v>24.3</v>
      </c>
      <c r="C135" s="69">
        <v>-2.0161290299999999E-2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-617.2839506172927</v>
      </c>
      <c r="G135" s="29">
        <v>24.4</v>
      </c>
      <c r="H135" s="14">
        <f>IF(ISNUMBER(G135), (G135 - $B135) / $B135, "")</f>
        <v>4.1152263374484715E-3</v>
      </c>
      <c r="I135" s="90">
        <f>IF(ISNUMBER(G135), $B145 * H135, "")</f>
        <v>617.28395061727076</v>
      </c>
      <c r="J135" s="13">
        <v>24.5</v>
      </c>
      <c r="K135" s="14">
        <f>IF(ISNUMBER(J135), (J135 - $B135) / $B135, "")</f>
        <v>8.2304526748970906E-3</v>
      </c>
      <c r="L135" s="16">
        <f>IF(ISNUMBER(J135), $B145 * K135, "")</f>
        <v>1234.5679012345636</v>
      </c>
      <c r="M135" s="29">
        <v>24.6</v>
      </c>
      <c r="N135" s="14">
        <f>IF(ISNUMBER(M135), (M135 - $B135) / $B135, "")</f>
        <v>1.2345679012345708E-2</v>
      </c>
      <c r="O135" s="16">
        <f>IF(ISNUMBER(M135), $B145 * N135, "")</f>
        <v>1851.8518518518563</v>
      </c>
      <c r="Q135" s="173"/>
      <c r="R135" s="174"/>
      <c r="S135" s="175"/>
    </row>
    <row r="136" spans="1:19" ht="17.25" thickBot="1">
      <c r="A136" s="109" t="s">
        <v>118</v>
      </c>
      <c r="B136" s="110">
        <v>6.99</v>
      </c>
      <c r="C136" s="70">
        <v>-2.10084034E-2</v>
      </c>
      <c r="D136" s="15">
        <v>6.97</v>
      </c>
      <c r="E136" s="32">
        <f t="shared" ref="E136:E139" si="70">IF(ISNUMBER(D136), (D136 - $B136) / $B136, "")</f>
        <v>-2.8612303290415537E-3</v>
      </c>
      <c r="F136" s="18">
        <f>IF(ISNUMBER(D136), $B145 * E136, "")</f>
        <v>-429.18454935623305</v>
      </c>
      <c r="G136" s="31">
        <v>7.11</v>
      </c>
      <c r="H136" s="32">
        <f t="shared" ref="H136:H139" si="71">IF(ISNUMBER(G136), (G136 - $B136) / $B136, "")</f>
        <v>1.7167381974248941E-2</v>
      </c>
      <c r="I136" s="91">
        <f>IF(ISNUMBER(G136), $B145 * H136, "")</f>
        <v>2575.1072961373411</v>
      </c>
      <c r="J136" s="15">
        <v>7.16</v>
      </c>
      <c r="K136" s="32">
        <f t="shared" ref="K136:K139" si="72">IF(ISNUMBER(J136), (J136 - $B136) / $B136, "")</f>
        <v>2.4320457796852636E-2</v>
      </c>
      <c r="L136" s="18">
        <f>IF(ISNUMBER(J136), $B145 * K136, "")</f>
        <v>3648.0686695278955</v>
      </c>
      <c r="M136" s="31">
        <v>7.15</v>
      </c>
      <c r="N136" s="32">
        <f t="shared" ref="N136:N139" si="73">IF(ISNUMBER(M136), (M136 - $B136) / $B136, "")</f>
        <v>2.2889842632331923E-2</v>
      </c>
      <c r="O136" s="18">
        <f>IF(ISNUMBER(M136), $B145 * N136, "")</f>
        <v>3433.4763948497884</v>
      </c>
      <c r="Q136" s="176"/>
      <c r="R136" s="177"/>
      <c r="S136" s="178"/>
    </row>
    <row r="137" spans="1:19" ht="17.25" thickBot="1">
      <c r="A137" s="109" t="s">
        <v>132</v>
      </c>
      <c r="B137" s="110">
        <v>62.1</v>
      </c>
      <c r="C137" s="70">
        <v>-2.2047244099999998E-2</v>
      </c>
      <c r="D137" s="15">
        <v>61.5</v>
      </c>
      <c r="E137" s="32">
        <f t="shared" si="70"/>
        <v>-9.6618357487922926E-3</v>
      </c>
      <c r="F137" s="18">
        <f>IF(ISNUMBER(D137), $B145 * E137, "")</f>
        <v>-1449.2753623188439</v>
      </c>
      <c r="G137" s="31">
        <v>61.5</v>
      </c>
      <c r="H137" s="32">
        <f t="shared" si="71"/>
        <v>-9.6618357487922926E-3</v>
      </c>
      <c r="I137" s="91">
        <f>IF(ISNUMBER(G137), $B145 * H137, "")</f>
        <v>-1449.2753623188439</v>
      </c>
      <c r="J137" s="15">
        <v>61.9</v>
      </c>
      <c r="K137" s="32">
        <f t="shared" si="72"/>
        <v>-3.2206119162641357E-3</v>
      </c>
      <c r="L137" s="18">
        <f>IF(ISNUMBER(J137), $B145 * K137, "")</f>
        <v>-483.09178743962036</v>
      </c>
      <c r="M137" s="31">
        <v>61.4</v>
      </c>
      <c r="N137" s="32">
        <f t="shared" si="73"/>
        <v>-1.127214170692436E-2</v>
      </c>
      <c r="O137" s="18">
        <f>IF(ISNUMBER(M137), $B145 * N137, "")</f>
        <v>-1690.8212560386542</v>
      </c>
      <c r="Q137" s="161"/>
      <c r="R137" s="161"/>
      <c r="S137" s="161"/>
    </row>
    <row r="138" spans="1:19" ht="17.25" thickBot="1">
      <c r="A138" s="109" t="s">
        <v>181</v>
      </c>
      <c r="B138" s="110">
        <v>4.4800000000000004</v>
      </c>
      <c r="C138" s="70">
        <v>-2.39651416E-2</v>
      </c>
      <c r="D138" s="15">
        <v>4.5</v>
      </c>
      <c r="E138" s="32">
        <f t="shared" si="70"/>
        <v>4.4642857142856186E-3</v>
      </c>
      <c r="F138" s="18">
        <f>IF(ISNUMBER(D138), $B145 * E138, "")</f>
        <v>669.64285714284279</v>
      </c>
      <c r="G138" s="31">
        <v>4.5599999999999996</v>
      </c>
      <c r="H138" s="32">
        <f t="shared" si="71"/>
        <v>1.7857142857142672E-2</v>
      </c>
      <c r="I138" s="91">
        <f>IF(ISNUMBER(G138), $B145 * H138, "")</f>
        <v>2678.5714285714007</v>
      </c>
      <c r="J138" s="15">
        <v>4.5999999999999996</v>
      </c>
      <c r="K138" s="32">
        <f t="shared" si="72"/>
        <v>2.6785714285714107E-2</v>
      </c>
      <c r="L138" s="18">
        <f>IF(ISNUMBER(J138), $B145 * K138, "")</f>
        <v>4017.8571428571163</v>
      </c>
      <c r="M138" s="31">
        <v>4.55</v>
      </c>
      <c r="N138" s="32">
        <f t="shared" si="73"/>
        <v>1.5624999999999863E-2</v>
      </c>
      <c r="O138" s="18">
        <f>IF(ISNUMBER(M138), $B145 * N138, "")</f>
        <v>2343.7499999999795</v>
      </c>
      <c r="Q138" s="156"/>
      <c r="R138" s="156"/>
      <c r="S138" s="156"/>
    </row>
    <row r="139" spans="1:19" ht="17.25" thickBot="1">
      <c r="A139" s="111" t="s">
        <v>191</v>
      </c>
      <c r="B139" s="112">
        <v>52.8</v>
      </c>
      <c r="C139" s="71">
        <v>-2.40295749E-2</v>
      </c>
      <c r="D139" s="20">
        <v>52.7</v>
      </c>
      <c r="E139" s="21">
        <f t="shared" si="70"/>
        <v>-1.8939393939392864E-3</v>
      </c>
      <c r="F139" s="22">
        <f>IF(ISNUMBER(D139), $B145 * E139, "")</f>
        <v>-284.09090909089298</v>
      </c>
      <c r="G139" s="30">
        <v>53</v>
      </c>
      <c r="H139" s="21">
        <f t="shared" si="71"/>
        <v>3.7878787878788418E-3</v>
      </c>
      <c r="I139" s="95">
        <f>IF(ISNUMBER(G139), $B145 * H139, "")</f>
        <v>568.18181818182632</v>
      </c>
      <c r="J139" s="20">
        <v>53</v>
      </c>
      <c r="K139" s="21">
        <f t="shared" si="72"/>
        <v>3.7878787878788418E-3</v>
      </c>
      <c r="L139" s="22">
        <f>IF(ISNUMBER(J139), $B145 * K139, "")</f>
        <v>568.18181818182632</v>
      </c>
      <c r="M139" s="30">
        <v>53</v>
      </c>
      <c r="N139" s="21">
        <f t="shared" si="73"/>
        <v>3.7878787878788418E-3</v>
      </c>
      <c r="O139" s="22">
        <f>IF(ISNUMBER(M139), $B145 * N139, "")</f>
        <v>568.18181818182632</v>
      </c>
      <c r="Q139" s="156"/>
      <c r="R139" s="156"/>
      <c r="S139" s="156"/>
    </row>
    <row r="140" spans="1:19" ht="17.25" thickBot="1">
      <c r="A140" s="109" t="s">
        <v>212</v>
      </c>
      <c r="B140" s="113">
        <v>88.6</v>
      </c>
      <c r="C140" s="73">
        <v>-3.0634573299999999E-2</v>
      </c>
      <c r="D140" s="96">
        <v>88.1</v>
      </c>
      <c r="E140" s="97">
        <f>IF(ISNUMBER(D140), (D140 - $B140) / $B140, "")</f>
        <v>-5.6433408577878106E-3</v>
      </c>
      <c r="F140" s="98">
        <f>IF(ISNUMBER(D140), $B145 * E140, "")</f>
        <v>-846.50112866817153</v>
      </c>
      <c r="G140" s="99">
        <v>88.6</v>
      </c>
      <c r="H140" s="97">
        <f>IF(ISNUMBER(G140), (G140 - $B140) / $B140, "")</f>
        <v>0</v>
      </c>
      <c r="I140" s="100">
        <f>IF(ISNUMBER(G140), $B145 * H140, "")</f>
        <v>0</v>
      </c>
      <c r="J140" s="96">
        <v>89</v>
      </c>
      <c r="K140" s="97">
        <f>IF(ISNUMBER(J140), (J140 - $B140) / $B140, "")</f>
        <v>4.514672686230313E-3</v>
      </c>
      <c r="L140" s="98">
        <f>IF(ISNUMBER(J140), $B145 * K140, "")</f>
        <v>677.200902934547</v>
      </c>
      <c r="M140" s="99">
        <v>88.7</v>
      </c>
      <c r="N140" s="97">
        <f>IF(ISNUMBER(M140), (M140 - $B140) / $B140, "")</f>
        <v>1.1286681715576585E-3</v>
      </c>
      <c r="O140" s="98">
        <f>IF(ISNUMBER(M140), $B145 * N140, "")</f>
        <v>169.30022573364877</v>
      </c>
      <c r="Q140" s="161"/>
      <c r="R140" s="161"/>
      <c r="S140" s="161"/>
    </row>
    <row r="141" spans="1:19" ht="17.25" thickBot="1">
      <c r="A141" s="109" t="s">
        <v>210</v>
      </c>
      <c r="B141" s="110">
        <v>66.099999999999994</v>
      </c>
      <c r="C141" s="70">
        <v>-3.0791788899999999E-2</v>
      </c>
      <c r="D141" s="15">
        <v>66.099999999999994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3.0257186081694837E-3</v>
      </c>
      <c r="I141" s="91">
        <f>IF(ISNUMBER(G141), $B145 * H141, "")</f>
        <v>453.85779122542255</v>
      </c>
      <c r="J141" s="15">
        <v>67</v>
      </c>
      <c r="K141" s="32">
        <f t="shared" ref="K141:K144" si="76">IF(ISNUMBER(J141), (J141 - $B141) / $B141, "")</f>
        <v>1.3615733736762569E-2</v>
      </c>
      <c r="L141" s="18">
        <f>IF(ISNUMBER(J141), $B145 * K141, "")</f>
        <v>2042.3600605143854</v>
      </c>
      <c r="M141" s="31">
        <v>66.8</v>
      </c>
      <c r="N141" s="32">
        <f t="shared" ref="N141:N144" si="77">IF(ISNUMBER(M141), (M141 - $B141) / $B141, "")</f>
        <v>1.0590015128593085E-2</v>
      </c>
      <c r="O141" s="18">
        <f>IF(ISNUMBER(M141), $B145 * N141, "")</f>
        <v>1588.5022692889629</v>
      </c>
      <c r="Q141" s="161"/>
      <c r="R141" s="161"/>
      <c r="S141" s="161"/>
    </row>
    <row r="142" spans="1:19" ht="17.25" thickBot="1">
      <c r="A142" s="109" t="s">
        <v>228</v>
      </c>
      <c r="B142" s="110">
        <v>67.7</v>
      </c>
      <c r="C142" s="70">
        <v>-3.8352272700000002E-2</v>
      </c>
      <c r="D142" s="15">
        <v>66.900000000000006</v>
      </c>
      <c r="E142" s="32">
        <f t="shared" si="74"/>
        <v>-1.1816838995568643E-2</v>
      </c>
      <c r="F142" s="18">
        <f>IF(ISNUMBER(D142), $B145 * E142, "")</f>
        <v>-1772.5258493352965</v>
      </c>
      <c r="G142" s="31">
        <v>67</v>
      </c>
      <c r="H142" s="32">
        <f t="shared" si="75"/>
        <v>-1.0339734121122641E-2</v>
      </c>
      <c r="I142" s="91">
        <f>IF(ISNUMBER(G142), $B145 * H142, "")</f>
        <v>-1550.9601181683961</v>
      </c>
      <c r="J142" s="15">
        <v>67.599999999999994</v>
      </c>
      <c r="K142" s="32">
        <f t="shared" si="76"/>
        <v>-1.4771048744462115E-3</v>
      </c>
      <c r="L142" s="18">
        <f>IF(ISNUMBER(J142), $B145 * K142, "")</f>
        <v>-221.56573116693173</v>
      </c>
      <c r="M142" s="31">
        <v>67.3</v>
      </c>
      <c r="N142" s="32">
        <f t="shared" si="77"/>
        <v>-5.9084194977844263E-3</v>
      </c>
      <c r="O142" s="18">
        <f>IF(ISNUMBER(M142), $B145 * N142, "")</f>
        <v>-886.26292466766392</v>
      </c>
      <c r="Q142" s="161"/>
      <c r="R142" s="161"/>
      <c r="S142" s="161"/>
    </row>
    <row r="143" spans="1:19">
      <c r="A143" s="109" t="s">
        <v>138</v>
      </c>
      <c r="B143" s="110">
        <v>28.9</v>
      </c>
      <c r="C143" s="70">
        <v>-4.3046357600000001E-2</v>
      </c>
      <c r="D143" s="15">
        <v>28.8</v>
      </c>
      <c r="E143" s="32">
        <f t="shared" si="74"/>
        <v>-3.4602076124566738E-3</v>
      </c>
      <c r="F143" s="18">
        <f>IF(ISNUMBER(D143), $B145 * E143, "")</f>
        <v>-519.03114186850109</v>
      </c>
      <c r="G143" s="31">
        <v>29.9</v>
      </c>
      <c r="H143" s="32">
        <f t="shared" si="75"/>
        <v>3.4602076124567477E-2</v>
      </c>
      <c r="I143" s="91">
        <f>IF(ISNUMBER(G143), $B145 * H143, "")</f>
        <v>5190.3114186851217</v>
      </c>
      <c r="J143" s="15">
        <v>29.5</v>
      </c>
      <c r="K143" s="32">
        <f t="shared" si="76"/>
        <v>2.0761245674740535E-2</v>
      </c>
      <c r="L143" s="18">
        <f>IF(ISNUMBER(J143), $B145 * K143, "")</f>
        <v>3114.1868512110805</v>
      </c>
      <c r="M143" s="31">
        <v>29.3</v>
      </c>
      <c r="N143" s="32">
        <f t="shared" si="77"/>
        <v>1.3840830449827065E-2</v>
      </c>
      <c r="O143" s="18">
        <f>IF(ISNUMBER(M143), $B145 * N143, "")</f>
        <v>2076.1245674740599</v>
      </c>
      <c r="Q143" s="183"/>
      <c r="R143" s="184"/>
      <c r="S143" s="185"/>
    </row>
    <row r="144" spans="1:19" ht="17.25" thickBot="1">
      <c r="A144" s="114" t="s">
        <v>220</v>
      </c>
      <c r="B144" s="115">
        <v>80.8</v>
      </c>
      <c r="C144" s="72">
        <v>-4.9411764699999999E-2</v>
      </c>
      <c r="D144" s="24">
        <v>80.2</v>
      </c>
      <c r="E144" s="25">
        <f t="shared" si="74"/>
        <v>-7.425742574257356E-3</v>
      </c>
      <c r="F144" s="94">
        <f>IF(ISNUMBER(D144), $B145 * E144, "")</f>
        <v>-1113.8613861386034</v>
      </c>
      <c r="G144" s="92">
        <v>80.400000000000006</v>
      </c>
      <c r="H144" s="25">
        <f t="shared" si="75"/>
        <v>-4.9504950495048447E-3</v>
      </c>
      <c r="I144" s="93">
        <f>IF(ISNUMBER(G144), $B145 * H144, "")</f>
        <v>-742.57425742572673</v>
      </c>
      <c r="J144" s="24">
        <v>81</v>
      </c>
      <c r="K144" s="25">
        <f t="shared" si="76"/>
        <v>2.4752475247525104E-3</v>
      </c>
      <c r="L144" s="94">
        <f>IF(ISNUMBER(J144), $B145 * K144, "")</f>
        <v>371.28712871287655</v>
      </c>
      <c r="M144" s="92">
        <v>81.400000000000006</v>
      </c>
      <c r="N144" s="25">
        <f t="shared" si="77"/>
        <v>7.4257425742575312E-3</v>
      </c>
      <c r="O144" s="94">
        <f>IF(ISNUMBER(M144), $B145 * N144, "")</f>
        <v>1113.8613861386298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-6.3675478324127423E-3</v>
      </c>
      <c r="F145" s="28">
        <f>SUM(F125:F144)</f>
        <v>-19102.64349723823</v>
      </c>
      <c r="G145" s="26" t="s">
        <v>261</v>
      </c>
      <c r="H145" s="27">
        <f>IF(COUNT(H125:H144), SUM(H125:H144) / COUNT(H125:H144), 0)</f>
        <v>6.0988198802548602E-4</v>
      </c>
      <c r="I145" s="28">
        <f>SUM(I125:I144)</f>
        <v>1829.6459640764576</v>
      </c>
      <c r="J145" s="26" t="s">
        <v>261</v>
      </c>
      <c r="K145" s="27">
        <f>IF(COUNT(K125:K144), SUM(K125:K144) / COUNT(K125:K144), 0)</f>
        <v>6.6248356893815778E-3</v>
      </c>
      <c r="L145" s="28">
        <f>SUM(L125:L144)</f>
        <v>19874.507068144736</v>
      </c>
      <c r="M145" s="26" t="s">
        <v>261</v>
      </c>
      <c r="N145" s="27">
        <f>IF(COUNT(N125:N144), SUM(N125:N144) / COUNT(N125:N144), 0)</f>
        <v>4.9597483963886137E-3</v>
      </c>
      <c r="O145" s="28">
        <f>SUM(O125:O144)</f>
        <v>14879.245189165842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2022-12-02(금) 오전 00:00</v>
      </c>
      <c r="C150" s="199"/>
      <c r="D150" s="158" t="str">
        <f>TEXT($G$1, "[$-ko-KR]yyyy-mm-dd(ddd) ") &amp; "오후 14:00"</f>
        <v>2022-12-02(금) 오후 14:00</v>
      </c>
      <c r="E150" s="159"/>
      <c r="F150" s="160"/>
      <c r="G150" s="158" t="str">
        <f>TEXT($G$1, "[$-ko-KR]yyyy-mm-dd(ddd) ") &amp; "오후 19:00"</f>
        <v>2022-12-02(금) 오후 19:00</v>
      </c>
      <c r="H150" s="159"/>
      <c r="I150" s="160"/>
      <c r="J150" s="158" t="str">
        <f>TEXT($G$1, "[$-ko-KR]yyyy-mm-dd(ddd) ") &amp; "오후 21:00"</f>
        <v>2022-12-02(금) 오후 21:00</v>
      </c>
      <c r="K150" s="159"/>
      <c r="L150" s="160"/>
      <c r="M150" s="158" t="str">
        <f>TEXT($G$1+1, "[$-ko-KR]yyyy-mm-dd(ddd) ") &amp; "오전 00:00"</f>
        <v>2022-12-03(토)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167</v>
      </c>
      <c r="B152" s="108">
        <v>203</v>
      </c>
      <c r="C152" s="69">
        <v>-1.93236715E-2</v>
      </c>
      <c r="D152" s="13">
        <v>200</v>
      </c>
      <c r="E152" s="14">
        <f>IF(ISNUMBER(D152), (D152 - $B152) / $B152, "")</f>
        <v>-1.4778325123152709E-2</v>
      </c>
      <c r="F152" s="16">
        <f>IF(ISNUMBER(D152), $B172 * E152, "")</f>
        <v>-2216.7487684729062</v>
      </c>
      <c r="G152" s="29">
        <v>201</v>
      </c>
      <c r="H152" s="14">
        <f>IF(ISNUMBER(G152), (G152 - $B152) / $B152, "")</f>
        <v>-9.852216748768473E-3</v>
      </c>
      <c r="I152" s="90">
        <f>IF(ISNUMBER(G152), $B172 * H152, "")</f>
        <v>-1477.8325123152711</v>
      </c>
      <c r="J152" s="13">
        <v>203</v>
      </c>
      <c r="K152" s="14">
        <f>IF(ISNUMBER(J152), (J152 - $B152) / $B152, "")</f>
        <v>0</v>
      </c>
      <c r="L152" s="16">
        <f>IF(ISNUMBER(J152), $B172 * K152, "")</f>
        <v>0</v>
      </c>
      <c r="M152" s="29">
        <v>203</v>
      </c>
      <c r="N152" s="14">
        <f>IF(ISNUMBER(M152), (M152 - $B152) / $B152, "")</f>
        <v>0</v>
      </c>
      <c r="O152" s="16">
        <f>IF(ISNUMBER(M152), $B172 * N152, "")</f>
        <v>0</v>
      </c>
      <c r="Q152" s="156"/>
      <c r="R152" s="156"/>
      <c r="S152" s="156"/>
    </row>
    <row r="153" spans="1:19" ht="17.25" thickBot="1">
      <c r="A153" s="109" t="s">
        <v>218</v>
      </c>
      <c r="B153" s="110">
        <v>354</v>
      </c>
      <c r="C153" s="70">
        <v>-1.9390581699999999E-2</v>
      </c>
      <c r="D153" s="15">
        <v>349</v>
      </c>
      <c r="E153" s="32">
        <f t="shared" ref="E153:E156" si="78">IF(ISNUMBER(D153), (D153 - $B153) / $B153, "")</f>
        <v>-1.4124293785310734E-2</v>
      </c>
      <c r="F153" s="18">
        <f>IF(ISNUMBER(D153), $B172 * E153, "")</f>
        <v>-2118.6440677966102</v>
      </c>
      <c r="G153" s="31">
        <v>351</v>
      </c>
      <c r="H153" s="32">
        <f t="shared" ref="H153:H156" si="79">IF(ISNUMBER(G153), (G153 - $B153) / $B153, "")</f>
        <v>-8.4745762711864406E-3</v>
      </c>
      <c r="I153" s="91">
        <f>IF(ISNUMBER(G153), $B172 * H153, "")</f>
        <v>-1271.1864406779662</v>
      </c>
      <c r="J153" s="15">
        <v>353</v>
      </c>
      <c r="K153" s="32">
        <f t="shared" ref="K153:K156" si="80">IF(ISNUMBER(J153), (J153 - $B153) / $B153, "")</f>
        <v>-2.8248587570621469E-3</v>
      </c>
      <c r="L153" s="18">
        <f>IF(ISNUMBER(J153), $B172 * K153, "")</f>
        <v>-423.72881355932202</v>
      </c>
      <c r="M153" s="31">
        <v>352</v>
      </c>
      <c r="N153" s="32">
        <f t="shared" ref="N153:N156" si="81">IF(ISNUMBER(M153), (M153 - $B153) / $B153, "")</f>
        <v>-5.6497175141242938E-3</v>
      </c>
      <c r="O153" s="18">
        <f>IF(ISNUMBER(M153), $B172 * N153, "")</f>
        <v>-847.45762711864404</v>
      </c>
      <c r="Q153" s="156"/>
      <c r="R153" s="156"/>
      <c r="S153" s="156"/>
    </row>
    <row r="154" spans="1:19" ht="17.25" thickBot="1">
      <c r="A154" s="109" t="s">
        <v>153</v>
      </c>
      <c r="B154" s="110">
        <v>446</v>
      </c>
      <c r="C154" s="70">
        <v>-1.9780219799999998E-2</v>
      </c>
      <c r="D154" s="15">
        <v>446</v>
      </c>
      <c r="E154" s="32">
        <f t="shared" si="78"/>
        <v>0</v>
      </c>
      <c r="F154" s="18">
        <f>IF(ISNUMBER(D154), $B172 * E154, "")</f>
        <v>0</v>
      </c>
      <c r="G154" s="31">
        <v>451</v>
      </c>
      <c r="H154" s="32">
        <f t="shared" si="79"/>
        <v>1.1210762331838564E-2</v>
      </c>
      <c r="I154" s="91">
        <f>IF(ISNUMBER(G154), $B172 * H154, "")</f>
        <v>1681.6143497757846</v>
      </c>
      <c r="J154" s="15">
        <v>453</v>
      </c>
      <c r="K154" s="32">
        <f t="shared" si="80"/>
        <v>1.5695067264573991E-2</v>
      </c>
      <c r="L154" s="18">
        <f>IF(ISNUMBER(J154), $B172 * K154, "")</f>
        <v>2354.2600896860986</v>
      </c>
      <c r="M154" s="31">
        <v>449</v>
      </c>
      <c r="N154" s="32">
        <f t="shared" si="81"/>
        <v>6.7264573991031393E-3</v>
      </c>
      <c r="O154" s="18">
        <f>IF(ISNUMBER(M154), $B172 * N154, "")</f>
        <v>1008.9686098654709</v>
      </c>
      <c r="Q154" s="161"/>
      <c r="R154" s="161"/>
      <c r="S154" s="161"/>
    </row>
    <row r="155" spans="1:19" ht="17.25" thickBot="1">
      <c r="A155" s="109" t="s">
        <v>66</v>
      </c>
      <c r="B155" s="110">
        <v>730</v>
      </c>
      <c r="C155" s="70">
        <v>-2.01342282E-2</v>
      </c>
      <c r="D155" s="15">
        <v>723</v>
      </c>
      <c r="E155" s="32">
        <f t="shared" si="78"/>
        <v>-9.5890410958904115E-3</v>
      </c>
      <c r="F155" s="18">
        <f>IF(ISNUMBER(D155), $B172 * E155, "")</f>
        <v>-1438.3561643835617</v>
      </c>
      <c r="G155" s="31">
        <v>727</v>
      </c>
      <c r="H155" s="32">
        <f t="shared" si="79"/>
        <v>-4.10958904109589E-3</v>
      </c>
      <c r="I155" s="91">
        <f>IF(ISNUMBER(G155), $B172 * H155, "")</f>
        <v>-616.43835616438355</v>
      </c>
      <c r="J155" s="15">
        <v>731</v>
      </c>
      <c r="K155" s="32">
        <f t="shared" si="80"/>
        <v>1.3698630136986301E-3</v>
      </c>
      <c r="L155" s="18">
        <f>IF(ISNUMBER(J155), $B172 * K155, "")</f>
        <v>205.47945205479454</v>
      </c>
      <c r="M155" s="31">
        <v>729</v>
      </c>
      <c r="N155" s="32">
        <f t="shared" si="81"/>
        <v>-1.3698630136986301E-3</v>
      </c>
      <c r="O155" s="18">
        <f>IF(ISNUMBER(M155), $B172 * N155, "")</f>
        <v>-205.47945205479454</v>
      </c>
      <c r="Q155" s="161"/>
      <c r="R155" s="161"/>
      <c r="S155" s="161"/>
    </row>
    <row r="156" spans="1:19" ht="17.25" thickBot="1">
      <c r="A156" s="111" t="s">
        <v>340</v>
      </c>
      <c r="B156" s="112">
        <v>680</v>
      </c>
      <c r="C156" s="71">
        <v>-2.0172910700000001E-2</v>
      </c>
      <c r="D156" s="20">
        <v>676</v>
      </c>
      <c r="E156" s="21">
        <f t="shared" si="78"/>
        <v>-5.8823529411764705E-3</v>
      </c>
      <c r="F156" s="22">
        <f>IF(ISNUMBER(D156), $B172 * E156, "")</f>
        <v>-882.35294117647061</v>
      </c>
      <c r="G156" s="30">
        <v>674</v>
      </c>
      <c r="H156" s="21">
        <f t="shared" si="79"/>
        <v>-8.8235294117647058E-3</v>
      </c>
      <c r="I156" s="95">
        <f>IF(ISNUMBER(G156), $B172 * H156, "")</f>
        <v>-1323.5294117647059</v>
      </c>
      <c r="J156" s="20">
        <v>676</v>
      </c>
      <c r="K156" s="21">
        <f t="shared" si="80"/>
        <v>-5.8823529411764705E-3</v>
      </c>
      <c r="L156" s="22">
        <f>IF(ISNUMBER(J156), $B172 * K156, "")</f>
        <v>-882.35294117647061</v>
      </c>
      <c r="M156" s="30">
        <v>674</v>
      </c>
      <c r="N156" s="21">
        <f t="shared" si="81"/>
        <v>-8.8235294117647058E-3</v>
      </c>
      <c r="O156" s="22">
        <f>IF(ISNUMBER(M156), $B172 * N156, "")</f>
        <v>-1323.5294117647059</v>
      </c>
      <c r="Q156" s="161"/>
      <c r="R156" s="161"/>
      <c r="S156" s="161"/>
    </row>
    <row r="157" spans="1:19" ht="17.25" thickBot="1">
      <c r="A157" s="109" t="s">
        <v>89</v>
      </c>
      <c r="B157" s="113">
        <v>526</v>
      </c>
      <c r="C157" s="73">
        <v>-2.0484171299999999E-2</v>
      </c>
      <c r="D157" s="96">
        <v>523</v>
      </c>
      <c r="E157" s="97">
        <f>IF(ISNUMBER(D157), (D157 - $B157) / $B157, "")</f>
        <v>-5.7034220532319393E-3</v>
      </c>
      <c r="F157" s="98">
        <f>IF(ISNUMBER(D157), $B172 * E157, "")</f>
        <v>-855.51330798479091</v>
      </c>
      <c r="G157" s="99">
        <v>524</v>
      </c>
      <c r="H157" s="97">
        <f>IF(ISNUMBER(G157), (G157 - $B157) / $B157, "")</f>
        <v>-3.8022813688212928E-3</v>
      </c>
      <c r="I157" s="100">
        <f>IF(ISNUMBER(G157), $B172 * H157, "")</f>
        <v>-570.34220532319387</v>
      </c>
      <c r="J157" s="96">
        <v>525</v>
      </c>
      <c r="K157" s="97">
        <f>IF(ISNUMBER(J157), (J157 - $B157) / $B157, "")</f>
        <v>-1.9011406844106464E-3</v>
      </c>
      <c r="L157" s="98">
        <f>IF(ISNUMBER(J157), $B172 * K157, "")</f>
        <v>-285.17110266159693</v>
      </c>
      <c r="M157" s="99">
        <v>522</v>
      </c>
      <c r="N157" s="97">
        <f>IF(ISNUMBER(M157), (M157 - $B157) / $B157, "")</f>
        <v>-7.6045627376425855E-3</v>
      </c>
      <c r="O157" s="98">
        <f>IF(ISNUMBER(M157), $B172 * N157, "")</f>
        <v>-1140.6844106463877</v>
      </c>
      <c r="Q157" s="161"/>
      <c r="R157" s="161"/>
      <c r="S157" s="161"/>
    </row>
    <row r="158" spans="1:19" ht="17.25" thickBot="1">
      <c r="A158" s="109" t="s">
        <v>120</v>
      </c>
      <c r="B158" s="110">
        <v>139</v>
      </c>
      <c r="C158" s="70">
        <v>-2.1126760599999999E-2</v>
      </c>
      <c r="D158" s="15">
        <v>137</v>
      </c>
      <c r="E158" s="32">
        <f t="shared" ref="E158:E161" si="82">IF(ISNUMBER(D158), (D158 - $B158) / $B158, "")</f>
        <v>-1.4388489208633094E-2</v>
      </c>
      <c r="F158" s="18">
        <f>IF(ISNUMBER(D158), $B172 * E158, "")</f>
        <v>-2158.2733812949641</v>
      </c>
      <c r="G158" s="31">
        <v>137</v>
      </c>
      <c r="H158" s="32">
        <f t="shared" ref="H158:H161" si="83">IF(ISNUMBER(G158), (G158 - $B158) / $B158, "")</f>
        <v>-1.4388489208633094E-2</v>
      </c>
      <c r="I158" s="91">
        <f>IF(ISNUMBER(G158), $B172 * H158, "")</f>
        <v>-2158.2733812949641</v>
      </c>
      <c r="J158" s="15">
        <v>139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140</v>
      </c>
      <c r="N158" s="32">
        <f t="shared" ref="N158:N161" si="85">IF(ISNUMBER(M158), (M158 - $B158) / $B158, "")</f>
        <v>7.1942446043165471E-3</v>
      </c>
      <c r="O158" s="18">
        <f>IF(ISNUMBER(M158), $B172 * N158, "")</f>
        <v>1079.1366906474821</v>
      </c>
      <c r="Q158" s="161"/>
      <c r="R158" s="161"/>
      <c r="S158" s="161"/>
    </row>
    <row r="159" spans="1:19" ht="17.25" thickBot="1">
      <c r="A159" s="109" t="s">
        <v>242</v>
      </c>
      <c r="B159" s="110">
        <v>476</v>
      </c>
      <c r="C159" s="70">
        <v>-2.2587269E-2</v>
      </c>
      <c r="D159" s="15">
        <v>472</v>
      </c>
      <c r="E159" s="32">
        <f t="shared" si="82"/>
        <v>-8.4033613445378148E-3</v>
      </c>
      <c r="F159" s="18">
        <f>IF(ISNUMBER(D159), $B172 * E159, "")</f>
        <v>-1260.5042016806722</v>
      </c>
      <c r="G159" s="31">
        <v>472</v>
      </c>
      <c r="H159" s="32">
        <f t="shared" si="83"/>
        <v>-8.4033613445378148E-3</v>
      </c>
      <c r="I159" s="91">
        <f>IF(ISNUMBER(G159), $B172 * H159, "")</f>
        <v>-1260.5042016806722</v>
      </c>
      <c r="J159" s="15">
        <v>477</v>
      </c>
      <c r="K159" s="32">
        <f t="shared" si="84"/>
        <v>2.1008403361344537E-3</v>
      </c>
      <c r="L159" s="18">
        <f>IF(ISNUMBER(J159), $B172 * K159, "")</f>
        <v>315.12605042016804</v>
      </c>
      <c r="M159" s="31">
        <v>477</v>
      </c>
      <c r="N159" s="32">
        <f t="shared" si="85"/>
        <v>2.1008403361344537E-3</v>
      </c>
      <c r="O159" s="18">
        <f>IF(ISNUMBER(M159), $B172 * N159, "")</f>
        <v>315.12605042016804</v>
      </c>
      <c r="Q159" s="161"/>
      <c r="R159" s="161"/>
      <c r="S159" s="161"/>
    </row>
    <row r="160" spans="1:19" ht="17.25" thickBot="1">
      <c r="A160" s="109" t="s">
        <v>196</v>
      </c>
      <c r="B160" s="110">
        <v>293</v>
      </c>
      <c r="C160" s="70">
        <v>-2.3333333299999998E-2</v>
      </c>
      <c r="D160" s="15">
        <v>291</v>
      </c>
      <c r="E160" s="32">
        <f t="shared" si="82"/>
        <v>-6.8259385665529011E-3</v>
      </c>
      <c r="F160" s="18">
        <f>IF(ISNUMBER(D160), $B172 * E160, "")</f>
        <v>-1023.8907849829352</v>
      </c>
      <c r="G160" s="31">
        <v>294</v>
      </c>
      <c r="H160" s="32">
        <f t="shared" si="83"/>
        <v>3.4129692832764505E-3</v>
      </c>
      <c r="I160" s="91">
        <f>IF(ISNUMBER(G160), $B172 * H160, "")</f>
        <v>511.9453924914676</v>
      </c>
      <c r="J160" s="15">
        <v>295</v>
      </c>
      <c r="K160" s="32">
        <f t="shared" si="84"/>
        <v>6.8259385665529011E-3</v>
      </c>
      <c r="L160" s="18">
        <f>IF(ISNUMBER(J160), $B172 * K160, "")</f>
        <v>1023.8907849829352</v>
      </c>
      <c r="M160" s="31">
        <v>296</v>
      </c>
      <c r="N160" s="32">
        <f t="shared" si="85"/>
        <v>1.0238907849829351E-2</v>
      </c>
      <c r="O160" s="18">
        <f>IF(ISNUMBER(M160), $B172 * N160, "")</f>
        <v>1535.8361774744026</v>
      </c>
      <c r="Q160" s="33"/>
      <c r="R160" s="33"/>
    </row>
    <row r="161" spans="1:19" ht="17.25" thickBot="1">
      <c r="A161" s="114" t="s">
        <v>176</v>
      </c>
      <c r="B161" s="115">
        <v>344</v>
      </c>
      <c r="C161" s="72">
        <v>-2.54957507E-2</v>
      </c>
      <c r="D161" s="24">
        <v>344</v>
      </c>
      <c r="E161" s="25">
        <f t="shared" si="82"/>
        <v>0</v>
      </c>
      <c r="F161" s="94">
        <f>IF(ISNUMBER(D161), $B172 * E161, "")</f>
        <v>0</v>
      </c>
      <c r="G161" s="92">
        <v>346</v>
      </c>
      <c r="H161" s="25">
        <f t="shared" si="83"/>
        <v>5.8139534883720929E-3</v>
      </c>
      <c r="I161" s="93">
        <f>IF(ISNUMBER(G161), $B172 * H161, "")</f>
        <v>872.09302325581393</v>
      </c>
      <c r="J161" s="24">
        <v>346</v>
      </c>
      <c r="K161" s="25">
        <f t="shared" si="84"/>
        <v>5.8139534883720929E-3</v>
      </c>
      <c r="L161" s="94">
        <f>IF(ISNUMBER(J161), $B172 * K161, "")</f>
        <v>872.09302325581393</v>
      </c>
      <c r="M161" s="92">
        <v>349</v>
      </c>
      <c r="N161" s="25">
        <f t="shared" si="85"/>
        <v>1.4534883720930232E-2</v>
      </c>
      <c r="O161" s="94">
        <f>IF(ISNUMBER(M161), $B172 * N161, "")</f>
        <v>2180.2325581395348</v>
      </c>
      <c r="Q161" s="170"/>
      <c r="R161" s="171"/>
      <c r="S161" s="172"/>
    </row>
    <row r="162" spans="1:19">
      <c r="A162" s="107" t="s">
        <v>208</v>
      </c>
      <c r="B162" s="108">
        <v>113</v>
      </c>
      <c r="C162" s="69">
        <v>-2.5862069000000001E-2</v>
      </c>
      <c r="D162" s="13">
        <v>113</v>
      </c>
      <c r="E162" s="14">
        <f>IF(ISNUMBER(D162), (D162 - $B162) / $B162, "")</f>
        <v>0</v>
      </c>
      <c r="F162" s="16">
        <f>IF(ISNUMBER(D162), $B172 * E162, "")</f>
        <v>0</v>
      </c>
      <c r="G162" s="29">
        <v>113</v>
      </c>
      <c r="H162" s="14">
        <f>IF(ISNUMBER(G162), (G162 - $B162) / $B162, "")</f>
        <v>0</v>
      </c>
      <c r="I162" s="90">
        <f>IF(ISNUMBER(G162), $B172 * H162, "")</f>
        <v>0</v>
      </c>
      <c r="J162" s="13">
        <v>114</v>
      </c>
      <c r="K162" s="14">
        <f>IF(ISNUMBER(J162), (J162 - $B162) / $B162, "")</f>
        <v>8.8495575221238937E-3</v>
      </c>
      <c r="L162" s="16">
        <f>IF(ISNUMBER(J162), $B172 * K162, "")</f>
        <v>1327.4336283185839</v>
      </c>
      <c r="M162" s="29">
        <v>113</v>
      </c>
      <c r="N162" s="14">
        <f>IF(ISNUMBER(M162), (M162 - $B162) / $B162, "")</f>
        <v>0</v>
      </c>
      <c r="O162" s="16">
        <f>IF(ISNUMBER(M162), $B172 * N162, "")</f>
        <v>0</v>
      </c>
      <c r="Q162" s="173"/>
      <c r="R162" s="174"/>
      <c r="S162" s="175"/>
    </row>
    <row r="163" spans="1:19" ht="17.25" thickBot="1">
      <c r="A163" s="109" t="s">
        <v>222</v>
      </c>
      <c r="B163" s="110">
        <v>478</v>
      </c>
      <c r="C163" s="70">
        <v>-2.6476578399999999E-2</v>
      </c>
      <c r="D163" s="15">
        <v>477</v>
      </c>
      <c r="E163" s="32">
        <f t="shared" ref="E163:E166" si="86">IF(ISNUMBER(D163), (D163 - $B163) / $B163, "")</f>
        <v>-2.0920502092050207E-3</v>
      </c>
      <c r="F163" s="18">
        <f>IF(ISNUMBER(D163), $B172 * E163, "")</f>
        <v>-313.80753138075312</v>
      </c>
      <c r="G163" s="31">
        <v>478</v>
      </c>
      <c r="H163" s="32">
        <f t="shared" ref="H163:H166" si="87">IF(ISNUMBER(G163), (G163 - $B163) / $B163, "")</f>
        <v>0</v>
      </c>
      <c r="I163" s="91">
        <f>IF(ISNUMBER(G163), $B172 * H163, "")</f>
        <v>0</v>
      </c>
      <c r="J163" s="15">
        <v>481</v>
      </c>
      <c r="K163" s="32">
        <f t="shared" ref="K163:K166" si="88">IF(ISNUMBER(J163), (J163 - $B163) / $B163, "")</f>
        <v>6.2761506276150627E-3</v>
      </c>
      <c r="L163" s="18">
        <f>IF(ISNUMBER(J163), $B172 * K163, "")</f>
        <v>941.42259414225941</v>
      </c>
      <c r="M163" s="31">
        <v>482</v>
      </c>
      <c r="N163" s="32">
        <f t="shared" ref="N163:N166" si="89">IF(ISNUMBER(M163), (M163 - $B163) / $B163, "")</f>
        <v>8.368200836820083E-3</v>
      </c>
      <c r="O163" s="18">
        <f>IF(ISNUMBER(M163), $B172 * N163, "")</f>
        <v>1255.2301255230125</v>
      </c>
      <c r="Q163" s="176"/>
      <c r="R163" s="177"/>
      <c r="S163" s="178"/>
    </row>
    <row r="164" spans="1:19" ht="17.25" thickBot="1">
      <c r="A164" s="109" t="s">
        <v>85</v>
      </c>
      <c r="B164" s="110">
        <v>213</v>
      </c>
      <c r="C164" s="70">
        <v>-2.73972603E-2</v>
      </c>
      <c r="D164" s="15">
        <v>213</v>
      </c>
      <c r="E164" s="32">
        <f t="shared" si="86"/>
        <v>0</v>
      </c>
      <c r="F164" s="18">
        <f>IF(ISNUMBER(D164), $B172 * E164, "")</f>
        <v>0</v>
      </c>
      <c r="G164" s="31">
        <v>222</v>
      </c>
      <c r="H164" s="32">
        <f t="shared" si="87"/>
        <v>4.2253521126760563E-2</v>
      </c>
      <c r="I164" s="91">
        <f>IF(ISNUMBER(G164), $B172 * H164, "")</f>
        <v>6338.0281690140846</v>
      </c>
      <c r="J164" s="15">
        <v>220</v>
      </c>
      <c r="K164" s="32">
        <f t="shared" si="88"/>
        <v>3.2863849765258218E-2</v>
      </c>
      <c r="L164" s="18">
        <f>IF(ISNUMBER(J164), $B172 * K164, "")</f>
        <v>4929.5774647887329</v>
      </c>
      <c r="M164" s="31">
        <v>228</v>
      </c>
      <c r="N164" s="32">
        <f t="shared" si="89"/>
        <v>7.0422535211267609E-2</v>
      </c>
      <c r="O164" s="18">
        <f>IF(ISNUMBER(M164), $B172 * N164, "")</f>
        <v>10563.380281690141</v>
      </c>
      <c r="Q164" s="161"/>
      <c r="R164" s="161"/>
      <c r="S164" s="161"/>
    </row>
    <row r="165" spans="1:19" ht="17.25" thickBot="1">
      <c r="A165" s="109" t="s">
        <v>349</v>
      </c>
      <c r="B165" s="110">
        <v>777</v>
      </c>
      <c r="C165" s="70">
        <v>-2.8750000000000001E-2</v>
      </c>
      <c r="D165" s="15">
        <v>773</v>
      </c>
      <c r="E165" s="32">
        <f t="shared" si="86"/>
        <v>-5.1480051480051478E-3</v>
      </c>
      <c r="F165" s="18">
        <f>IF(ISNUMBER(D165), $B172 * E165, "")</f>
        <v>-772.20077220077212</v>
      </c>
      <c r="G165" s="31">
        <v>766</v>
      </c>
      <c r="H165" s="32">
        <f t="shared" si="87"/>
        <v>-1.4157014157014158E-2</v>
      </c>
      <c r="I165" s="91">
        <f>IF(ISNUMBER(G165), $B172 * H165, "")</f>
        <v>-2123.5521235521237</v>
      </c>
      <c r="J165" s="15">
        <v>775</v>
      </c>
      <c r="K165" s="32">
        <f t="shared" si="88"/>
        <v>-2.5740025740025739E-3</v>
      </c>
      <c r="L165" s="18">
        <f>IF(ISNUMBER(J165), $B172 * K165, "")</f>
        <v>-386.10038610038606</v>
      </c>
      <c r="M165" s="31">
        <v>781</v>
      </c>
      <c r="N165" s="32">
        <f t="shared" si="89"/>
        <v>5.1480051480051478E-3</v>
      </c>
      <c r="O165" s="18">
        <f>IF(ISNUMBER(M165), $B172 * N165, "")</f>
        <v>772.20077220077212</v>
      </c>
      <c r="Q165" s="156"/>
      <c r="R165" s="156"/>
      <c r="S165" s="156"/>
    </row>
    <row r="166" spans="1:19" ht="17.25" thickBot="1">
      <c r="A166" s="111" t="s">
        <v>68</v>
      </c>
      <c r="B166" s="112">
        <v>363</v>
      </c>
      <c r="C166" s="71">
        <v>-3.2000000000000001E-2</v>
      </c>
      <c r="D166" s="20">
        <v>360</v>
      </c>
      <c r="E166" s="21">
        <f t="shared" si="86"/>
        <v>-8.2644628099173556E-3</v>
      </c>
      <c r="F166" s="22">
        <f>IF(ISNUMBER(D166), $B172 * E166, "")</f>
        <v>-1239.6694214876034</v>
      </c>
      <c r="G166" s="30">
        <v>362</v>
      </c>
      <c r="H166" s="21">
        <f t="shared" si="87"/>
        <v>-2.7548209366391185E-3</v>
      </c>
      <c r="I166" s="95">
        <f>IF(ISNUMBER(G166), $B172 * H166, "")</f>
        <v>-413.22314049586777</v>
      </c>
      <c r="J166" s="20">
        <v>364</v>
      </c>
      <c r="K166" s="21">
        <f t="shared" si="88"/>
        <v>2.7548209366391185E-3</v>
      </c>
      <c r="L166" s="22">
        <f>IF(ISNUMBER(J166), $B172 * K166, "")</f>
        <v>413.22314049586777</v>
      </c>
      <c r="M166" s="30">
        <v>365</v>
      </c>
      <c r="N166" s="21">
        <f t="shared" si="89"/>
        <v>5.5096418732782371E-3</v>
      </c>
      <c r="O166" s="22">
        <f>IF(ISNUMBER(M166), $B172 * N166, "")</f>
        <v>826.44628099173553</v>
      </c>
      <c r="Q166" s="156"/>
      <c r="R166" s="156"/>
      <c r="S166" s="156"/>
    </row>
    <row r="167" spans="1:19" ht="17.25" thickBot="1">
      <c r="A167" s="109" t="s">
        <v>103</v>
      </c>
      <c r="B167" s="113">
        <v>253</v>
      </c>
      <c r="C167" s="73">
        <v>-3.4351145E-2</v>
      </c>
      <c r="D167" s="96">
        <v>252</v>
      </c>
      <c r="E167" s="97">
        <f>IF(ISNUMBER(D167), (D167 - $B167) / $B167, "")</f>
        <v>-3.952569169960474E-3</v>
      </c>
      <c r="F167" s="98">
        <f>IF(ISNUMBER(D167), $B172 * E167, "")</f>
        <v>-592.88537549407113</v>
      </c>
      <c r="G167" s="99">
        <v>254</v>
      </c>
      <c r="H167" s="97">
        <f>IF(ISNUMBER(G167), (G167 - $B167) / $B167, "")</f>
        <v>3.952569169960474E-3</v>
      </c>
      <c r="I167" s="100">
        <f>IF(ISNUMBER(G167), $B172 * H167, "")</f>
        <v>592.88537549407113</v>
      </c>
      <c r="J167" s="96">
        <v>255</v>
      </c>
      <c r="K167" s="97">
        <f>IF(ISNUMBER(J167), (J167 - $B167) / $B167, "")</f>
        <v>7.9051383399209481E-3</v>
      </c>
      <c r="L167" s="98">
        <f>IF(ISNUMBER(J167), $B172 * K167, "")</f>
        <v>1185.7707509881423</v>
      </c>
      <c r="M167" s="99">
        <v>255</v>
      </c>
      <c r="N167" s="97">
        <f>IF(ISNUMBER(M167), (M167 - $B167) / $B167, "")</f>
        <v>7.9051383399209481E-3</v>
      </c>
      <c r="O167" s="98">
        <f>IF(ISNUMBER(M167), $B172 * N167, "")</f>
        <v>1185.7707509881423</v>
      </c>
      <c r="Q167" s="161"/>
      <c r="R167" s="161"/>
      <c r="S167" s="161"/>
    </row>
    <row r="168" spans="1:19" ht="17.25" thickBot="1">
      <c r="A168" s="109" t="s">
        <v>234</v>
      </c>
      <c r="B168" s="110">
        <v>377</v>
      </c>
      <c r="C168" s="70">
        <v>-3.5805626600000001E-2</v>
      </c>
      <c r="D168" s="15">
        <v>373</v>
      </c>
      <c r="E168" s="32">
        <f t="shared" ref="E168:E171" si="90">IF(ISNUMBER(D168), (D168 - $B168) / $B168, "")</f>
        <v>-1.0610079575596816E-2</v>
      </c>
      <c r="F168" s="18">
        <f>IF(ISNUMBER(D168), $B172 * E168, "")</f>
        <v>-1591.5119363395224</v>
      </c>
      <c r="G168" s="31">
        <v>375</v>
      </c>
      <c r="H168" s="32">
        <f t="shared" ref="H168:H171" si="91">IF(ISNUMBER(G168), (G168 - $B168) / $B168, "")</f>
        <v>-5.3050397877984082E-3</v>
      </c>
      <c r="I168" s="91">
        <f>IF(ISNUMBER(G168), $B172 * H168, "")</f>
        <v>-795.75596816976122</v>
      </c>
      <c r="J168" s="15">
        <v>377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379</v>
      </c>
      <c r="N168" s="32">
        <f t="shared" ref="N168:N171" si="93">IF(ISNUMBER(M168), (M168 - $B168) / $B168, "")</f>
        <v>5.3050397877984082E-3</v>
      </c>
      <c r="O168" s="18">
        <f>IF(ISNUMBER(M168), $B172 * N168, "")</f>
        <v>795.75596816976122</v>
      </c>
      <c r="Q168" s="161"/>
      <c r="R168" s="161"/>
      <c r="S168" s="161"/>
    </row>
    <row r="169" spans="1:19" ht="17.25" thickBot="1">
      <c r="A169" s="109" t="s">
        <v>256</v>
      </c>
      <c r="B169" s="110">
        <v>134</v>
      </c>
      <c r="C169" s="70">
        <v>-3.5971222999999997E-2</v>
      </c>
      <c r="D169" s="15">
        <v>134</v>
      </c>
      <c r="E169" s="32">
        <f t="shared" si="90"/>
        <v>0</v>
      </c>
      <c r="F169" s="18">
        <f>IF(ISNUMBER(D169), $B172 * E169, "")</f>
        <v>0</v>
      </c>
      <c r="G169" s="31">
        <v>132</v>
      </c>
      <c r="H169" s="32">
        <f t="shared" si="91"/>
        <v>-1.4925373134328358E-2</v>
      </c>
      <c r="I169" s="91">
        <f>IF(ISNUMBER(G169), $B172 * H169, "")</f>
        <v>-2238.8059701492539</v>
      </c>
      <c r="J169" s="15">
        <v>134</v>
      </c>
      <c r="K169" s="32">
        <f t="shared" si="92"/>
        <v>0</v>
      </c>
      <c r="L169" s="18">
        <f>IF(ISNUMBER(J169), $B172 * K169, "")</f>
        <v>0</v>
      </c>
      <c r="M169" s="31">
        <v>133</v>
      </c>
      <c r="N169" s="32">
        <f t="shared" si="93"/>
        <v>-7.462686567164179E-3</v>
      </c>
      <c r="O169" s="18">
        <f>IF(ISNUMBER(M169), $B172 * N169, "")</f>
        <v>-1119.4029850746269</v>
      </c>
      <c r="Q169" s="161"/>
      <c r="R169" s="161"/>
      <c r="S169" s="161"/>
    </row>
    <row r="170" spans="1:19">
      <c r="A170" s="109" t="s">
        <v>216</v>
      </c>
      <c r="B170" s="110">
        <v>527</v>
      </c>
      <c r="C170" s="70">
        <v>-3.65630713E-2</v>
      </c>
      <c r="D170" s="15">
        <v>521</v>
      </c>
      <c r="E170" s="32">
        <f t="shared" si="90"/>
        <v>-1.1385199240986717E-2</v>
      </c>
      <c r="F170" s="18">
        <f>IF(ISNUMBER(D170), $B172 * E170, "")</f>
        <v>-1707.7798861480076</v>
      </c>
      <c r="G170" s="31">
        <v>522</v>
      </c>
      <c r="H170" s="32">
        <f t="shared" si="91"/>
        <v>-9.4876660341555973E-3</v>
      </c>
      <c r="I170" s="91">
        <f>IF(ISNUMBER(G170), $B172 * H170, "")</f>
        <v>-1423.1499051233395</v>
      </c>
      <c r="J170" s="15">
        <v>528</v>
      </c>
      <c r="K170" s="32">
        <f t="shared" si="92"/>
        <v>1.8975332068311196E-3</v>
      </c>
      <c r="L170" s="18">
        <f>IF(ISNUMBER(J170), $B172 * K170, "")</f>
        <v>284.62998102466793</v>
      </c>
      <c r="M170" s="31">
        <v>527</v>
      </c>
      <c r="N170" s="32">
        <f t="shared" si="93"/>
        <v>0</v>
      </c>
      <c r="O170" s="18">
        <f>IF(ISNUMBER(M170), $B172 * N170, "")</f>
        <v>0</v>
      </c>
      <c r="Q170" s="183"/>
      <c r="R170" s="184"/>
      <c r="S170" s="185"/>
    </row>
    <row r="171" spans="1:19" ht="17.25" thickBot="1">
      <c r="A171" s="114" t="s">
        <v>105</v>
      </c>
      <c r="B171" s="115">
        <v>251</v>
      </c>
      <c r="C171" s="72">
        <v>-3.8314176200000001E-2</v>
      </c>
      <c r="D171" s="24">
        <v>249</v>
      </c>
      <c r="E171" s="25">
        <f t="shared" si="90"/>
        <v>-7.9681274900398405E-3</v>
      </c>
      <c r="F171" s="94">
        <f>IF(ISNUMBER(D171), $B172 * E171, "")</f>
        <v>-1195.2191235059761</v>
      </c>
      <c r="G171" s="92">
        <v>248</v>
      </c>
      <c r="H171" s="25">
        <f t="shared" si="91"/>
        <v>-1.1952191235059761E-2</v>
      </c>
      <c r="I171" s="93">
        <f>IF(ISNUMBER(G171), $B172 * H171, "")</f>
        <v>-1792.828685258964</v>
      </c>
      <c r="J171" s="24">
        <v>249</v>
      </c>
      <c r="K171" s="25">
        <f t="shared" si="92"/>
        <v>-7.9681274900398405E-3</v>
      </c>
      <c r="L171" s="94">
        <f>IF(ISNUMBER(J171), $B172 * K171, "")</f>
        <v>-1195.2191235059761</v>
      </c>
      <c r="M171" s="92">
        <v>248</v>
      </c>
      <c r="N171" s="25">
        <f t="shared" si="93"/>
        <v>-1.1952191235059761E-2</v>
      </c>
      <c r="O171" s="94">
        <f>IF(ISNUMBER(M171), $B172 * N171, "")</f>
        <v>-1792.828685258964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-6.4557858881098733E-3</v>
      </c>
      <c r="F172" s="28">
        <f>SUM(F152:F171)</f>
        <v>-19367.357664329618</v>
      </c>
      <c r="G172" s="26" t="s">
        <v>261</v>
      </c>
      <c r="H172" s="27">
        <f>IF(COUNT(H152:H171), SUM(H152:H171) / COUNT(H152:H171), 0)</f>
        <v>-2.4896186639797487E-3</v>
      </c>
      <c r="I172" s="28">
        <f>SUM(I152:I171)</f>
        <v>-7468.8559919392446</v>
      </c>
      <c r="J172" s="26" t="s">
        <v>261</v>
      </c>
      <c r="K172" s="27">
        <f>IF(COUNT(K152:K171), SUM(K152:K171) / COUNT(K152:K171), 0)</f>
        <v>3.560111531051438E-3</v>
      </c>
      <c r="L172" s="28">
        <f>SUM(L152:L171)</f>
        <v>10680.33459315431</v>
      </c>
      <c r="M172" s="26" t="s">
        <v>261</v>
      </c>
      <c r="N172" s="27">
        <f>IF(COUNT(N152:N171), SUM(N152:N171) / COUNT(N152:N171), 0)</f>
        <v>5.0295672313975005E-3</v>
      </c>
      <c r="O172" s="28">
        <f>SUM(O152:O171)</f>
        <v>15088.701694192501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2022-12-02(금) 오전 00:00</v>
      </c>
      <c r="C177" s="199"/>
      <c r="D177" s="158" t="str">
        <f>TEXT($G$1, "[$-ko-KR]yyyy-mm-dd(ddd) ") &amp; "오후 14:00"</f>
        <v>2022-12-02(금) 오후 14:00</v>
      </c>
      <c r="E177" s="159"/>
      <c r="F177" s="160"/>
      <c r="G177" s="158" t="str">
        <f>TEXT($G$1, "[$-ko-KR]yyyy-mm-dd(ddd) ") &amp; "오후 19:00"</f>
        <v>2022-12-02(금) 오후 19:00</v>
      </c>
      <c r="H177" s="159"/>
      <c r="I177" s="160"/>
      <c r="J177" s="158" t="str">
        <f>TEXT($G$1, "[$-ko-KR]yyyy-mm-dd(ddd) ") &amp; "오후 21:00"</f>
        <v>2022-12-02(금) 오후 21:00</v>
      </c>
      <c r="K177" s="159"/>
      <c r="L177" s="160"/>
      <c r="M177" s="158" t="str">
        <f>TEXT($G$1+1, "[$-ko-KR]yyyy-mm-dd(ddd) ") &amp; "오전 00:00"</f>
        <v>2022-12-03(토)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181</v>
      </c>
      <c r="B179" s="108">
        <v>4.4800000000000004</v>
      </c>
      <c r="C179" s="69">
        <v>-2.39651416E-2</v>
      </c>
      <c r="D179" s="13">
        <v>4.5</v>
      </c>
      <c r="E179" s="14">
        <f>IF(ISNUMBER(D179), (D179 - $B179) / $B179, "")</f>
        <v>4.4642857142856186E-3</v>
      </c>
      <c r="F179" s="16">
        <f>IF(ISNUMBER(D179), $B199 * E179, "")</f>
        <v>669.64285714284279</v>
      </c>
      <c r="G179" s="29">
        <v>4.5599999999999996</v>
      </c>
      <c r="H179" s="14">
        <f>IF(ISNUMBER(G179), (G179 - $B179) / $B179, "")</f>
        <v>1.7857142857142672E-2</v>
      </c>
      <c r="I179" s="90">
        <f>IF(ISNUMBER(G179), $B199 * H179, "")</f>
        <v>2678.5714285714007</v>
      </c>
      <c r="J179" s="13">
        <v>4.5999999999999996</v>
      </c>
      <c r="K179" s="14">
        <f>IF(ISNUMBER(J179), (J179 - $B179) / $B179, "")</f>
        <v>2.6785714285714107E-2</v>
      </c>
      <c r="L179" s="16">
        <f>IF(ISNUMBER(J179), $B199 * K179, "")</f>
        <v>4017.8571428571163</v>
      </c>
      <c r="M179" s="29">
        <v>4.55</v>
      </c>
      <c r="N179" s="14">
        <f>IF(ISNUMBER(M179), (M179 - $B179) / $B179, "")</f>
        <v>1.5624999999999863E-2</v>
      </c>
      <c r="O179" s="16">
        <f>IF(ISNUMBER(M179), $B199 * N179, "")</f>
        <v>2343.7499999999795</v>
      </c>
      <c r="Q179" s="156"/>
      <c r="R179" s="156"/>
      <c r="S179" s="156"/>
    </row>
    <row r="180" spans="1:19" ht="17.25" thickBot="1">
      <c r="A180" s="109" t="s">
        <v>191</v>
      </c>
      <c r="B180" s="110">
        <v>52.8</v>
      </c>
      <c r="C180" s="70">
        <v>-2.40295749E-2</v>
      </c>
      <c r="D180" s="15">
        <v>52.7</v>
      </c>
      <c r="E180" s="32">
        <f t="shared" ref="E180:E183" si="94">IF(ISNUMBER(D180), (D180 - $B180) / $B180, "")</f>
        <v>-1.8939393939392864E-3</v>
      </c>
      <c r="F180" s="18">
        <f>IF(ISNUMBER(D180), $B199 * E180, "")</f>
        <v>-284.09090909089298</v>
      </c>
      <c r="G180" s="31">
        <v>53</v>
      </c>
      <c r="H180" s="32">
        <f t="shared" ref="H180:H183" si="95">IF(ISNUMBER(G180), (G180 - $B180) / $B180, "")</f>
        <v>3.7878787878788418E-3</v>
      </c>
      <c r="I180" s="91">
        <f>IF(ISNUMBER(G180), $B199 * H180, "")</f>
        <v>568.18181818182632</v>
      </c>
      <c r="J180" s="15">
        <v>53</v>
      </c>
      <c r="K180" s="32">
        <f t="shared" ref="K180:K183" si="96">IF(ISNUMBER(J180), (J180 - $B180) / $B180, "")</f>
        <v>3.7878787878788418E-3</v>
      </c>
      <c r="L180" s="18">
        <f>IF(ISNUMBER(J180), $B199 * K180, "")</f>
        <v>568.18181818182632</v>
      </c>
      <c r="M180" s="31">
        <v>53</v>
      </c>
      <c r="N180" s="32">
        <f t="shared" ref="N180:N183" si="97">IF(ISNUMBER(M180), (M180 - $B180) / $B180, "")</f>
        <v>3.7878787878788418E-3</v>
      </c>
      <c r="O180" s="18">
        <f>IF(ISNUMBER(M180), $B199 * N180, "")</f>
        <v>568.18181818182632</v>
      </c>
      <c r="Q180" s="156"/>
      <c r="R180" s="156"/>
      <c r="S180" s="156"/>
    </row>
    <row r="181" spans="1:19" ht="17.25" thickBot="1">
      <c r="A181" s="109" t="s">
        <v>176</v>
      </c>
      <c r="B181" s="110">
        <v>344</v>
      </c>
      <c r="C181" s="70">
        <v>-2.54957507E-2</v>
      </c>
      <c r="D181" s="15">
        <v>344</v>
      </c>
      <c r="E181" s="32">
        <f t="shared" si="94"/>
        <v>0</v>
      </c>
      <c r="F181" s="18">
        <f>IF(ISNUMBER(D181), $B199 * E181, "")</f>
        <v>0</v>
      </c>
      <c r="G181" s="31">
        <v>346</v>
      </c>
      <c r="H181" s="32">
        <f t="shared" si="95"/>
        <v>5.8139534883720929E-3</v>
      </c>
      <c r="I181" s="91">
        <f>IF(ISNUMBER(G181), $B199 * H181, "")</f>
        <v>872.09302325581393</v>
      </c>
      <c r="J181" s="15">
        <v>346</v>
      </c>
      <c r="K181" s="32">
        <f t="shared" si="96"/>
        <v>5.8139534883720929E-3</v>
      </c>
      <c r="L181" s="18">
        <f>IF(ISNUMBER(J181), $B199 * K181, "")</f>
        <v>872.09302325581393</v>
      </c>
      <c r="M181" s="31">
        <v>349</v>
      </c>
      <c r="N181" s="32">
        <f t="shared" si="97"/>
        <v>1.4534883720930232E-2</v>
      </c>
      <c r="O181" s="18">
        <f>IF(ISNUMBER(M181), $B199 * N181, "")</f>
        <v>2180.2325581395348</v>
      </c>
      <c r="Q181" s="161"/>
      <c r="R181" s="161"/>
      <c r="S181" s="161"/>
    </row>
    <row r="182" spans="1:19" ht="17.25" thickBot="1">
      <c r="A182" s="109" t="s">
        <v>208</v>
      </c>
      <c r="B182" s="110">
        <v>113</v>
      </c>
      <c r="C182" s="70">
        <v>-2.5862069000000001E-2</v>
      </c>
      <c r="D182" s="15">
        <v>113</v>
      </c>
      <c r="E182" s="32">
        <f t="shared" si="94"/>
        <v>0</v>
      </c>
      <c r="F182" s="18">
        <f>IF(ISNUMBER(D182), $B199 * E182, "")</f>
        <v>0</v>
      </c>
      <c r="G182" s="31">
        <v>113</v>
      </c>
      <c r="H182" s="32">
        <f t="shared" si="95"/>
        <v>0</v>
      </c>
      <c r="I182" s="91">
        <f>IF(ISNUMBER(G182), $B199 * H182, "")</f>
        <v>0</v>
      </c>
      <c r="J182" s="15">
        <v>114</v>
      </c>
      <c r="K182" s="32">
        <f t="shared" si="96"/>
        <v>8.8495575221238937E-3</v>
      </c>
      <c r="L182" s="18">
        <f>IF(ISNUMBER(J182), $B199 * K182, "")</f>
        <v>1327.4336283185839</v>
      </c>
      <c r="M182" s="31">
        <v>113</v>
      </c>
      <c r="N182" s="32">
        <f t="shared" si="97"/>
        <v>0</v>
      </c>
      <c r="O182" s="18">
        <f>IF(ISNUMBER(M182), $B199 * N182, "")</f>
        <v>0</v>
      </c>
      <c r="Q182" s="161"/>
      <c r="R182" s="161"/>
      <c r="S182" s="161"/>
    </row>
    <row r="183" spans="1:19" ht="17.25" thickBot="1">
      <c r="A183" s="111" t="s">
        <v>222</v>
      </c>
      <c r="B183" s="112">
        <v>478</v>
      </c>
      <c r="C183" s="71">
        <v>-2.6476578399999999E-2</v>
      </c>
      <c r="D183" s="20">
        <v>477</v>
      </c>
      <c r="E183" s="21">
        <f t="shared" si="94"/>
        <v>-2.0920502092050207E-3</v>
      </c>
      <c r="F183" s="22">
        <f>IF(ISNUMBER(D183), $B199 * E183, "")</f>
        <v>-313.80753138075312</v>
      </c>
      <c r="G183" s="30">
        <v>478</v>
      </c>
      <c r="H183" s="21">
        <f t="shared" si="95"/>
        <v>0</v>
      </c>
      <c r="I183" s="95">
        <f>IF(ISNUMBER(G183), $B199 * H183, "")</f>
        <v>0</v>
      </c>
      <c r="J183" s="20">
        <v>481</v>
      </c>
      <c r="K183" s="21">
        <f t="shared" si="96"/>
        <v>6.2761506276150627E-3</v>
      </c>
      <c r="L183" s="22">
        <f>IF(ISNUMBER(J183), $B199 * K183, "")</f>
        <v>941.42259414225941</v>
      </c>
      <c r="M183" s="30">
        <v>482</v>
      </c>
      <c r="N183" s="21">
        <f t="shared" si="97"/>
        <v>8.368200836820083E-3</v>
      </c>
      <c r="O183" s="22">
        <f>IF(ISNUMBER(M183), $B199 * N183, "")</f>
        <v>1255.2301255230125</v>
      </c>
      <c r="Q183" s="161"/>
      <c r="R183" s="161"/>
      <c r="S183" s="161"/>
    </row>
    <row r="184" spans="1:19" ht="17.25" thickBot="1">
      <c r="A184" s="109" t="s">
        <v>85</v>
      </c>
      <c r="B184" s="113">
        <v>213</v>
      </c>
      <c r="C184" s="73">
        <v>-2.73972603E-2</v>
      </c>
      <c r="D184" s="96">
        <v>213</v>
      </c>
      <c r="E184" s="97">
        <f>IF(ISNUMBER(D184), (D184 - $B184) / $B184, "")</f>
        <v>0</v>
      </c>
      <c r="F184" s="98">
        <f>IF(ISNUMBER(D184), $B199 * E184, "")</f>
        <v>0</v>
      </c>
      <c r="G184" s="99">
        <v>222</v>
      </c>
      <c r="H184" s="97">
        <f>IF(ISNUMBER(G184), (G184 - $B184) / $B184, "")</f>
        <v>4.2253521126760563E-2</v>
      </c>
      <c r="I184" s="100">
        <f>IF(ISNUMBER(G184), $B199 * H184, "")</f>
        <v>6338.0281690140846</v>
      </c>
      <c r="J184" s="96">
        <v>220</v>
      </c>
      <c r="K184" s="97">
        <f>IF(ISNUMBER(J184), (J184 - $B184) / $B184, "")</f>
        <v>3.2863849765258218E-2</v>
      </c>
      <c r="L184" s="98">
        <f>IF(ISNUMBER(J184), $B199 * K184, "")</f>
        <v>4929.5774647887329</v>
      </c>
      <c r="M184" s="99">
        <v>228</v>
      </c>
      <c r="N184" s="97">
        <f>IF(ISNUMBER(M184), (M184 - $B184) / $B184, "")</f>
        <v>7.0422535211267609E-2</v>
      </c>
      <c r="O184" s="98">
        <f>IF(ISNUMBER(M184), $B199 * N184, "")</f>
        <v>10563.380281690141</v>
      </c>
      <c r="Q184" s="161"/>
      <c r="R184" s="161"/>
      <c r="S184" s="161"/>
    </row>
    <row r="185" spans="1:19" ht="17.25" thickBot="1">
      <c r="A185" s="109" t="s">
        <v>349</v>
      </c>
      <c r="B185" s="110">
        <v>777</v>
      </c>
      <c r="C185" s="70">
        <v>-2.8750000000000001E-2</v>
      </c>
      <c r="D185" s="15">
        <v>773</v>
      </c>
      <c r="E185" s="32">
        <f t="shared" ref="E185:E188" si="98">IF(ISNUMBER(D185), (D185 - $B185) / $B185, "")</f>
        <v>-5.1480051480051478E-3</v>
      </c>
      <c r="F185" s="18">
        <f>IF(ISNUMBER(D185), $B199 * E185, "")</f>
        <v>-772.20077220077212</v>
      </c>
      <c r="G185" s="31">
        <v>766</v>
      </c>
      <c r="H185" s="32">
        <f t="shared" ref="H185:H188" si="99">IF(ISNUMBER(G185), (G185 - $B185) / $B185, "")</f>
        <v>-1.4157014157014158E-2</v>
      </c>
      <c r="I185" s="91">
        <f>IF(ISNUMBER(G185), $B199 * H185, "")</f>
        <v>-2123.5521235521237</v>
      </c>
      <c r="J185" s="15">
        <v>775</v>
      </c>
      <c r="K185" s="32">
        <f t="shared" ref="K185:K188" si="100">IF(ISNUMBER(J185), (J185 - $B185) / $B185, "")</f>
        <v>-2.5740025740025739E-3</v>
      </c>
      <c r="L185" s="18">
        <f>IF(ISNUMBER(J185), $B199 * K185, "")</f>
        <v>-386.10038610038606</v>
      </c>
      <c r="M185" s="31">
        <v>781</v>
      </c>
      <c r="N185" s="32">
        <f t="shared" ref="N185:N188" si="101">IF(ISNUMBER(M185), (M185 - $B185) / $B185, "")</f>
        <v>5.1480051480051478E-3</v>
      </c>
      <c r="O185" s="18">
        <f>IF(ISNUMBER(M185), $B199 * N185, "")</f>
        <v>772.20077220077212</v>
      </c>
      <c r="Q185" s="161"/>
      <c r="R185" s="161"/>
      <c r="S185" s="161"/>
    </row>
    <row r="186" spans="1:19" ht="17.25" thickBot="1">
      <c r="A186" s="109" t="s">
        <v>212</v>
      </c>
      <c r="B186" s="110">
        <v>88.6</v>
      </c>
      <c r="C186" s="70">
        <v>-3.0634573299999999E-2</v>
      </c>
      <c r="D186" s="15">
        <v>88.1</v>
      </c>
      <c r="E186" s="32">
        <f t="shared" si="98"/>
        <v>-5.6433408577878106E-3</v>
      </c>
      <c r="F186" s="18">
        <f>IF(ISNUMBER(D186), $B199 * E186, "")</f>
        <v>-846.50112866817153</v>
      </c>
      <c r="G186" s="31">
        <v>88.6</v>
      </c>
      <c r="H186" s="32">
        <f t="shared" si="99"/>
        <v>0</v>
      </c>
      <c r="I186" s="91">
        <f>IF(ISNUMBER(G186), $B199 * H186, "")</f>
        <v>0</v>
      </c>
      <c r="J186" s="15">
        <v>89</v>
      </c>
      <c r="K186" s="32">
        <f t="shared" si="100"/>
        <v>4.514672686230313E-3</v>
      </c>
      <c r="L186" s="18">
        <f>IF(ISNUMBER(J186), $B199 * K186, "")</f>
        <v>677.200902934547</v>
      </c>
      <c r="M186" s="31">
        <v>88.7</v>
      </c>
      <c r="N186" s="32">
        <f t="shared" si="101"/>
        <v>1.1286681715576585E-3</v>
      </c>
      <c r="O186" s="18">
        <f>IF(ISNUMBER(M186), $B199 * N186, "")</f>
        <v>169.30022573364877</v>
      </c>
      <c r="Q186" s="161"/>
      <c r="R186" s="161"/>
      <c r="S186" s="161"/>
    </row>
    <row r="187" spans="1:19" ht="17.25" thickBot="1">
      <c r="A187" s="109" t="s">
        <v>210</v>
      </c>
      <c r="B187" s="110">
        <v>66.099999999999994</v>
      </c>
      <c r="C187" s="70">
        <v>-3.0791788899999999E-2</v>
      </c>
      <c r="D187" s="15">
        <v>66.099999999999994</v>
      </c>
      <c r="E187" s="32">
        <f t="shared" si="98"/>
        <v>0</v>
      </c>
      <c r="F187" s="18">
        <f>IF(ISNUMBER(D187), $B199 * E187, "")</f>
        <v>0</v>
      </c>
      <c r="G187" s="31">
        <v>66.3</v>
      </c>
      <c r="H187" s="32">
        <f t="shared" si="99"/>
        <v>3.0257186081694837E-3</v>
      </c>
      <c r="I187" s="91">
        <f>IF(ISNUMBER(G187), $B199 * H187, "")</f>
        <v>453.85779122542255</v>
      </c>
      <c r="J187" s="15">
        <v>67</v>
      </c>
      <c r="K187" s="32">
        <f t="shared" si="100"/>
        <v>1.3615733736762569E-2</v>
      </c>
      <c r="L187" s="18">
        <f>IF(ISNUMBER(J187), $B199 * K187, "")</f>
        <v>2042.3600605143854</v>
      </c>
      <c r="M187" s="31">
        <v>66.8</v>
      </c>
      <c r="N187" s="32">
        <f t="shared" si="101"/>
        <v>1.0590015128593085E-2</v>
      </c>
      <c r="O187" s="18">
        <f>IF(ISNUMBER(M187), $B199 * N187, "")</f>
        <v>1588.5022692889629</v>
      </c>
      <c r="Q187" s="33"/>
      <c r="R187" s="33"/>
    </row>
    <row r="188" spans="1:19" ht="17.25" thickBot="1">
      <c r="A188" s="114" t="s">
        <v>174</v>
      </c>
      <c r="B188" s="115">
        <v>15550</v>
      </c>
      <c r="C188" s="72">
        <v>-3.17559153E-2</v>
      </c>
      <c r="D188" s="24">
        <v>15400</v>
      </c>
      <c r="E188" s="25">
        <f t="shared" si="98"/>
        <v>-9.6463022508038593E-3</v>
      </c>
      <c r="F188" s="94">
        <f>IF(ISNUMBER(D188), $B199 * E188, "")</f>
        <v>-1446.9453376205788</v>
      </c>
      <c r="G188" s="92">
        <v>15490</v>
      </c>
      <c r="H188" s="25">
        <f t="shared" si="99"/>
        <v>-3.8585209003215433E-3</v>
      </c>
      <c r="I188" s="93">
        <f>IF(ISNUMBER(G188), $B199 * H188, "")</f>
        <v>-578.77813504823155</v>
      </c>
      <c r="J188" s="24">
        <v>15610</v>
      </c>
      <c r="K188" s="25">
        <f t="shared" si="100"/>
        <v>3.8585209003215433E-3</v>
      </c>
      <c r="L188" s="94">
        <f>IF(ISNUMBER(J188), $B199 * K188, "")</f>
        <v>578.77813504823155</v>
      </c>
      <c r="M188" s="92">
        <v>15610</v>
      </c>
      <c r="N188" s="25">
        <f t="shared" si="101"/>
        <v>3.8585209003215433E-3</v>
      </c>
      <c r="O188" s="94">
        <f>IF(ISNUMBER(M188), $B199 * N188, "")</f>
        <v>578.77813504823155</v>
      </c>
      <c r="Q188" s="170"/>
      <c r="R188" s="171"/>
      <c r="S188" s="172"/>
    </row>
    <row r="189" spans="1:19">
      <c r="A189" s="107" t="s">
        <v>68</v>
      </c>
      <c r="B189" s="108">
        <v>363</v>
      </c>
      <c r="C189" s="69">
        <v>-3.2000000000000001E-2</v>
      </c>
      <c r="D189" s="13">
        <v>360</v>
      </c>
      <c r="E189" s="14">
        <f>IF(ISNUMBER(D189), (D189 - $B189) / $B189, "")</f>
        <v>-8.2644628099173556E-3</v>
      </c>
      <c r="F189" s="16">
        <f>IF(ISNUMBER(D189), $B199 * E189, "")</f>
        <v>-1239.6694214876034</v>
      </c>
      <c r="G189" s="29">
        <v>362</v>
      </c>
      <c r="H189" s="14">
        <f>IF(ISNUMBER(G189), (G189 - $B189) / $B189, "")</f>
        <v>-2.7548209366391185E-3</v>
      </c>
      <c r="I189" s="90">
        <f>IF(ISNUMBER(G189), $B199 * H189, "")</f>
        <v>-413.22314049586777</v>
      </c>
      <c r="J189" s="13">
        <v>364</v>
      </c>
      <c r="K189" s="14">
        <f>IF(ISNUMBER(J189), (J189 - $B189) / $B189, "")</f>
        <v>2.7548209366391185E-3</v>
      </c>
      <c r="L189" s="16">
        <f>IF(ISNUMBER(J189), $B199 * K189, "")</f>
        <v>413.22314049586777</v>
      </c>
      <c r="M189" s="29">
        <v>365</v>
      </c>
      <c r="N189" s="14">
        <f>IF(ISNUMBER(M189), (M189 - $B189) / $B189, "")</f>
        <v>5.5096418732782371E-3</v>
      </c>
      <c r="O189" s="16">
        <f>IF(ISNUMBER(M189), $B199 * N189, "")</f>
        <v>826.44628099173553</v>
      </c>
      <c r="Q189" s="173"/>
      <c r="R189" s="174"/>
      <c r="S189" s="175"/>
    </row>
    <row r="190" spans="1:19" ht="17.25" thickBot="1">
      <c r="A190" s="109" t="s">
        <v>103</v>
      </c>
      <c r="B190" s="110">
        <v>253</v>
      </c>
      <c r="C190" s="70">
        <v>-3.4351145E-2</v>
      </c>
      <c r="D190" s="15">
        <v>252</v>
      </c>
      <c r="E190" s="32">
        <f t="shared" ref="E190:E193" si="102">IF(ISNUMBER(D190), (D190 - $B190) / $B190, "")</f>
        <v>-3.952569169960474E-3</v>
      </c>
      <c r="F190" s="18">
        <f>IF(ISNUMBER(D190), $B199 * E190, "")</f>
        <v>-592.88537549407113</v>
      </c>
      <c r="G190" s="31">
        <v>254</v>
      </c>
      <c r="H190" s="32">
        <f t="shared" ref="H190:H193" si="103">IF(ISNUMBER(G190), (G190 - $B190) / $B190, "")</f>
        <v>3.952569169960474E-3</v>
      </c>
      <c r="I190" s="91">
        <f>IF(ISNUMBER(G190), $B199 * H190, "")</f>
        <v>592.88537549407113</v>
      </c>
      <c r="J190" s="15">
        <v>255</v>
      </c>
      <c r="K190" s="32">
        <f t="shared" ref="K190:K193" si="104">IF(ISNUMBER(J190), (J190 - $B190) / $B190, "")</f>
        <v>7.9051383399209481E-3</v>
      </c>
      <c r="L190" s="18">
        <f>IF(ISNUMBER(J190), $B199 * K190, "")</f>
        <v>1185.7707509881423</v>
      </c>
      <c r="M190" s="31">
        <v>255</v>
      </c>
      <c r="N190" s="32">
        <f t="shared" ref="N190:N193" si="105">IF(ISNUMBER(M190), (M190 - $B190) / $B190, "")</f>
        <v>7.9051383399209481E-3</v>
      </c>
      <c r="O190" s="18">
        <f>IF(ISNUMBER(M190), $B199 * N190, "")</f>
        <v>1185.7707509881423</v>
      </c>
      <c r="Q190" s="176"/>
      <c r="R190" s="177"/>
      <c r="S190" s="178"/>
    </row>
    <row r="191" spans="1:19" ht="17.25" thickBot="1">
      <c r="A191" s="109" t="s">
        <v>163</v>
      </c>
      <c r="B191" s="110">
        <v>7545</v>
      </c>
      <c r="C191" s="70">
        <v>-3.5782747599999998E-2</v>
      </c>
      <c r="D191" s="15">
        <v>7545</v>
      </c>
      <c r="E191" s="32">
        <f t="shared" si="102"/>
        <v>0</v>
      </c>
      <c r="F191" s="18">
        <f>IF(ISNUMBER(D191), $B199 * E191, "")</f>
        <v>0</v>
      </c>
      <c r="G191" s="31">
        <v>7530</v>
      </c>
      <c r="H191" s="32">
        <f t="shared" si="103"/>
        <v>-1.9880715705765406E-3</v>
      </c>
      <c r="I191" s="91">
        <f>IF(ISNUMBER(G191), $B199 * H191, "")</f>
        <v>-298.21073558648106</v>
      </c>
      <c r="J191" s="15">
        <v>7555</v>
      </c>
      <c r="K191" s="32">
        <f t="shared" si="104"/>
        <v>1.3253810470510272E-3</v>
      </c>
      <c r="L191" s="18">
        <f>IF(ISNUMBER(J191), $B199 * K191, "")</f>
        <v>198.80715705765408</v>
      </c>
      <c r="M191" s="31">
        <v>7600</v>
      </c>
      <c r="N191" s="32">
        <f t="shared" si="105"/>
        <v>7.2895957587806497E-3</v>
      </c>
      <c r="O191" s="18">
        <f>IF(ISNUMBER(M191), $B199 * N191, "")</f>
        <v>1093.4393638170975</v>
      </c>
      <c r="Q191" s="161"/>
      <c r="R191" s="161"/>
      <c r="S191" s="161"/>
    </row>
    <row r="192" spans="1:19" ht="17.25" thickBot="1">
      <c r="A192" s="109" t="s">
        <v>234</v>
      </c>
      <c r="B192" s="110">
        <v>377</v>
      </c>
      <c r="C192" s="70">
        <v>-3.5805626600000001E-2</v>
      </c>
      <c r="D192" s="15">
        <v>373</v>
      </c>
      <c r="E192" s="32">
        <f t="shared" si="102"/>
        <v>-1.0610079575596816E-2</v>
      </c>
      <c r="F192" s="18">
        <f>IF(ISNUMBER(D192), $B199 * E192, "")</f>
        <v>-1591.5119363395224</v>
      </c>
      <c r="G192" s="31">
        <v>375</v>
      </c>
      <c r="H192" s="32">
        <f t="shared" si="103"/>
        <v>-5.3050397877984082E-3</v>
      </c>
      <c r="I192" s="91">
        <f>IF(ISNUMBER(G192), $B199 * H192, "")</f>
        <v>-795.75596816976122</v>
      </c>
      <c r="J192" s="15">
        <v>377</v>
      </c>
      <c r="K192" s="32">
        <f t="shared" si="104"/>
        <v>0</v>
      </c>
      <c r="L192" s="18">
        <f>IF(ISNUMBER(J192), $B199 * K192, "")</f>
        <v>0</v>
      </c>
      <c r="M192" s="31">
        <v>379</v>
      </c>
      <c r="N192" s="32">
        <f t="shared" si="105"/>
        <v>5.3050397877984082E-3</v>
      </c>
      <c r="O192" s="18">
        <f>IF(ISNUMBER(M192), $B199 * N192, "")</f>
        <v>795.75596816976122</v>
      </c>
      <c r="Q192" s="156"/>
      <c r="R192" s="156"/>
      <c r="S192" s="156"/>
    </row>
    <row r="193" spans="1:19" ht="17.25" thickBot="1">
      <c r="A193" s="111" t="s">
        <v>256</v>
      </c>
      <c r="B193" s="112">
        <v>134</v>
      </c>
      <c r="C193" s="71">
        <v>-3.5971222999999997E-2</v>
      </c>
      <c r="D193" s="20">
        <v>134</v>
      </c>
      <c r="E193" s="21">
        <f t="shared" si="102"/>
        <v>0</v>
      </c>
      <c r="F193" s="22">
        <f>IF(ISNUMBER(D193), $B199 * E193, "")</f>
        <v>0</v>
      </c>
      <c r="G193" s="30">
        <v>132</v>
      </c>
      <c r="H193" s="21">
        <f t="shared" si="103"/>
        <v>-1.4925373134328358E-2</v>
      </c>
      <c r="I193" s="95">
        <f>IF(ISNUMBER(G193), $B199 * H193, "")</f>
        <v>-2238.8059701492539</v>
      </c>
      <c r="J193" s="20">
        <v>134</v>
      </c>
      <c r="K193" s="21">
        <f t="shared" si="104"/>
        <v>0</v>
      </c>
      <c r="L193" s="22">
        <f>IF(ISNUMBER(J193), $B199 * K193, "")</f>
        <v>0</v>
      </c>
      <c r="M193" s="30">
        <v>133</v>
      </c>
      <c r="N193" s="21">
        <f t="shared" si="105"/>
        <v>-7.462686567164179E-3</v>
      </c>
      <c r="O193" s="22">
        <f>IF(ISNUMBER(M193), $B199 * N193, "")</f>
        <v>-1119.4029850746269</v>
      </c>
      <c r="Q193" s="156"/>
      <c r="R193" s="156"/>
      <c r="S193" s="156"/>
    </row>
    <row r="194" spans="1:19" ht="17.25" thickBot="1">
      <c r="A194" s="109" t="s">
        <v>216</v>
      </c>
      <c r="B194" s="113">
        <v>527</v>
      </c>
      <c r="C194" s="73">
        <v>-3.65630713E-2</v>
      </c>
      <c r="D194" s="96">
        <v>521</v>
      </c>
      <c r="E194" s="97">
        <f>IF(ISNUMBER(D194), (D194 - $B194) / $B194, "")</f>
        <v>-1.1385199240986717E-2</v>
      </c>
      <c r="F194" s="98">
        <f>IF(ISNUMBER(D194), $B199 * E194, "")</f>
        <v>-1707.7798861480076</v>
      </c>
      <c r="G194" s="99">
        <v>522</v>
      </c>
      <c r="H194" s="97">
        <f>IF(ISNUMBER(G194), (G194 - $B194) / $B194, "")</f>
        <v>-9.4876660341555973E-3</v>
      </c>
      <c r="I194" s="100">
        <f>IF(ISNUMBER(G194), $B199 * H194, "")</f>
        <v>-1423.1499051233395</v>
      </c>
      <c r="J194" s="96">
        <v>528</v>
      </c>
      <c r="K194" s="97">
        <f>IF(ISNUMBER(J194), (J194 - $B194) / $B194, "")</f>
        <v>1.8975332068311196E-3</v>
      </c>
      <c r="L194" s="98">
        <f>IF(ISNUMBER(J194), $B199 * K194, "")</f>
        <v>284.62998102466793</v>
      </c>
      <c r="M194" s="99">
        <v>527</v>
      </c>
      <c r="N194" s="97">
        <f>IF(ISNUMBER(M194), (M194 - $B194) / $B194, "")</f>
        <v>0</v>
      </c>
      <c r="O194" s="98">
        <f>IF(ISNUMBER(M194), $B199 * N194, "")</f>
        <v>0</v>
      </c>
      <c r="Q194" s="161"/>
      <c r="R194" s="161"/>
      <c r="S194" s="161"/>
    </row>
    <row r="195" spans="1:19" ht="17.25" thickBot="1">
      <c r="A195" s="109" t="s">
        <v>105</v>
      </c>
      <c r="B195" s="110">
        <v>251</v>
      </c>
      <c r="C195" s="70">
        <v>-3.8314176200000001E-2</v>
      </c>
      <c r="D195" s="15">
        <v>249</v>
      </c>
      <c r="E195" s="32">
        <f t="shared" ref="E195:E198" si="106">IF(ISNUMBER(D195), (D195 - $B195) / $B195, "")</f>
        <v>-7.9681274900398405E-3</v>
      </c>
      <c r="F195" s="18">
        <f>IF(ISNUMBER(D195), $B199 * E195, "")</f>
        <v>-1195.2191235059761</v>
      </c>
      <c r="G195" s="31">
        <v>248</v>
      </c>
      <c r="H195" s="32">
        <f t="shared" ref="H195:H198" si="107">IF(ISNUMBER(G195), (G195 - $B195) / $B195, "")</f>
        <v>-1.1952191235059761E-2</v>
      </c>
      <c r="I195" s="91">
        <f>IF(ISNUMBER(G195), $B199 * H195, "")</f>
        <v>-1792.828685258964</v>
      </c>
      <c r="J195" s="15">
        <v>249</v>
      </c>
      <c r="K195" s="32">
        <f t="shared" ref="K195:K198" si="108">IF(ISNUMBER(J195), (J195 - $B195) / $B195, "")</f>
        <v>-7.9681274900398405E-3</v>
      </c>
      <c r="L195" s="18">
        <f>IF(ISNUMBER(J195), $B199 * K195, "")</f>
        <v>-1195.2191235059761</v>
      </c>
      <c r="M195" s="31">
        <v>248</v>
      </c>
      <c r="N195" s="32">
        <f t="shared" ref="N195:N198" si="109">IF(ISNUMBER(M195), (M195 - $B195) / $B195, "")</f>
        <v>-1.1952191235059761E-2</v>
      </c>
      <c r="O195" s="18">
        <f>IF(ISNUMBER(M195), $B199 * N195, "")</f>
        <v>-1792.828685258964</v>
      </c>
      <c r="Q195" s="161"/>
      <c r="R195" s="161"/>
      <c r="S195" s="161"/>
    </row>
    <row r="196" spans="1:19" ht="17.25" thickBot="1">
      <c r="A196" s="109" t="s">
        <v>228</v>
      </c>
      <c r="B196" s="110">
        <v>67.7</v>
      </c>
      <c r="C196" s="70">
        <v>-3.8352272700000002E-2</v>
      </c>
      <c r="D196" s="15">
        <v>66.900000000000006</v>
      </c>
      <c r="E196" s="32">
        <f t="shared" si="106"/>
        <v>-1.1816838995568643E-2</v>
      </c>
      <c r="F196" s="18">
        <f>IF(ISNUMBER(D196), $B199 * E196, "")</f>
        <v>-1772.5258493352965</v>
      </c>
      <c r="G196" s="31">
        <v>67</v>
      </c>
      <c r="H196" s="32">
        <f t="shared" si="107"/>
        <v>-1.0339734121122641E-2</v>
      </c>
      <c r="I196" s="91">
        <f>IF(ISNUMBER(G196), $B199 * H196, "")</f>
        <v>-1550.9601181683961</v>
      </c>
      <c r="J196" s="15">
        <v>67.599999999999994</v>
      </c>
      <c r="K196" s="32">
        <f t="shared" si="108"/>
        <v>-1.4771048744462115E-3</v>
      </c>
      <c r="L196" s="18">
        <f>IF(ISNUMBER(J196), $B199 * K196, "")</f>
        <v>-221.56573116693173</v>
      </c>
      <c r="M196" s="31">
        <v>67.3</v>
      </c>
      <c r="N196" s="32">
        <f t="shared" si="109"/>
        <v>-5.9084194977844263E-3</v>
      </c>
      <c r="O196" s="18">
        <f>IF(ISNUMBER(M196), $B199 * N196, "")</f>
        <v>-886.26292466766392</v>
      </c>
      <c r="Q196" s="161"/>
      <c r="R196" s="161"/>
      <c r="S196" s="161"/>
    </row>
    <row r="197" spans="1:19">
      <c r="A197" s="109" t="s">
        <v>138</v>
      </c>
      <c r="B197" s="110">
        <v>28.9</v>
      </c>
      <c r="C197" s="70">
        <v>-4.3046357600000001E-2</v>
      </c>
      <c r="D197" s="15">
        <v>28.8</v>
      </c>
      <c r="E197" s="32">
        <f t="shared" si="106"/>
        <v>-3.4602076124566738E-3</v>
      </c>
      <c r="F197" s="18">
        <f>IF(ISNUMBER(D197), $B199 * E197, "")</f>
        <v>-519.03114186850109</v>
      </c>
      <c r="G197" s="31">
        <v>29.9</v>
      </c>
      <c r="H197" s="32">
        <f t="shared" si="107"/>
        <v>3.4602076124567477E-2</v>
      </c>
      <c r="I197" s="91">
        <f>IF(ISNUMBER(G197), $B199 * H197, "")</f>
        <v>5190.3114186851217</v>
      </c>
      <c r="J197" s="15">
        <v>29.5</v>
      </c>
      <c r="K197" s="32">
        <f t="shared" si="108"/>
        <v>2.0761245674740535E-2</v>
      </c>
      <c r="L197" s="18">
        <f>IF(ISNUMBER(J197), $B199 * K197, "")</f>
        <v>3114.1868512110805</v>
      </c>
      <c r="M197" s="31">
        <v>29.3</v>
      </c>
      <c r="N197" s="32">
        <f t="shared" si="109"/>
        <v>1.3840830449827065E-2</v>
      </c>
      <c r="O197" s="18">
        <f>IF(ISNUMBER(M197), $B199 * N197, "")</f>
        <v>2076.1245674740599</v>
      </c>
      <c r="Q197" s="183"/>
      <c r="R197" s="184"/>
      <c r="S197" s="185"/>
    </row>
    <row r="198" spans="1:19" ht="17.25" thickBot="1">
      <c r="A198" s="114" t="s">
        <v>220</v>
      </c>
      <c r="B198" s="115">
        <v>80.8</v>
      </c>
      <c r="C198" s="72">
        <v>-4.9411764699999999E-2</v>
      </c>
      <c r="D198" s="24">
        <v>80.2</v>
      </c>
      <c r="E198" s="25">
        <f t="shared" si="106"/>
        <v>-7.425742574257356E-3</v>
      </c>
      <c r="F198" s="94">
        <f>IF(ISNUMBER(D198), $B199 * E198, "")</f>
        <v>-1113.8613861386034</v>
      </c>
      <c r="G198" s="92">
        <v>80.400000000000006</v>
      </c>
      <c r="H198" s="25">
        <f t="shared" si="107"/>
        <v>-4.9504950495048447E-3</v>
      </c>
      <c r="I198" s="93">
        <f>IF(ISNUMBER(G198), $B199 * H198, "")</f>
        <v>-742.57425742572673</v>
      </c>
      <c r="J198" s="24">
        <v>81</v>
      </c>
      <c r="K198" s="25">
        <f t="shared" si="108"/>
        <v>2.4752475247525104E-3</v>
      </c>
      <c r="L198" s="94">
        <f>IF(ISNUMBER(J198), $B199 * K198, "")</f>
        <v>371.28712871287655</v>
      </c>
      <c r="M198" s="92">
        <v>81.400000000000006</v>
      </c>
      <c r="N198" s="25">
        <f t="shared" si="109"/>
        <v>7.4257425742575312E-3</v>
      </c>
      <c r="O198" s="94">
        <f>IF(ISNUMBER(M198), $B199 * N198, "")</f>
        <v>1113.8613861386298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-4.2421289807119695E-3</v>
      </c>
      <c r="F199" s="28">
        <f>SUM(F179:F198)</f>
        <v>-12726.386942135907</v>
      </c>
      <c r="G199" s="26" t="s">
        <v>261</v>
      </c>
      <c r="H199" s="27">
        <f>IF(COUNT(H179:H198), SUM(H179:H198) / COUNT(H179:H198), 0)</f>
        <v>1.5786966618165318E-3</v>
      </c>
      <c r="I199" s="28">
        <f>SUM(I179:I198)</f>
        <v>4736.0899854495983</v>
      </c>
      <c r="J199" s="26" t="s">
        <v>261</v>
      </c>
      <c r="K199" s="27">
        <f>IF(COUNT(K179:K198), SUM(K179:K198) / COUNT(K179:K198), 0)</f>
        <v>6.5733081795861627E-3</v>
      </c>
      <c r="L199" s="28">
        <f>SUM(L179:L198)</f>
        <v>19719.924538758492</v>
      </c>
      <c r="M199" s="26" t="s">
        <v>261</v>
      </c>
      <c r="N199" s="27">
        <f>IF(COUNT(N179:N198), SUM(N179:N198) / COUNT(N179:N198), 0)</f>
        <v>7.7708199694614304E-3</v>
      </c>
      <c r="O199" s="28">
        <f>SUM(O179:O198)</f>
        <v>23312.459908384284</v>
      </c>
      <c r="Q199" s="189"/>
      <c r="R199" s="190"/>
      <c r="S199" s="19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39" priority="157">
      <formula>AND($N17 &gt; 0, ISNUMBER($N17))</formula>
    </cfRule>
    <cfRule type="expression" dxfId="4438" priority="158">
      <formula>AND($N17 = 0 * ISNUMBER($N17))</formula>
    </cfRule>
    <cfRule type="expression" dxfId="4437" priority="159">
      <formula>AND($N17 &lt; 0, ISNUMBER($N17))</formula>
    </cfRule>
  </conditionalFormatting>
  <conditionalFormatting sqref="A17:F36">
    <cfRule type="expression" dxfId="4436" priority="166">
      <formula>AND($E17 &gt; 0, ISNUMBER($E17))</formula>
    </cfRule>
    <cfRule type="expression" dxfId="4435" priority="167">
      <formula>AND($E17 = 0 * ISNUMBER($E17))</formula>
    </cfRule>
    <cfRule type="expression" dxfId="4434" priority="168">
      <formula>AND($E17 &lt; 0, ISNUMBER($E17))</formula>
    </cfRule>
  </conditionalFormatting>
  <conditionalFormatting sqref="A17:C36 G17:I36">
    <cfRule type="expression" dxfId="4433" priority="163">
      <formula>AND($H17 &gt; 0, ISNUMBER($H17))</formula>
    </cfRule>
    <cfRule type="expression" dxfId="4432" priority="164">
      <formula>AND($H17 = 0 * ISNUMBER($H17))</formula>
    </cfRule>
    <cfRule type="expression" dxfId="4431" priority="165">
      <formula>AND($H17 &lt; 0, ISNUMBER($H17))</formula>
    </cfRule>
  </conditionalFormatting>
  <conditionalFormatting sqref="A17:C36 J17:L36">
    <cfRule type="expression" dxfId="4430" priority="160">
      <formula>AND($K17 &gt; 0, ISNUMBER($K17))</formula>
    </cfRule>
    <cfRule type="expression" dxfId="4429" priority="161">
      <formula>AND($K17 = 0 * ISNUMBER($K17))</formula>
    </cfRule>
    <cfRule type="expression" dxfId="4428" priority="162">
      <formula>AND($K17 &lt; 0, ISNUMBER($K17))</formula>
    </cfRule>
  </conditionalFormatting>
  <conditionalFormatting sqref="D15:F16 E37:F37">
    <cfRule type="expression" dxfId="4427" priority="154">
      <formula>$E$37 &gt; 0</formula>
    </cfRule>
    <cfRule type="expression" dxfId="4426" priority="155">
      <formula>$E$37 = 0</formula>
    </cfRule>
    <cfRule type="expression" dxfId="4425" priority="156">
      <formula>$E$37 &lt; 0</formula>
    </cfRule>
  </conditionalFormatting>
  <conditionalFormatting sqref="G15:I16 H37:I37">
    <cfRule type="expression" dxfId="4424" priority="151">
      <formula>$H$37 &gt; 0</formula>
    </cfRule>
    <cfRule type="expression" dxfId="4423" priority="152">
      <formula>$H$37 = 0</formula>
    </cfRule>
    <cfRule type="expression" dxfId="4422" priority="153">
      <formula>$H$37 &lt; 0</formula>
    </cfRule>
  </conditionalFormatting>
  <conditionalFormatting sqref="J15:L16 K37:L37">
    <cfRule type="expression" dxfId="4421" priority="148">
      <formula>$K$37 &gt; 0</formula>
    </cfRule>
    <cfRule type="expression" dxfId="4420" priority="149">
      <formula>$K$37 = 0</formula>
    </cfRule>
    <cfRule type="expression" dxfId="4419" priority="150">
      <formula>$K$37 &lt; 0</formula>
    </cfRule>
  </conditionalFormatting>
  <conditionalFormatting sqref="M15:O16 N37:O37">
    <cfRule type="expression" dxfId="4418" priority="145">
      <formula>$N$37 &gt; 0</formula>
    </cfRule>
    <cfRule type="expression" dxfId="4417" priority="146">
      <formula>$N$37 = 0</formula>
    </cfRule>
    <cfRule type="expression" dxfId="4416" priority="147">
      <formula>$N$37 &lt; 0</formula>
    </cfRule>
  </conditionalFormatting>
  <conditionalFormatting sqref="A44:C63 M44:O63">
    <cfRule type="expression" dxfId="4415" priority="133">
      <formula>AND($N44 &gt; 0, ISNUMBER($N44))</formula>
    </cfRule>
    <cfRule type="expression" dxfId="4414" priority="134">
      <formula>AND($N44 = 0 * ISNUMBER($N44))</formula>
    </cfRule>
    <cfRule type="expression" dxfId="4413" priority="135">
      <formula>AND($N44 &lt; 0, ISNUMBER($N44))</formula>
    </cfRule>
  </conditionalFormatting>
  <conditionalFormatting sqref="A44:F63">
    <cfRule type="expression" dxfId="4412" priority="142">
      <formula>AND($E44 &gt; 0, ISNUMBER($E44))</formula>
    </cfRule>
    <cfRule type="expression" dxfId="4411" priority="143">
      <formula>AND($E44 = 0 * ISNUMBER($E44))</formula>
    </cfRule>
    <cfRule type="expression" dxfId="4410" priority="144">
      <formula>AND($E44 &lt; 0, ISNUMBER($E44))</formula>
    </cfRule>
  </conditionalFormatting>
  <conditionalFormatting sqref="A44:C63 G44:I63">
    <cfRule type="expression" dxfId="4409" priority="139">
      <formula>AND($H44 &gt; 0, ISNUMBER($H44))</formula>
    </cfRule>
    <cfRule type="expression" dxfId="4408" priority="140">
      <formula>AND($H44 = 0 * ISNUMBER($H44))</formula>
    </cfRule>
    <cfRule type="expression" dxfId="4407" priority="141">
      <formula>AND($H44 &lt; 0, ISNUMBER($H44))</formula>
    </cfRule>
  </conditionalFormatting>
  <conditionalFormatting sqref="A44:C63 J44:L63">
    <cfRule type="expression" dxfId="4406" priority="136">
      <formula>AND($K44 &gt; 0, ISNUMBER($K44))</formula>
    </cfRule>
    <cfRule type="expression" dxfId="4405" priority="137">
      <formula>AND($K44 = 0 * ISNUMBER($K44))</formula>
    </cfRule>
    <cfRule type="expression" dxfId="4404" priority="138">
      <formula>AND($K44 &lt; 0, ISNUMBER($K44))</formula>
    </cfRule>
  </conditionalFormatting>
  <conditionalFormatting sqref="D42:F43 E64:F64">
    <cfRule type="expression" dxfId="4403" priority="130">
      <formula>$E$64 &gt; 0</formula>
    </cfRule>
    <cfRule type="expression" dxfId="4402" priority="131">
      <formula>$E$64 = 0</formula>
    </cfRule>
    <cfRule type="expression" dxfId="4401" priority="132">
      <formula>$E$64 &lt; 0</formula>
    </cfRule>
  </conditionalFormatting>
  <conditionalFormatting sqref="G42:I43 H64:I64">
    <cfRule type="expression" dxfId="4400" priority="127">
      <formula>$H$64 &gt; 0</formula>
    </cfRule>
    <cfRule type="expression" dxfId="4399" priority="128">
      <formula>$H$64 = 0</formula>
    </cfRule>
    <cfRule type="expression" dxfId="4398" priority="129">
      <formula>$H$64 &lt; 0</formula>
    </cfRule>
  </conditionalFormatting>
  <conditionalFormatting sqref="J42:L43 K64:L64">
    <cfRule type="expression" dxfId="4397" priority="124">
      <formula>$K$64 &gt; 0</formula>
    </cfRule>
    <cfRule type="expression" dxfId="4396" priority="125">
      <formula>$K$64 = 0</formula>
    </cfRule>
    <cfRule type="expression" dxfId="4395" priority="126">
      <formula>$K$64 &lt; 0</formula>
    </cfRule>
  </conditionalFormatting>
  <conditionalFormatting sqref="M42:O43 N64:O64">
    <cfRule type="expression" dxfId="4394" priority="121">
      <formula>$N$64 &gt; 0</formula>
    </cfRule>
    <cfRule type="expression" dxfId="4393" priority="122">
      <formula>$N$64 = 0</formula>
    </cfRule>
    <cfRule type="expression" dxfId="4392" priority="123">
      <formula>$N$64 &lt; 0</formula>
    </cfRule>
  </conditionalFormatting>
  <conditionalFormatting sqref="A71:C90 M71:O90">
    <cfRule type="expression" dxfId="4391" priority="109">
      <formula>AND($N71 &gt; 0, ISNUMBER($N71))</formula>
    </cfRule>
    <cfRule type="expression" dxfId="4390" priority="110">
      <formula>AND($N71 = 0 * ISNUMBER($N71))</formula>
    </cfRule>
    <cfRule type="expression" dxfId="4389" priority="111">
      <formula>AND($N71 &lt; 0, ISNUMBER($N71))</formula>
    </cfRule>
  </conditionalFormatting>
  <conditionalFormatting sqref="A71:F90">
    <cfRule type="expression" dxfId="4388" priority="118">
      <formula>AND($E71 &gt; 0, ISNUMBER($E71))</formula>
    </cfRule>
    <cfRule type="expression" dxfId="4387" priority="119">
      <formula>AND($E71 = 0 * ISNUMBER($E71))</formula>
    </cfRule>
    <cfRule type="expression" dxfId="4386" priority="120">
      <formula>AND($E71 &lt; 0, ISNUMBER($E71))</formula>
    </cfRule>
  </conditionalFormatting>
  <conditionalFormatting sqref="A71:C90 G71:I90">
    <cfRule type="expression" dxfId="4385" priority="115">
      <formula>AND($H71 &gt; 0, ISNUMBER($H71))</formula>
    </cfRule>
    <cfRule type="expression" dxfId="4384" priority="116">
      <formula>AND($H71 = 0 * ISNUMBER($H71))</formula>
    </cfRule>
    <cfRule type="expression" dxfId="4383" priority="117">
      <formula>AND($H71 &lt; 0, ISNUMBER($H71))</formula>
    </cfRule>
  </conditionalFormatting>
  <conditionalFormatting sqref="A71:C90 J71:L90">
    <cfRule type="expression" dxfId="4382" priority="112">
      <formula>AND($K71 &gt; 0, ISNUMBER($K71))</formula>
    </cfRule>
    <cfRule type="expression" dxfId="4381" priority="113">
      <formula>AND($K71 = 0 * ISNUMBER($K71))</formula>
    </cfRule>
    <cfRule type="expression" dxfId="4380" priority="114">
      <formula>AND($K71 &lt; 0, ISNUMBER($K71))</formula>
    </cfRule>
  </conditionalFormatting>
  <conditionalFormatting sqref="D69:F70 E91:F91">
    <cfRule type="expression" dxfId="4379" priority="106">
      <formula>$E$91 &gt; 0</formula>
    </cfRule>
    <cfRule type="expression" dxfId="4378" priority="107">
      <formula>$E$91 = 0</formula>
    </cfRule>
    <cfRule type="expression" dxfId="4377" priority="108">
      <formula>$E$91 &lt; 0</formula>
    </cfRule>
  </conditionalFormatting>
  <conditionalFormatting sqref="G69:I70 H91:I91">
    <cfRule type="expression" dxfId="4376" priority="103">
      <formula>$H$91 &gt; 0</formula>
    </cfRule>
    <cfRule type="expression" dxfId="4375" priority="104">
      <formula>$H$91 = 0</formula>
    </cfRule>
    <cfRule type="expression" dxfId="4374" priority="105">
      <formula>$H$91 &lt; 0</formula>
    </cfRule>
  </conditionalFormatting>
  <conditionalFormatting sqref="J69:L70 K91:L91">
    <cfRule type="expression" dxfId="4373" priority="100">
      <formula>$K$91 &gt; 0</formula>
    </cfRule>
    <cfRule type="expression" dxfId="4372" priority="101">
      <formula>$K$91 = 0</formula>
    </cfRule>
    <cfRule type="expression" dxfId="4371" priority="102">
      <formula>$K$91 &lt; 0</formula>
    </cfRule>
  </conditionalFormatting>
  <conditionalFormatting sqref="M69:O70 N91:O91">
    <cfRule type="expression" dxfId="4370" priority="97">
      <formula>$N$91 &gt; 0</formula>
    </cfRule>
    <cfRule type="expression" dxfId="4369" priority="98">
      <formula>$N$91 = 0</formula>
    </cfRule>
    <cfRule type="expression" dxfId="4368" priority="99">
      <formula>$N$91 &lt; 0</formula>
    </cfRule>
  </conditionalFormatting>
  <conditionalFormatting sqref="A98:C117 M98:O117">
    <cfRule type="expression" dxfId="4367" priority="85">
      <formula>AND($N98 &gt; 0, ISNUMBER($N98))</formula>
    </cfRule>
    <cfRule type="expression" dxfId="4366" priority="86">
      <formula>AND($N98 = 0 * ISNUMBER($N98))</formula>
    </cfRule>
    <cfRule type="expression" dxfId="4365" priority="87">
      <formula>AND($N98 &lt; 0, ISNUMBER($N98))</formula>
    </cfRule>
  </conditionalFormatting>
  <conditionalFormatting sqref="A98:F117">
    <cfRule type="expression" dxfId="4364" priority="94">
      <formula>AND($E98 &gt; 0, ISNUMBER($E98))</formula>
    </cfRule>
    <cfRule type="expression" dxfId="4363" priority="95">
      <formula>AND($E98 = 0 * ISNUMBER($E98))</formula>
    </cfRule>
    <cfRule type="expression" dxfId="4362" priority="96">
      <formula>AND($E98 &lt; 0, ISNUMBER($E98))</formula>
    </cfRule>
  </conditionalFormatting>
  <conditionalFormatting sqref="A98:C117 G98:I117">
    <cfRule type="expression" dxfId="4361" priority="91">
      <formula>AND($H98 &gt; 0, ISNUMBER($H98))</formula>
    </cfRule>
    <cfRule type="expression" dxfId="4360" priority="92">
      <formula>AND($H98 = 0 * ISNUMBER($H98))</formula>
    </cfRule>
    <cfRule type="expression" dxfId="4359" priority="93">
      <formula>AND($H98 &lt; 0, ISNUMBER($H98))</formula>
    </cfRule>
  </conditionalFormatting>
  <conditionalFormatting sqref="A98:C117 J98:L117">
    <cfRule type="expression" dxfId="4358" priority="88">
      <formula>AND($K98 &gt; 0, ISNUMBER($K98))</formula>
    </cfRule>
    <cfRule type="expression" dxfId="4357" priority="89">
      <formula>AND($K98 = 0 * ISNUMBER($K98))</formula>
    </cfRule>
    <cfRule type="expression" dxfId="4356" priority="90">
      <formula>AND($K98 &lt; 0, ISNUMBER($K98))</formula>
    </cfRule>
  </conditionalFormatting>
  <conditionalFormatting sqref="D96:F97 E118:F118">
    <cfRule type="expression" dxfId="4355" priority="82">
      <formula>$E$118 &gt; 0</formula>
    </cfRule>
    <cfRule type="expression" dxfId="4354" priority="83">
      <formula>$E$118 = 0</formula>
    </cfRule>
    <cfRule type="expression" dxfId="4353" priority="84">
      <formula>$E$118 &lt; 0</formula>
    </cfRule>
  </conditionalFormatting>
  <conditionalFormatting sqref="G96:I97 H118:I118">
    <cfRule type="expression" dxfId="4352" priority="79">
      <formula>$H$118 &gt; 0</formula>
    </cfRule>
    <cfRule type="expression" dxfId="4351" priority="80">
      <formula>$H$118 = 0</formula>
    </cfRule>
    <cfRule type="expression" dxfId="4350" priority="81">
      <formula>$H$118 &lt; 0</formula>
    </cfRule>
  </conditionalFormatting>
  <conditionalFormatting sqref="J96:L97 K118:L118">
    <cfRule type="expression" dxfId="4349" priority="76">
      <formula>$K$118 &gt; 0</formula>
    </cfRule>
    <cfRule type="expression" dxfId="4348" priority="77">
      <formula>$K$118 = 0</formula>
    </cfRule>
    <cfRule type="expression" dxfId="4347" priority="78">
      <formula>$K$118 &lt; 0</formula>
    </cfRule>
  </conditionalFormatting>
  <conditionalFormatting sqref="M96:O97 N118:O118">
    <cfRule type="expression" dxfId="4346" priority="73">
      <formula>$N$118 &gt; 0</formula>
    </cfRule>
    <cfRule type="expression" dxfId="4345" priority="74">
      <formula>$N$118 = 0</formula>
    </cfRule>
    <cfRule type="expression" dxfId="4344" priority="75">
      <formula>$N$118 &lt; 0</formula>
    </cfRule>
  </conditionalFormatting>
  <conditionalFormatting sqref="A125:C144 M125:O144">
    <cfRule type="expression" dxfId="4343" priority="61">
      <formula>AND($N125 &gt; 0, ISNUMBER($N125))</formula>
    </cfRule>
    <cfRule type="expression" dxfId="4342" priority="62">
      <formula>AND($N125 = 0 * ISNUMBER($N125))</formula>
    </cfRule>
    <cfRule type="expression" dxfId="4341" priority="63">
      <formula>AND($N125 &lt; 0, ISNUMBER($N125))</formula>
    </cfRule>
  </conditionalFormatting>
  <conditionalFormatting sqref="A125:F144">
    <cfRule type="expression" dxfId="4340" priority="70">
      <formula>AND($E125 &gt; 0, ISNUMBER($E125))</formula>
    </cfRule>
    <cfRule type="expression" dxfId="4339" priority="71">
      <formula>AND($E125 = 0 * ISNUMBER($E125))</formula>
    </cfRule>
    <cfRule type="expression" dxfId="4338" priority="72">
      <formula>AND($E125 &lt; 0, ISNUMBER($E125))</formula>
    </cfRule>
  </conditionalFormatting>
  <conditionalFormatting sqref="A125:C144 G125:I144">
    <cfRule type="expression" dxfId="4337" priority="67">
      <formula>AND($H125 &gt; 0, ISNUMBER($H125))</formula>
    </cfRule>
    <cfRule type="expression" dxfId="4336" priority="68">
      <formula>AND($H125 = 0 * ISNUMBER($H125))</formula>
    </cfRule>
    <cfRule type="expression" dxfId="4335" priority="69">
      <formula>AND($H125 &lt; 0, ISNUMBER($H125))</formula>
    </cfRule>
  </conditionalFormatting>
  <conditionalFormatting sqref="A125:C144 J125:L144">
    <cfRule type="expression" dxfId="4334" priority="64">
      <formula>AND($K125 &gt; 0, ISNUMBER($K125))</formula>
    </cfRule>
    <cfRule type="expression" dxfId="4333" priority="65">
      <formula>AND($K125 = 0 * ISNUMBER($K125))</formula>
    </cfRule>
    <cfRule type="expression" dxfId="4332" priority="66">
      <formula>AND($K125 &lt; 0, ISNUMBER($K125))</formula>
    </cfRule>
  </conditionalFormatting>
  <conditionalFormatting sqref="D123:F124 E145:F145">
    <cfRule type="expression" dxfId="4331" priority="58">
      <formula>$E$145 &gt; 0</formula>
    </cfRule>
    <cfRule type="expression" dxfId="4330" priority="59">
      <formula>$E$145 = 0</formula>
    </cfRule>
    <cfRule type="expression" dxfId="4329" priority="60">
      <formula>$E$145 &lt; 0</formula>
    </cfRule>
  </conditionalFormatting>
  <conditionalFormatting sqref="G123:I124 H145:I145">
    <cfRule type="expression" dxfId="4328" priority="55">
      <formula>$H$145 &gt; 0</formula>
    </cfRule>
    <cfRule type="expression" dxfId="4327" priority="56">
      <formula>$H$145 = 0</formula>
    </cfRule>
    <cfRule type="expression" dxfId="4326" priority="57">
      <formula>$H$145 &lt; 0</formula>
    </cfRule>
  </conditionalFormatting>
  <conditionalFormatting sqref="J123:L124 K145:L145">
    <cfRule type="expression" dxfId="4325" priority="52">
      <formula>$K$145 &gt; 0</formula>
    </cfRule>
    <cfRule type="expression" dxfId="4324" priority="53">
      <formula>$K$145 = 0</formula>
    </cfRule>
    <cfRule type="expression" dxfId="4323" priority="54">
      <formula>$K$145 &lt; 0</formula>
    </cfRule>
  </conditionalFormatting>
  <conditionalFormatting sqref="M123:O124 N145:O145">
    <cfRule type="expression" dxfId="4322" priority="49">
      <formula>$N$145 &gt; 0</formula>
    </cfRule>
    <cfRule type="expression" dxfId="4321" priority="50">
      <formula>$N$145 = 0</formula>
    </cfRule>
    <cfRule type="expression" dxfId="4320" priority="51">
      <formula>$N$145 &lt; 0</formula>
    </cfRule>
  </conditionalFormatting>
  <conditionalFormatting sqref="A152:C171 M152:O171">
    <cfRule type="expression" dxfId="4319" priority="37">
      <formula>AND($N152 &gt; 0, ISNUMBER($N152))</formula>
    </cfRule>
    <cfRule type="expression" dxfId="4318" priority="38">
      <formula>AND($N152 = 0 * ISNUMBER($N152))</formula>
    </cfRule>
    <cfRule type="expression" dxfId="4317" priority="39">
      <formula>AND($N152 &lt; 0, ISNUMBER($N152))</formula>
    </cfRule>
  </conditionalFormatting>
  <conditionalFormatting sqref="A152:F171">
    <cfRule type="expression" dxfId="4316" priority="46">
      <formula>AND($E152 &gt; 0, ISNUMBER($E152))</formula>
    </cfRule>
    <cfRule type="expression" dxfId="4315" priority="47">
      <formula>AND($E152 = 0 * ISNUMBER($E152))</formula>
    </cfRule>
    <cfRule type="expression" dxfId="4314" priority="48">
      <formula>AND($E152 &lt; 0, ISNUMBER($E152))</formula>
    </cfRule>
  </conditionalFormatting>
  <conditionalFormatting sqref="A152:C171 G152:I171">
    <cfRule type="expression" dxfId="4313" priority="43">
      <formula>AND($H152 &gt; 0, ISNUMBER($H152))</formula>
    </cfRule>
    <cfRule type="expression" dxfId="4312" priority="44">
      <formula>AND($H152 = 0 * ISNUMBER($H152))</formula>
    </cfRule>
    <cfRule type="expression" dxfId="4311" priority="45">
      <formula>AND($H152 &lt; 0, ISNUMBER($H152))</formula>
    </cfRule>
  </conditionalFormatting>
  <conditionalFormatting sqref="A152:C171 J152:L171">
    <cfRule type="expression" dxfId="4310" priority="40">
      <formula>AND($K152 &gt; 0, ISNUMBER($K152))</formula>
    </cfRule>
    <cfRule type="expression" dxfId="4309" priority="41">
      <formula>AND($K152 = 0 * ISNUMBER($K152))</formula>
    </cfRule>
    <cfRule type="expression" dxfId="4308" priority="42">
      <formula>AND($K152 &lt; 0, ISNUMBER($K152))</formula>
    </cfRule>
  </conditionalFormatting>
  <conditionalFormatting sqref="D150:F151 E172:F172">
    <cfRule type="expression" dxfId="4307" priority="34">
      <formula>$E$172 &gt; 0</formula>
    </cfRule>
    <cfRule type="expression" dxfId="4306" priority="35">
      <formula>$E$172 = 0</formula>
    </cfRule>
    <cfRule type="expression" dxfId="4305" priority="36">
      <formula>$E$172 &lt; 0</formula>
    </cfRule>
  </conditionalFormatting>
  <conditionalFormatting sqref="G150:I151 H172:I172">
    <cfRule type="expression" dxfId="4304" priority="31">
      <formula>$H$172 &gt; 0</formula>
    </cfRule>
    <cfRule type="expression" dxfId="4303" priority="32">
      <formula>$H$172 = 0</formula>
    </cfRule>
    <cfRule type="expression" dxfId="4302" priority="33">
      <formula>$H$172 &lt; 0</formula>
    </cfRule>
  </conditionalFormatting>
  <conditionalFormatting sqref="J150:L151 K172:L172">
    <cfRule type="expression" dxfId="4301" priority="28">
      <formula>$K$172 &gt; 0</formula>
    </cfRule>
    <cfRule type="expression" dxfId="4300" priority="29">
      <formula>$K$172 = 0</formula>
    </cfRule>
    <cfRule type="expression" dxfId="4299" priority="30">
      <formula>$K$172 &lt; 0</formula>
    </cfRule>
  </conditionalFormatting>
  <conditionalFormatting sqref="M150:O151 N172:O172">
    <cfRule type="expression" dxfId="4298" priority="25">
      <formula>$N$172 &gt; 0</formula>
    </cfRule>
    <cfRule type="expression" dxfId="4297" priority="26">
      <formula>$N$172 = 0</formula>
    </cfRule>
    <cfRule type="expression" dxfId="4296" priority="27">
      <formula>$N$172 &lt; 0</formula>
    </cfRule>
  </conditionalFormatting>
  <conditionalFormatting sqref="A179:C198 M179:O198">
    <cfRule type="expression" dxfId="4295" priority="13">
      <formula>AND($N179 &gt; 0, ISNUMBER($N179))</formula>
    </cfRule>
    <cfRule type="expression" dxfId="4294" priority="14">
      <formula>AND($N179 = 0 * ISNUMBER($N179))</formula>
    </cfRule>
    <cfRule type="expression" dxfId="4293" priority="15">
      <formula>AND($N179 &lt; 0, ISNUMBER($N179))</formula>
    </cfRule>
  </conditionalFormatting>
  <conditionalFormatting sqref="A179:F198">
    <cfRule type="expression" dxfId="4292" priority="22">
      <formula>AND($E179 &gt; 0, ISNUMBER($E179))</formula>
    </cfRule>
    <cfRule type="expression" dxfId="4291" priority="23">
      <formula>AND($E179 = 0 * ISNUMBER($E179))</formula>
    </cfRule>
    <cfRule type="expression" dxfId="4290" priority="24">
      <formula>AND($E179 &lt; 0, ISNUMBER($E179))</formula>
    </cfRule>
  </conditionalFormatting>
  <conditionalFormatting sqref="A179:C198 G179:I198">
    <cfRule type="expression" dxfId="4289" priority="19">
      <formula>AND($H179 &gt; 0, ISNUMBER($H179))</formula>
    </cfRule>
    <cfRule type="expression" dxfId="4288" priority="20">
      <formula>AND($H179 = 0 * ISNUMBER($H179))</formula>
    </cfRule>
    <cfRule type="expression" dxfId="4287" priority="21">
      <formula>AND($H179 &lt; 0, ISNUMBER($H179))</formula>
    </cfRule>
  </conditionalFormatting>
  <conditionalFormatting sqref="A179:C198 J179:L198">
    <cfRule type="expression" dxfId="4286" priority="16">
      <formula>AND($K179 &gt; 0, ISNUMBER($K179))</formula>
    </cfRule>
    <cfRule type="expression" dxfId="4285" priority="17">
      <formula>AND($K179 = 0 * ISNUMBER($K179))</formula>
    </cfRule>
    <cfRule type="expression" dxfId="4284" priority="18">
      <formula>AND($K179 &lt; 0, ISNUMBER($K179))</formula>
    </cfRule>
  </conditionalFormatting>
  <conditionalFormatting sqref="D177:F178 E199:F199">
    <cfRule type="expression" dxfId="4283" priority="10">
      <formula>$E$199 &gt; 0</formula>
    </cfRule>
    <cfRule type="expression" dxfId="4282" priority="11">
      <formula>$E$199 = 0</formula>
    </cfRule>
    <cfRule type="expression" dxfId="4281" priority="12">
      <formula>$E$199 &lt; 0</formula>
    </cfRule>
  </conditionalFormatting>
  <conditionalFormatting sqref="G177:I178 H199:I199">
    <cfRule type="expression" dxfId="4280" priority="7">
      <formula>$H$199 &gt; 0</formula>
    </cfRule>
    <cfRule type="expression" dxfId="4279" priority="8">
      <formula>$H$199 = 0</formula>
    </cfRule>
    <cfRule type="expression" dxfId="4278" priority="9">
      <formula>$H$199 &lt; 0</formula>
    </cfRule>
  </conditionalFormatting>
  <conditionalFormatting sqref="J177:L178 K199:L199">
    <cfRule type="expression" dxfId="4277" priority="4">
      <formula>$K$199 &gt; 0</formula>
    </cfRule>
    <cfRule type="expression" dxfId="4276" priority="5">
      <formula>$K$199 = 0</formula>
    </cfRule>
    <cfRule type="expression" dxfId="4275" priority="6">
      <formula>$K$199 &lt; 0</formula>
    </cfRule>
  </conditionalFormatting>
  <conditionalFormatting sqref="M177:O178 N199:O199">
    <cfRule type="expression" dxfId="4274" priority="1">
      <formula>$N$199 &gt; 0</formula>
    </cfRule>
    <cfRule type="expression" dxfId="4273" priority="2">
      <formula>$N$199 = 0</formula>
    </cfRule>
    <cfRule type="expression" dxfId="42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6A9CE-9FD1-4B02-8D26-636388A3FC71}">
  <sheetPr codeName="Sheet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44898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54,667 KRW (1.82%)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36,791 KRW (1.23%)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38,736 KRW (1.29%)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8,293 KRW (0.28%)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2022-12-03(토) 오전 00:00</v>
      </c>
      <c r="C15" s="202"/>
      <c r="D15" s="158" t="str">
        <f>TEXT($G$1, "[$-ko-KR]yyyy-mm-dd(ddd) ") &amp; "오후 14:00"</f>
        <v>2022-12-03(토) 오후 14:00</v>
      </c>
      <c r="E15" s="159"/>
      <c r="F15" s="160"/>
      <c r="G15" s="158" t="str">
        <f>TEXT($G$1, "[$-ko-KR]yyyy-mm-dd(ddd) ") &amp; "오후 19:00"</f>
        <v>2022-12-03(토) 오후 19:00</v>
      </c>
      <c r="H15" s="159"/>
      <c r="I15" s="160"/>
      <c r="J15" s="158" t="str">
        <f>TEXT($G$1, "[$-ko-KR]yyyy-mm-dd(ddd) ") &amp; "오후 21:00"</f>
        <v>2022-12-03(토) 오후 21:00</v>
      </c>
      <c r="K15" s="159"/>
      <c r="L15" s="160"/>
      <c r="M15" s="158" t="str">
        <f>TEXT($G$1+1, "[$-ko-KR]yyyy-mm-dd(ddd) ") &amp; "오전 00:00"</f>
        <v>2022-12-04(일)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2022-12-03(토) 오전 00:00</v>
      </c>
      <c r="C42" s="199"/>
      <c r="D42" s="158" t="str">
        <f>TEXT($G$1, "[$-ko-KR]yyyy-mm-dd(ddd) ") &amp; "오후 14:00"</f>
        <v>2022-12-03(토) 오후 14:00</v>
      </c>
      <c r="E42" s="159"/>
      <c r="F42" s="160"/>
      <c r="G42" s="158" t="str">
        <f>TEXT($G$1, "[$-ko-KR]yyyy-mm-dd(ddd) ") &amp; "오후 19:00"</f>
        <v>2022-12-03(토) 오후 19:00</v>
      </c>
      <c r="H42" s="159"/>
      <c r="I42" s="160"/>
      <c r="J42" s="158" t="str">
        <f>TEXT($G$1, "[$-ko-KR]yyyy-mm-dd(ddd) ") &amp; "오후 21:00"</f>
        <v>2022-12-03(토) 오후 21:00</v>
      </c>
      <c r="K42" s="159"/>
      <c r="L42" s="160"/>
      <c r="M42" s="158" t="str">
        <f>TEXT($G$1+1, "[$-ko-KR]yyyy-mm-dd(ddd) ") &amp; "오전 00:00"</f>
        <v>2022-12-04(일)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198</v>
      </c>
      <c r="B44" s="108">
        <v>8.65</v>
      </c>
      <c r="C44" s="69">
        <v>0.12924281979999999</v>
      </c>
      <c r="D44" s="13">
        <v>9.39</v>
      </c>
      <c r="E44" s="14">
        <f>IF(ISNUMBER(D44), (D44 - $B44) / $B44, "")</f>
        <v>8.5549132947976905E-2</v>
      </c>
      <c r="F44" s="16">
        <f>IF(ISNUMBER(D44), $B64 * E44, "")</f>
        <v>12832.369942196536</v>
      </c>
      <c r="G44" s="29">
        <v>9.7899999999999991</v>
      </c>
      <c r="H44" s="14">
        <f>IF(ISNUMBER(G44), (G44 - $B44) / $B44, "")</f>
        <v>0.13179190751445072</v>
      </c>
      <c r="I44" s="90">
        <f>IF(ISNUMBER(G44), $B64 * H44, "")</f>
        <v>19768.786127167608</v>
      </c>
      <c r="J44" s="13">
        <v>9.5</v>
      </c>
      <c r="K44" s="14">
        <f>IF(ISNUMBER(J44), (J44 - $B44) / $B44, "")</f>
        <v>9.8265895953757176E-2</v>
      </c>
      <c r="L44" s="16">
        <f>IF(ISNUMBER(J44), $B64 * K44, "")</f>
        <v>14739.884393063576</v>
      </c>
      <c r="M44" s="29">
        <v>9.2799999999999994</v>
      </c>
      <c r="N44" s="14">
        <f>IF(ISNUMBER(M44), (M44 - $B44) / $B44, "")</f>
        <v>7.2832369942196412E-2</v>
      </c>
      <c r="O44" s="16">
        <f>IF(ISNUMBER(M44), $B64 * N44, "")</f>
        <v>10924.855491329461</v>
      </c>
      <c r="Q44" s="156"/>
      <c r="R44" s="156"/>
      <c r="S44" s="156"/>
    </row>
    <row r="45" spans="1:19" ht="17.25" customHeight="1" thickBot="1">
      <c r="A45" s="109" t="s">
        <v>200</v>
      </c>
      <c r="B45" s="110">
        <v>7.07</v>
      </c>
      <c r="C45" s="70">
        <v>2.7616279099999998E-2</v>
      </c>
      <c r="D45" s="15">
        <v>7.27</v>
      </c>
      <c r="E45" s="32">
        <f t="shared" ref="E45:E48" si="14">IF(ISNUMBER(D45), (D45 - $B45) / $B45, "")</f>
        <v>2.8288543140028186E-2</v>
      </c>
      <c r="F45" s="18">
        <f>IF(ISNUMBER(D45), $B64 * E45, "")</f>
        <v>4243.2814710042276</v>
      </c>
      <c r="G45" s="31">
        <v>7.42</v>
      </c>
      <c r="H45" s="32">
        <f t="shared" ref="H45:H48" si="15">IF(ISNUMBER(G45), (G45 - $B45) / $B45, "")</f>
        <v>4.9504950495049452E-2</v>
      </c>
      <c r="I45" s="91">
        <f>IF(ISNUMBER(G45), $B64 * H45, "")</f>
        <v>7425.7425742574178</v>
      </c>
      <c r="J45" s="15">
        <v>7.3</v>
      </c>
      <c r="K45" s="32">
        <f t="shared" ref="K45:K48" si="16">IF(ISNUMBER(J45), (J45 - $B45) / $B45, "")</f>
        <v>3.2531824611032469E-2</v>
      </c>
      <c r="L45" s="18">
        <f>IF(ISNUMBER(J45), $B64 * K45, "")</f>
        <v>4879.7736916548702</v>
      </c>
      <c r="M45" s="31">
        <v>7.26</v>
      </c>
      <c r="N45" s="32">
        <f t="shared" ref="N45:N48" si="17">IF(ISNUMBER(M45), (M45 - $B45) / $B45, "")</f>
        <v>2.6874115983026803E-2</v>
      </c>
      <c r="O45" s="18">
        <f>IF(ISNUMBER(M45), $B64 * N45, "")</f>
        <v>4031.1173974540206</v>
      </c>
      <c r="Q45" s="156"/>
      <c r="R45" s="156"/>
      <c r="S45" s="156"/>
    </row>
    <row r="46" spans="1:19" ht="17.25" customHeight="1" thickBot="1">
      <c r="A46" s="109" t="s">
        <v>107</v>
      </c>
      <c r="B46" s="110">
        <v>45.4</v>
      </c>
      <c r="C46" s="70">
        <v>2.7149321300000001E-2</v>
      </c>
      <c r="D46" s="15">
        <v>45.2</v>
      </c>
      <c r="E46" s="32">
        <f t="shared" si="14"/>
        <v>-4.4052863436122407E-3</v>
      </c>
      <c r="F46" s="18">
        <f>IF(ISNUMBER(D46), $B64 * E46, "")</f>
        <v>-660.79295154183615</v>
      </c>
      <c r="G46" s="31">
        <v>45</v>
      </c>
      <c r="H46" s="32">
        <f t="shared" si="15"/>
        <v>-8.8105726872246392E-3</v>
      </c>
      <c r="I46" s="91">
        <f>IF(ISNUMBER(G46), $B64 * H46, "")</f>
        <v>-1321.5859030836959</v>
      </c>
      <c r="J46" s="15">
        <v>44.8</v>
      </c>
      <c r="K46" s="32">
        <f t="shared" si="16"/>
        <v>-1.3215859030837036E-2</v>
      </c>
      <c r="L46" s="18">
        <f>IF(ISNUMBER(J46), $B64 * K46, "")</f>
        <v>-1982.3788546255555</v>
      </c>
      <c r="M46" s="31">
        <v>44.8</v>
      </c>
      <c r="N46" s="32">
        <f t="shared" si="17"/>
        <v>-1.3215859030837036E-2</v>
      </c>
      <c r="O46" s="18">
        <f>IF(ISNUMBER(M46), $B64 * N46, "")</f>
        <v>-1982.3788546255555</v>
      </c>
      <c r="Q46" s="161"/>
      <c r="R46" s="161"/>
      <c r="S46" s="161"/>
    </row>
    <row r="47" spans="1:19" ht="17.25" customHeight="1" thickBot="1">
      <c r="A47" s="109" t="s">
        <v>143</v>
      </c>
      <c r="B47" s="110">
        <v>4.1100000000000003</v>
      </c>
      <c r="C47" s="70">
        <v>1.73267327E-2</v>
      </c>
      <c r="D47" s="15">
        <v>4.1500000000000004</v>
      </c>
      <c r="E47" s="32">
        <f t="shared" si="14"/>
        <v>9.7323600973236082E-3</v>
      </c>
      <c r="F47" s="18">
        <f>IF(ISNUMBER(D47), $B64 * E47, "")</f>
        <v>1459.8540145985412</v>
      </c>
      <c r="G47" s="31">
        <v>4.21</v>
      </c>
      <c r="H47" s="32">
        <f t="shared" si="15"/>
        <v>2.4330900243308914E-2</v>
      </c>
      <c r="I47" s="91">
        <f>IF(ISNUMBER(G47), $B64 * H47, "")</f>
        <v>3649.6350364963369</v>
      </c>
      <c r="J47" s="15">
        <v>4.18</v>
      </c>
      <c r="K47" s="32">
        <f t="shared" si="16"/>
        <v>1.7031630170316153E-2</v>
      </c>
      <c r="L47" s="18">
        <f>IF(ISNUMBER(J47), $B64 * K47, "")</f>
        <v>2554.7445255474227</v>
      </c>
      <c r="M47" s="31">
        <v>4.16</v>
      </c>
      <c r="N47" s="32">
        <f t="shared" si="17"/>
        <v>1.2165450121654457E-2</v>
      </c>
      <c r="O47" s="18">
        <f>IF(ISNUMBER(M47), $B64 * N47, "")</f>
        <v>1824.8175182481684</v>
      </c>
      <c r="Q47" s="161"/>
      <c r="R47" s="161"/>
      <c r="S47" s="161"/>
    </row>
    <row r="48" spans="1:19" ht="17.25" customHeight="1" thickBot="1">
      <c r="A48" s="111" t="s">
        <v>338</v>
      </c>
      <c r="B48" s="112">
        <v>5.12</v>
      </c>
      <c r="C48" s="71">
        <v>1.18577075E-2</v>
      </c>
      <c r="D48" s="20">
        <v>5.14</v>
      </c>
      <c r="E48" s="21">
        <f t="shared" si="14"/>
        <v>3.9062499999999167E-3</v>
      </c>
      <c r="F48" s="22">
        <f>IF(ISNUMBER(D48), $B64 * E48, "")</f>
        <v>585.93749999998749</v>
      </c>
      <c r="G48" s="30">
        <v>5.2</v>
      </c>
      <c r="H48" s="21">
        <f t="shared" si="15"/>
        <v>1.5625000000000014E-2</v>
      </c>
      <c r="I48" s="95">
        <f>IF(ISNUMBER(G48), $B64 * H48, "")</f>
        <v>2343.7500000000023</v>
      </c>
      <c r="J48" s="20">
        <v>5.19</v>
      </c>
      <c r="K48" s="21">
        <f t="shared" si="16"/>
        <v>1.3671875000000056E-2</v>
      </c>
      <c r="L48" s="22">
        <f>IF(ISNUMBER(J48), $B64 * K48, "")</f>
        <v>2050.7812500000082</v>
      </c>
      <c r="M48" s="30">
        <v>5.16</v>
      </c>
      <c r="N48" s="21">
        <f t="shared" si="17"/>
        <v>7.8125000000000069E-3</v>
      </c>
      <c r="O48" s="22">
        <f>IF(ISNUMBER(M48), $B64 * N48, "")</f>
        <v>1171.8750000000011</v>
      </c>
      <c r="Q48" s="161"/>
      <c r="R48" s="161"/>
      <c r="S48" s="161"/>
    </row>
    <row r="49" spans="1:19" ht="17.25" customHeight="1" thickBot="1">
      <c r="A49" s="109" t="s">
        <v>206</v>
      </c>
      <c r="B49" s="113">
        <v>3.54</v>
      </c>
      <c r="C49" s="73">
        <v>8.5470084999999998E-3</v>
      </c>
      <c r="D49" s="96">
        <v>3.63</v>
      </c>
      <c r="E49" s="97">
        <f>IF(ISNUMBER(D49), (D49 - $B49) / $B49, "")</f>
        <v>2.5423728813559282E-2</v>
      </c>
      <c r="F49" s="98">
        <f>IF(ISNUMBER(D49), $B64 * E49, "")</f>
        <v>3813.5593220338924</v>
      </c>
      <c r="G49" s="99">
        <v>3.65</v>
      </c>
      <c r="H49" s="97">
        <f>IF(ISNUMBER(G49), (G49 - $B49) / $B49, "")</f>
        <v>3.1073446327683579E-2</v>
      </c>
      <c r="I49" s="100">
        <f>IF(ISNUMBER(G49), $B64 * H49, "")</f>
        <v>4661.0169491525367</v>
      </c>
      <c r="J49" s="96">
        <v>3.8</v>
      </c>
      <c r="K49" s="97">
        <f>IF(ISNUMBER(J49), (J49 - $B49) / $B49, "")</f>
        <v>7.3446327683615753E-2</v>
      </c>
      <c r="L49" s="98">
        <f>IF(ISNUMBER(J49), $B64 * K49, "")</f>
        <v>11016.949152542364</v>
      </c>
      <c r="M49" s="99">
        <v>3.66</v>
      </c>
      <c r="N49" s="97">
        <f>IF(ISNUMBER(M49), (M49 - $B49) / $B49, "")</f>
        <v>3.389830508474579E-2</v>
      </c>
      <c r="O49" s="98">
        <f>IF(ISNUMBER(M49), $B64 * N49, "")</f>
        <v>5084.7457627118683</v>
      </c>
      <c r="Q49" s="161"/>
      <c r="R49" s="161"/>
      <c r="S49" s="161"/>
    </row>
    <row r="50" spans="1:19" ht="17.25" customHeight="1" thickBot="1">
      <c r="A50" s="109" t="s">
        <v>195</v>
      </c>
      <c r="B50" s="110">
        <v>6.8</v>
      </c>
      <c r="C50" s="70">
        <v>7.4074073999999997E-3</v>
      </c>
      <c r="D50" s="15">
        <v>6.92</v>
      </c>
      <c r="E50" s="32">
        <f t="shared" ref="E50:E53" si="18">IF(ISNUMBER(D50), (D50 - $B50) / $B50, "")</f>
        <v>1.7647058823529429E-2</v>
      </c>
      <c r="F50" s="18">
        <f>IF(ISNUMBER(D50), $B64 * E50, "")</f>
        <v>2647.0588235294144</v>
      </c>
      <c r="G50" s="31">
        <v>6.94</v>
      </c>
      <c r="H50" s="32">
        <f t="shared" ref="H50:H53" si="19">IF(ISNUMBER(G50), (G50 - $B50) / $B50, "")</f>
        <v>2.058823529411773E-2</v>
      </c>
      <c r="I50" s="91">
        <f>IF(ISNUMBER(G50), $B64 * H50, "")</f>
        <v>3088.2352941176596</v>
      </c>
      <c r="J50" s="15">
        <v>6.99</v>
      </c>
      <c r="K50" s="32">
        <f t="shared" ref="K50:K53" si="20">IF(ISNUMBER(J50), (J50 - $B50) / $B50, "")</f>
        <v>2.7941176470588292E-2</v>
      </c>
      <c r="L50" s="18">
        <f>IF(ISNUMBER(J50), $B64 * K50, "")</f>
        <v>4191.1764705882442</v>
      </c>
      <c r="M50" s="31">
        <v>6.95</v>
      </c>
      <c r="N50" s="32">
        <f t="shared" ref="N50:N53" si="21">IF(ISNUMBER(M50), (M50 - $B50) / $B50, "")</f>
        <v>2.2058823529411818E-2</v>
      </c>
      <c r="O50" s="18">
        <f>IF(ISNUMBER(M50), $B64 * N50, "")</f>
        <v>3308.8235294117726</v>
      </c>
      <c r="Q50" s="161"/>
      <c r="R50" s="161"/>
      <c r="S50" s="161"/>
    </row>
    <row r="51" spans="1:19" ht="17.25" customHeight="1" thickBot="1">
      <c r="A51" s="109" t="s">
        <v>193</v>
      </c>
      <c r="B51" s="110">
        <v>20.2</v>
      </c>
      <c r="C51" s="70">
        <v>4.9751244000000002E-3</v>
      </c>
      <c r="D51" s="15">
        <v>20.2</v>
      </c>
      <c r="E51" s="32">
        <f t="shared" si="18"/>
        <v>0</v>
      </c>
      <c r="F51" s="18">
        <f>IF(ISNUMBER(D51), $B64 * E51, "")</f>
        <v>0</v>
      </c>
      <c r="G51" s="31">
        <v>20.100000000000001</v>
      </c>
      <c r="H51" s="32">
        <f t="shared" si="19"/>
        <v>-4.9504950495048447E-3</v>
      </c>
      <c r="I51" s="91">
        <f>IF(ISNUMBER(G51), $B64 * H51, "")</f>
        <v>-742.57425742572673</v>
      </c>
      <c r="J51" s="15">
        <v>20.2</v>
      </c>
      <c r="K51" s="32">
        <f t="shared" si="20"/>
        <v>0</v>
      </c>
      <c r="L51" s="18">
        <f>IF(ISNUMBER(J51), $B64 * K51, "")</f>
        <v>0</v>
      </c>
      <c r="M51" s="31">
        <v>20.2</v>
      </c>
      <c r="N51" s="32">
        <f t="shared" si="21"/>
        <v>0</v>
      </c>
      <c r="O51" s="18">
        <f>IF(ISNUMBER(M51), $B64 * N51, "")</f>
        <v>0</v>
      </c>
      <c r="Q51" s="161"/>
      <c r="R51" s="161"/>
      <c r="S51" s="161"/>
    </row>
    <row r="52" spans="1:19" ht="17.25" customHeight="1" thickBot="1">
      <c r="A52" s="109" t="s">
        <v>122</v>
      </c>
      <c r="B52" s="110">
        <v>25.9</v>
      </c>
      <c r="C52" s="70">
        <v>3.8759689999999999E-3</v>
      </c>
      <c r="D52" s="15">
        <v>26</v>
      </c>
      <c r="E52" s="32">
        <f t="shared" si="18"/>
        <v>3.8610038610039162E-3</v>
      </c>
      <c r="F52" s="18">
        <f>IF(ISNUMBER(D52), $B64 * E52, "")</f>
        <v>579.15057915058742</v>
      </c>
      <c r="G52" s="31">
        <v>26</v>
      </c>
      <c r="H52" s="32">
        <f t="shared" si="19"/>
        <v>3.8610038610039162E-3</v>
      </c>
      <c r="I52" s="91">
        <f>IF(ISNUMBER(G52), $B64 * H52, "")</f>
        <v>579.15057915058742</v>
      </c>
      <c r="J52" s="15">
        <v>26.2</v>
      </c>
      <c r="K52" s="32">
        <f t="shared" si="20"/>
        <v>1.1583011583011612E-2</v>
      </c>
      <c r="L52" s="18">
        <f>IF(ISNUMBER(J52), $B64 * K52, "")</f>
        <v>1737.4517374517418</v>
      </c>
      <c r="M52" s="31">
        <v>26.2</v>
      </c>
      <c r="N52" s="32">
        <f t="shared" si="21"/>
        <v>1.1583011583011612E-2</v>
      </c>
      <c r="O52" s="18">
        <f>IF(ISNUMBER(M52), $B64 * N52, "")</f>
        <v>1737.4517374517418</v>
      </c>
      <c r="Q52" s="33"/>
      <c r="R52" s="33"/>
    </row>
    <row r="53" spans="1:19" ht="17.25" customHeight="1" thickBot="1">
      <c r="A53" s="114" t="s">
        <v>118</v>
      </c>
      <c r="B53" s="115">
        <v>7.15</v>
      </c>
      <c r="C53" s="72">
        <v>1.4005602E-3</v>
      </c>
      <c r="D53" s="24">
        <v>7.19</v>
      </c>
      <c r="E53" s="25">
        <f t="shared" si="18"/>
        <v>5.5944055944055987E-3</v>
      </c>
      <c r="F53" s="94">
        <f>IF(ISNUMBER(D53), $B64 * E53, "")</f>
        <v>839.16083916083983</v>
      </c>
      <c r="G53" s="92">
        <v>7.3</v>
      </c>
      <c r="H53" s="25">
        <f t="shared" si="19"/>
        <v>2.0979020979020904E-2</v>
      </c>
      <c r="I53" s="93">
        <f>IF(ISNUMBER(G53), $B64 * H53, "")</f>
        <v>3146.8531468531355</v>
      </c>
      <c r="J53" s="24">
        <v>7.31</v>
      </c>
      <c r="K53" s="25">
        <f t="shared" si="20"/>
        <v>2.2377622377622274E-2</v>
      </c>
      <c r="L53" s="94">
        <f>IF(ISNUMBER(J53), $B64 * K53, "")</f>
        <v>3356.6433566433411</v>
      </c>
      <c r="M53" s="92">
        <v>7.23</v>
      </c>
      <c r="N53" s="25">
        <f t="shared" si="21"/>
        <v>1.1188811188811197E-2</v>
      </c>
      <c r="O53" s="94">
        <f>IF(ISNUMBER(M53), $B64 * N53, "")</f>
        <v>1678.3216783216797</v>
      </c>
      <c r="Q53" s="170"/>
      <c r="R53" s="171"/>
      <c r="S53" s="172"/>
    </row>
    <row r="54" spans="1:19" ht="17.25" customHeight="1">
      <c r="A54" s="107" t="s">
        <v>224</v>
      </c>
      <c r="B54" s="108">
        <v>22.3</v>
      </c>
      <c r="C54" s="69">
        <v>0</v>
      </c>
      <c r="D54" s="13">
        <v>22.2</v>
      </c>
      <c r="E54" s="14">
        <f>IF(ISNUMBER(D54), (D54 - $B54) / $B54, "")</f>
        <v>-4.4843049327354893E-3</v>
      </c>
      <c r="F54" s="16">
        <f>IF(ISNUMBER(D54), $B64 * E54, "")</f>
        <v>-672.64573991032341</v>
      </c>
      <c r="G54" s="29">
        <v>22.4</v>
      </c>
      <c r="H54" s="14">
        <f>IF(ISNUMBER(G54), (G54 - $B54) / $B54, "")</f>
        <v>4.4843049327353305E-3</v>
      </c>
      <c r="I54" s="90">
        <f>IF(ISNUMBER(G54), $B64 * H54, "")</f>
        <v>672.64573991029954</v>
      </c>
      <c r="J54" s="13">
        <v>22.4</v>
      </c>
      <c r="K54" s="14">
        <f>IF(ISNUMBER(J54), (J54 - $B54) / $B54, "")</f>
        <v>4.4843049327353305E-3</v>
      </c>
      <c r="L54" s="16">
        <f>IF(ISNUMBER(J54), $B64 * K54, "")</f>
        <v>672.64573991029954</v>
      </c>
      <c r="M54" s="29">
        <v>22.2</v>
      </c>
      <c r="N54" s="14">
        <f>IF(ISNUMBER(M54), (M54 - $B54) / $B54, "")</f>
        <v>-4.4843049327354893E-3</v>
      </c>
      <c r="O54" s="16">
        <f>IF(ISNUMBER(M54), $B64 * N54, "")</f>
        <v>-672.64573991032341</v>
      </c>
      <c r="Q54" s="173"/>
      <c r="R54" s="174"/>
      <c r="S54" s="175"/>
    </row>
    <row r="55" spans="1:19" ht="17.25" customHeight="1" thickBot="1">
      <c r="A55" s="109" t="s">
        <v>350</v>
      </c>
      <c r="B55" s="110">
        <v>8.51</v>
      </c>
      <c r="C55" s="70">
        <v>-3.5128806000000001E-3</v>
      </c>
      <c r="D55" s="15">
        <v>8.7200000000000006</v>
      </c>
      <c r="E55" s="32">
        <f t="shared" ref="E55:E58" si="22">IF(ISNUMBER(D55), (D55 - $B55) / $B55, "")</f>
        <v>2.4676850763807386E-2</v>
      </c>
      <c r="F55" s="18">
        <f>IF(ISNUMBER(D55), $B64 * E55, "")</f>
        <v>3701.5276145711077</v>
      </c>
      <c r="G55" s="31">
        <v>8.7100000000000009</v>
      </c>
      <c r="H55" s="32">
        <f t="shared" ref="H55:H58" si="23">IF(ISNUMBER(G55), (G55 - $B55) / $B55, "")</f>
        <v>2.350176263219754E-2</v>
      </c>
      <c r="I55" s="91">
        <f>IF(ISNUMBER(G55), $B64 * H55, "")</f>
        <v>3525.2643948296309</v>
      </c>
      <c r="J55" s="15">
        <v>8.61</v>
      </c>
      <c r="K55" s="32">
        <f t="shared" ref="K55:K58" si="24">IF(ISNUMBER(J55), (J55 - $B55) / $B55, "")</f>
        <v>1.1750881316098666E-2</v>
      </c>
      <c r="L55" s="18">
        <f>IF(ISNUMBER(J55), $B64 * K55, "")</f>
        <v>1762.6321974148</v>
      </c>
      <c r="M55" s="31">
        <v>8.6300000000000008</v>
      </c>
      <c r="N55" s="32">
        <f t="shared" ref="N55:N58" si="25">IF(ISNUMBER(M55), (M55 - $B55) / $B55, "")</f>
        <v>1.4101057579318566E-2</v>
      </c>
      <c r="O55" s="18">
        <f>IF(ISNUMBER(M55), $B64 * N55, "")</f>
        <v>2115.1586368977846</v>
      </c>
      <c r="Q55" s="176"/>
      <c r="R55" s="177"/>
      <c r="S55" s="178"/>
    </row>
    <row r="56" spans="1:19" ht="17.25" customHeight="1" thickBot="1">
      <c r="A56" s="109" t="s">
        <v>335</v>
      </c>
      <c r="B56" s="110">
        <v>3.9399999999999998E-2</v>
      </c>
      <c r="C56" s="70">
        <v>-5.0505050999999999E-3</v>
      </c>
      <c r="D56" s="15">
        <v>3.95E-2</v>
      </c>
      <c r="E56" s="32">
        <f t="shared" si="22"/>
        <v>2.5380710659899204E-3</v>
      </c>
      <c r="F56" s="18">
        <f>IF(ISNUMBER(D56), $B64 * E56, "")</f>
        <v>380.71065989848807</v>
      </c>
      <c r="G56" s="31">
        <v>3.9600000000000003E-2</v>
      </c>
      <c r="H56" s="32">
        <f t="shared" si="23"/>
        <v>5.0761421319798408E-3</v>
      </c>
      <c r="I56" s="91">
        <f>IF(ISNUMBER(G56), $B64 * H56, "")</f>
        <v>761.42131979697615</v>
      </c>
      <c r="J56" s="15">
        <v>3.9699999999999999E-2</v>
      </c>
      <c r="K56" s="32">
        <f t="shared" si="24"/>
        <v>7.6142131979695859E-3</v>
      </c>
      <c r="L56" s="18">
        <f>IF(ISNUMBER(J56), $B64 * K56, "")</f>
        <v>1142.1319796954378</v>
      </c>
      <c r="M56" s="31">
        <v>3.9699999999999999E-2</v>
      </c>
      <c r="N56" s="32">
        <f t="shared" si="25"/>
        <v>7.6142131979695859E-3</v>
      </c>
      <c r="O56" s="18">
        <f>IF(ISNUMBER(M56), $B64 * N56, "")</f>
        <v>1142.1319796954378</v>
      </c>
      <c r="Q56" s="161"/>
      <c r="R56" s="161"/>
      <c r="S56" s="161"/>
    </row>
    <row r="57" spans="1:19" ht="17.25" customHeight="1" thickBot="1">
      <c r="A57" s="109" t="s">
        <v>141</v>
      </c>
      <c r="B57" s="110">
        <v>3.51</v>
      </c>
      <c r="C57" s="70">
        <v>-5.6657223999999999E-3</v>
      </c>
      <c r="D57" s="15">
        <v>3.54</v>
      </c>
      <c r="E57" s="32">
        <f t="shared" si="22"/>
        <v>8.547008547008619E-3</v>
      </c>
      <c r="F57" s="18">
        <f>IF(ISNUMBER(D57), $B64 * E57, "")</f>
        <v>1282.0512820512929</v>
      </c>
      <c r="G57" s="31">
        <v>3.56</v>
      </c>
      <c r="H57" s="32">
        <f t="shared" si="23"/>
        <v>1.4245014245014322E-2</v>
      </c>
      <c r="I57" s="91">
        <f>IF(ISNUMBER(G57), $B64 * H57, "")</f>
        <v>2136.7521367521481</v>
      </c>
      <c r="J57" s="15">
        <v>3.58</v>
      </c>
      <c r="K57" s="32">
        <f t="shared" si="24"/>
        <v>1.9943019943020026E-2</v>
      </c>
      <c r="L57" s="18">
        <f>IF(ISNUMBER(J57), $B64 * K57, "")</f>
        <v>2991.452991453004</v>
      </c>
      <c r="M57" s="31">
        <v>3.58</v>
      </c>
      <c r="N57" s="32">
        <f t="shared" si="25"/>
        <v>1.9943019943020026E-2</v>
      </c>
      <c r="O57" s="18">
        <f>IF(ISNUMBER(M57), $B64 * N57, "")</f>
        <v>2991.452991453004</v>
      </c>
      <c r="Q57" s="156"/>
      <c r="R57" s="156"/>
      <c r="S57" s="156"/>
    </row>
    <row r="58" spans="1:19" ht="17.25" customHeight="1" thickBot="1">
      <c r="A58" s="111" t="s">
        <v>185</v>
      </c>
      <c r="B58" s="112">
        <v>33.799999999999997</v>
      </c>
      <c r="C58" s="71">
        <v>-5.8823529000000003E-3</v>
      </c>
      <c r="D58" s="20">
        <v>33.700000000000003</v>
      </c>
      <c r="E58" s="21">
        <f t="shared" si="22"/>
        <v>-2.9585798816566368E-3</v>
      </c>
      <c r="F58" s="22">
        <f>IF(ISNUMBER(D58), $B64 * E58, "")</f>
        <v>-443.78698224849552</v>
      </c>
      <c r="G58" s="30">
        <v>33.700000000000003</v>
      </c>
      <c r="H58" s="21">
        <f t="shared" si="23"/>
        <v>-2.9585798816566368E-3</v>
      </c>
      <c r="I58" s="95">
        <f>IF(ISNUMBER(G58), $B64 * H58, "")</f>
        <v>-443.78698224849552</v>
      </c>
      <c r="J58" s="20">
        <v>33.700000000000003</v>
      </c>
      <c r="K58" s="21">
        <f t="shared" si="24"/>
        <v>-2.9585798816566368E-3</v>
      </c>
      <c r="L58" s="22">
        <f>IF(ISNUMBER(J58), $B64 * K58, "")</f>
        <v>-443.78698224849552</v>
      </c>
      <c r="M58" s="30">
        <v>33.6</v>
      </c>
      <c r="N58" s="21">
        <f t="shared" si="25"/>
        <v>-5.9171597633134836E-3</v>
      </c>
      <c r="O58" s="22">
        <f>IF(ISNUMBER(M58), $B64 * N58, "")</f>
        <v>-887.57396449702253</v>
      </c>
      <c r="Q58" s="156"/>
      <c r="R58" s="156"/>
      <c r="S58" s="156"/>
    </row>
    <row r="59" spans="1:19" ht="17.25" customHeight="1" thickBot="1">
      <c r="A59" s="109" t="s">
        <v>126</v>
      </c>
      <c r="B59" s="113">
        <v>30.7</v>
      </c>
      <c r="C59" s="73">
        <v>-6.4724919000000002E-3</v>
      </c>
      <c r="D59" s="96">
        <v>30.9</v>
      </c>
      <c r="E59" s="97">
        <f>IF(ISNUMBER(D59), (D59 - $B59) / $B59, "")</f>
        <v>6.5146579804560029E-3</v>
      </c>
      <c r="F59" s="98">
        <f>IF(ISNUMBER(D59), $B64 * E59, "")</f>
        <v>977.19869706840041</v>
      </c>
      <c r="G59" s="99">
        <v>30.9</v>
      </c>
      <c r="H59" s="97">
        <f>IF(ISNUMBER(G59), (G59 - $B59) / $B59, "")</f>
        <v>6.5146579804560029E-3</v>
      </c>
      <c r="I59" s="100">
        <f>IF(ISNUMBER(G59), $B64 * H59, "")</f>
        <v>977.19869706840041</v>
      </c>
      <c r="J59" s="96">
        <v>30.8</v>
      </c>
      <c r="K59" s="97">
        <f>IF(ISNUMBER(J59), (J59 - $B59) / $B59, "")</f>
        <v>3.2573289902280596E-3</v>
      </c>
      <c r="L59" s="98">
        <f>IF(ISNUMBER(J59), $B64 * K59, "")</f>
        <v>488.59934853420896</v>
      </c>
      <c r="M59" s="99">
        <v>30.9</v>
      </c>
      <c r="N59" s="97">
        <f>IF(ISNUMBER(M59), (M59 - $B59) / $B59, "")</f>
        <v>6.5146579804560029E-3</v>
      </c>
      <c r="O59" s="98">
        <f>IF(ISNUMBER(M59), $B64 * N59, "")</f>
        <v>977.19869706840041</v>
      </c>
      <c r="Q59" s="161"/>
      <c r="R59" s="161"/>
      <c r="S59" s="161"/>
    </row>
    <row r="60" spans="1:19" ht="17.25" customHeight="1" thickBot="1">
      <c r="A60" s="109" t="s">
        <v>145</v>
      </c>
      <c r="B60" s="110">
        <v>72.900000000000006</v>
      </c>
      <c r="C60" s="70">
        <v>-6.8119890999999997E-3</v>
      </c>
      <c r="D60" s="15">
        <v>72.5</v>
      </c>
      <c r="E60" s="32">
        <f t="shared" ref="E60:E63" si="26">IF(ISNUMBER(D60), (D60 - $B60) / $B60, "")</f>
        <v>-5.4869684499314906E-3</v>
      </c>
      <c r="F60" s="18">
        <f>IF(ISNUMBER(D60), $B64 * E60, "")</f>
        <v>-823.04526748972353</v>
      </c>
      <c r="G60" s="31">
        <v>72.7</v>
      </c>
      <c r="H60" s="32">
        <f t="shared" ref="H60:H63" si="27">IF(ISNUMBER(G60), (G60 - $B60) / $B60, "")</f>
        <v>-2.7434842249657453E-3</v>
      </c>
      <c r="I60" s="91">
        <f>IF(ISNUMBER(G60), $B64 * H60, "")</f>
        <v>-411.52263374486176</v>
      </c>
      <c r="J60" s="15">
        <v>72.8</v>
      </c>
      <c r="K60" s="32">
        <f t="shared" ref="K60:K63" si="28">IF(ISNUMBER(J60), (J60 - $B60) / $B60, "")</f>
        <v>-1.37174211248297E-3</v>
      </c>
      <c r="L60" s="18">
        <f>IF(ISNUMBER(J60), $B64 * K60, "")</f>
        <v>-205.76131687244549</v>
      </c>
      <c r="M60" s="31">
        <v>72.8</v>
      </c>
      <c r="N60" s="32">
        <f t="shared" ref="N60:N63" si="29">IF(ISNUMBER(M60), (M60 - $B60) / $B60, "")</f>
        <v>-1.37174211248297E-3</v>
      </c>
      <c r="O60" s="18">
        <f>IF(ISNUMBER(M60), $B64 * N60, "")</f>
        <v>-205.76131687244549</v>
      </c>
      <c r="Q60" s="161"/>
      <c r="R60" s="161"/>
      <c r="S60" s="161"/>
    </row>
    <row r="61" spans="1:19" ht="17.25" customHeight="1" thickBot="1">
      <c r="A61" s="109" t="s">
        <v>326</v>
      </c>
      <c r="B61" s="110">
        <v>24.6</v>
      </c>
      <c r="C61" s="70">
        <v>-8.0645161000000003E-3</v>
      </c>
      <c r="D61" s="15">
        <v>24.7</v>
      </c>
      <c r="E61" s="32">
        <f t="shared" si="26"/>
        <v>4.0650406504064169E-3</v>
      </c>
      <c r="F61" s="18">
        <f>IF(ISNUMBER(D61), $B64 * E61, "")</f>
        <v>609.75609756096253</v>
      </c>
      <c r="G61" s="31">
        <v>24.7</v>
      </c>
      <c r="H61" s="32">
        <f t="shared" si="27"/>
        <v>4.0650406504064169E-3</v>
      </c>
      <c r="I61" s="91">
        <f>IF(ISNUMBER(G61), $B64 * H61, "")</f>
        <v>609.75609756096253</v>
      </c>
      <c r="J61" s="15">
        <v>24.6</v>
      </c>
      <c r="K61" s="32">
        <f t="shared" si="28"/>
        <v>0</v>
      </c>
      <c r="L61" s="18">
        <f>IF(ISNUMBER(J61), $B64 * K61, "")</f>
        <v>0</v>
      </c>
      <c r="M61" s="31">
        <v>24.7</v>
      </c>
      <c r="N61" s="32">
        <f t="shared" si="29"/>
        <v>4.0650406504064169E-3</v>
      </c>
      <c r="O61" s="18">
        <f>IF(ISNUMBER(M61), $B64 * N61, "")</f>
        <v>609.75609756096253</v>
      </c>
      <c r="Q61" s="161"/>
      <c r="R61" s="161"/>
      <c r="S61" s="161"/>
    </row>
    <row r="62" spans="1:19" ht="17.25" customHeight="1">
      <c r="A62" s="109" t="s">
        <v>64</v>
      </c>
      <c r="B62" s="110">
        <v>11.6</v>
      </c>
      <c r="C62" s="70">
        <v>-8.5470084999999998E-3</v>
      </c>
      <c r="D62" s="15">
        <v>11.7</v>
      </c>
      <c r="E62" s="32">
        <f t="shared" si="26"/>
        <v>8.6206896551723842E-3</v>
      </c>
      <c r="F62" s="18">
        <f>IF(ISNUMBER(D62), $B64 * E62, "")</f>
        <v>1293.1034482758575</v>
      </c>
      <c r="G62" s="31">
        <v>11.7</v>
      </c>
      <c r="H62" s="32">
        <f t="shared" si="27"/>
        <v>8.6206896551723842E-3</v>
      </c>
      <c r="I62" s="91">
        <f>IF(ISNUMBER(G62), $B64 * H62, "")</f>
        <v>1293.1034482758575</v>
      </c>
      <c r="J62" s="15">
        <v>11.7</v>
      </c>
      <c r="K62" s="32">
        <f t="shared" si="28"/>
        <v>8.6206896551723842E-3</v>
      </c>
      <c r="L62" s="18">
        <f>IF(ISNUMBER(J62), $B64 * K62, "")</f>
        <v>1293.1034482758575</v>
      </c>
      <c r="M62" s="31">
        <v>11.7</v>
      </c>
      <c r="N62" s="32">
        <f t="shared" si="29"/>
        <v>8.6206896551723842E-3</v>
      </c>
      <c r="O62" s="18">
        <f>IF(ISNUMBER(M62), $B64 * N62, "")</f>
        <v>1293.1034482758575</v>
      </c>
      <c r="Q62" s="183"/>
      <c r="R62" s="184"/>
      <c r="S62" s="185"/>
    </row>
    <row r="63" spans="1:19" ht="17.25" customHeight="1" thickBot="1">
      <c r="A63" s="114" t="s">
        <v>181</v>
      </c>
      <c r="B63" s="115">
        <v>4.55</v>
      </c>
      <c r="C63" s="72">
        <v>-8.7145968999999997E-3</v>
      </c>
      <c r="D63" s="24">
        <v>4.58</v>
      </c>
      <c r="E63" s="25">
        <f t="shared" si="26"/>
        <v>6.593406593406648E-3</v>
      </c>
      <c r="F63" s="94">
        <f>IF(ISNUMBER(D63), $B64 * E63, "")</f>
        <v>989.01098901099715</v>
      </c>
      <c r="G63" s="92">
        <v>4.5999999999999996</v>
      </c>
      <c r="H63" s="25">
        <f t="shared" si="27"/>
        <v>1.098901098901095E-2</v>
      </c>
      <c r="I63" s="93">
        <f>IF(ISNUMBER(G63), $B64 * H63, "")</f>
        <v>1648.3516483516426</v>
      </c>
      <c r="J63" s="24">
        <v>4.5999999999999996</v>
      </c>
      <c r="K63" s="25">
        <f t="shared" si="28"/>
        <v>1.098901098901095E-2</v>
      </c>
      <c r="L63" s="94">
        <f>IF(ISNUMBER(J63), $B64 * K63, "")</f>
        <v>1648.3516483516426</v>
      </c>
      <c r="M63" s="92">
        <v>4.5999999999999996</v>
      </c>
      <c r="N63" s="25">
        <f t="shared" si="29"/>
        <v>1.098901098901095E-2</v>
      </c>
      <c r="O63" s="94">
        <f>IF(ISNUMBER(M63), $B64 * N63, "")</f>
        <v>1648.3516483516426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1.1211153446306917E-2</v>
      </c>
      <c r="F64" s="28">
        <f>SUM(F44:F63)</f>
        <v>33633.460338920755</v>
      </c>
      <c r="G64" s="26" t="s">
        <v>261</v>
      </c>
      <c r="H64" s="27">
        <f>IF(COUNT(H44:H63), SUM(H44:H63) / COUNT(H44:H63), 0)</f>
        <v>1.7789397804412806E-2</v>
      </c>
      <c r="I64" s="28">
        <f>SUM(I44:I63)</f>
        <v>53368.193413238419</v>
      </c>
      <c r="J64" s="26" t="s">
        <v>261</v>
      </c>
      <c r="K64" s="27">
        <f>IF(COUNT(K44:K63), SUM(K44:K63) / COUNT(K44:K63), 0)</f>
        <v>1.72981315924601E-2</v>
      </c>
      <c r="L64" s="28">
        <f>SUM(L44:L63)</f>
        <v>51894.39477738033</v>
      </c>
      <c r="M64" s="26" t="s">
        <v>261</v>
      </c>
      <c r="N64" s="27">
        <f>IF(COUNT(N44:N63), SUM(N44:N63) / COUNT(N44:N63), 0)</f>
        <v>1.2263600579442153E-2</v>
      </c>
      <c r="O64" s="28">
        <f>SUM(O44:O63)</f>
        <v>36790.80173832646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2022-12-03(토) 오전 00:00</v>
      </c>
      <c r="C69" s="199"/>
      <c r="D69" s="158" t="str">
        <f>TEXT($G$1, "[$-ko-KR]yyyy-mm-dd(ddd) ") &amp; "오후 14:00"</f>
        <v>2022-12-03(토) 오후 14:00</v>
      </c>
      <c r="E69" s="159"/>
      <c r="F69" s="160"/>
      <c r="G69" s="158" t="str">
        <f>TEXT($G$1, "[$-ko-KR]yyyy-mm-dd(ddd) ") &amp; "오후 19:00"</f>
        <v>2022-12-03(토) 오후 19:00</v>
      </c>
      <c r="H69" s="159"/>
      <c r="I69" s="160"/>
      <c r="J69" s="158" t="str">
        <f>TEXT($G$1, "[$-ko-KR]yyyy-mm-dd(ddd) ") &amp; "오후 21:00"</f>
        <v>2022-12-03(토) 오후 21:00</v>
      </c>
      <c r="K69" s="159"/>
      <c r="L69" s="160"/>
      <c r="M69" s="158" t="str">
        <f>TEXT($G$1+1, "[$-ko-KR]yyyy-mm-dd(ddd) ") &amp; "오전 00:00"</f>
        <v>2022-12-04(일)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347</v>
      </c>
      <c r="B71" s="108">
        <v>907</v>
      </c>
      <c r="C71" s="69">
        <v>0.35171385989999998</v>
      </c>
      <c r="D71" s="13">
        <v>1155</v>
      </c>
      <c r="E71" s="14">
        <f>IF(ISNUMBER(D71), (D71 - $B71) / $B71, "")</f>
        <v>0.27342888643880925</v>
      </c>
      <c r="F71" s="16">
        <f>IF(ISNUMBER(D71), $B91 * E71, "")</f>
        <v>41014.332965821384</v>
      </c>
      <c r="G71" s="29">
        <v>1200</v>
      </c>
      <c r="H71" s="14">
        <f>IF(ISNUMBER(G71), (G71 - $B71) / $B71, "")</f>
        <v>0.32304299889746418</v>
      </c>
      <c r="I71" s="90">
        <f>IF(ISNUMBER(G71), $B91 * H71, "")</f>
        <v>48456.449834619627</v>
      </c>
      <c r="J71" s="13">
        <v>1135</v>
      </c>
      <c r="K71" s="14">
        <f>IF(ISNUMBER(J71), (J71 - $B71) / $B71, "")</f>
        <v>0.25137816979051819</v>
      </c>
      <c r="L71" s="16">
        <f>IF(ISNUMBER(J71), $B91 * K71, "")</f>
        <v>37706.72546857773</v>
      </c>
      <c r="M71" s="29">
        <v>1145</v>
      </c>
      <c r="N71" s="14">
        <f>IF(ISNUMBER(M71), (M71 - $B71) / $B71, "")</f>
        <v>0.26240352811466372</v>
      </c>
      <c r="O71" s="16">
        <f>IF(ISNUMBER(M71), $B91 * N71, "")</f>
        <v>39360.529217199561</v>
      </c>
      <c r="Q71" s="156"/>
      <c r="R71" s="156"/>
      <c r="S71" s="156"/>
    </row>
    <row r="72" spans="1:19" ht="17.25" thickBot="1">
      <c r="A72" s="109" t="s">
        <v>85</v>
      </c>
      <c r="B72" s="110">
        <v>228</v>
      </c>
      <c r="C72" s="70">
        <v>4.1095890400000001E-2</v>
      </c>
      <c r="D72" s="15">
        <v>223</v>
      </c>
      <c r="E72" s="32">
        <f t="shared" ref="E72:E75" si="30">IF(ISNUMBER(D72), (D72 - $B72) / $B72, "")</f>
        <v>-2.1929824561403508E-2</v>
      </c>
      <c r="F72" s="18">
        <f>IF(ISNUMBER(D72), $B91 * E72, "")</f>
        <v>-3289.4736842105262</v>
      </c>
      <c r="G72" s="31">
        <v>224</v>
      </c>
      <c r="H72" s="32">
        <f t="shared" ref="H72:H75" si="31">IF(ISNUMBER(G72), (G72 - $B72) / $B72, "")</f>
        <v>-1.7543859649122806E-2</v>
      </c>
      <c r="I72" s="91">
        <f>IF(ISNUMBER(G72), $B91 * H72, "")</f>
        <v>-2631.5789473684208</v>
      </c>
      <c r="J72" s="15">
        <v>227</v>
      </c>
      <c r="K72" s="32">
        <f t="shared" ref="K72:K75" si="32">IF(ISNUMBER(J72), (J72 - $B72) / $B72, "")</f>
        <v>-4.3859649122807015E-3</v>
      </c>
      <c r="L72" s="18">
        <f>IF(ISNUMBER(J72), $B91 * K72, "")</f>
        <v>-657.8947368421052</v>
      </c>
      <c r="M72" s="31">
        <v>225</v>
      </c>
      <c r="N72" s="32">
        <f t="shared" ref="N72:N75" si="33">IF(ISNUMBER(M72), (M72 - $B72) / $B72, "")</f>
        <v>-1.3157894736842105E-2</v>
      </c>
      <c r="O72" s="18">
        <f>IF(ISNUMBER(M72), $B91 * N72, "")</f>
        <v>-1973.6842105263156</v>
      </c>
      <c r="Q72" s="156"/>
      <c r="R72" s="156"/>
      <c r="S72" s="156"/>
    </row>
    <row r="73" spans="1:19" ht="17.25" thickBot="1">
      <c r="A73" s="109" t="s">
        <v>337</v>
      </c>
      <c r="B73" s="110">
        <v>343</v>
      </c>
      <c r="C73" s="70">
        <v>3.62537764E-2</v>
      </c>
      <c r="D73" s="15">
        <v>339</v>
      </c>
      <c r="E73" s="32">
        <f t="shared" si="30"/>
        <v>-1.1661807580174927E-2</v>
      </c>
      <c r="F73" s="18">
        <f>IF(ISNUMBER(D73), $B91 * E73, "")</f>
        <v>-1749.2711370262391</v>
      </c>
      <c r="G73" s="31">
        <v>340</v>
      </c>
      <c r="H73" s="32">
        <f t="shared" si="31"/>
        <v>-8.7463556851311956E-3</v>
      </c>
      <c r="I73" s="91">
        <f>IF(ISNUMBER(G73), $B91 * H73, "")</f>
        <v>-1311.9533527696794</v>
      </c>
      <c r="J73" s="15">
        <v>338</v>
      </c>
      <c r="K73" s="32">
        <f t="shared" si="32"/>
        <v>-1.4577259475218658E-2</v>
      </c>
      <c r="L73" s="18">
        <f>IF(ISNUMBER(J73), $B91 * K73, "")</f>
        <v>-2186.5889212827988</v>
      </c>
      <c r="M73" s="31">
        <v>342</v>
      </c>
      <c r="N73" s="32">
        <f t="shared" si="33"/>
        <v>-2.9154518950437317E-3</v>
      </c>
      <c r="O73" s="18">
        <f>IF(ISNUMBER(M73), $B91 * N73, "")</f>
        <v>-437.31778425655978</v>
      </c>
      <c r="Q73" s="161"/>
      <c r="R73" s="161"/>
      <c r="S73" s="161"/>
    </row>
    <row r="74" spans="1:19" ht="17.25" thickBot="1">
      <c r="A74" s="109" t="s">
        <v>60</v>
      </c>
      <c r="B74" s="110">
        <v>565</v>
      </c>
      <c r="C74" s="70">
        <v>3.10218978E-2</v>
      </c>
      <c r="D74" s="15">
        <v>556</v>
      </c>
      <c r="E74" s="32">
        <f t="shared" si="30"/>
        <v>-1.5929203539823009E-2</v>
      </c>
      <c r="F74" s="18">
        <f>IF(ISNUMBER(D74), $B91 * E74, "")</f>
        <v>-2389.3805309734512</v>
      </c>
      <c r="G74" s="31">
        <v>556</v>
      </c>
      <c r="H74" s="32">
        <f t="shared" si="31"/>
        <v>-1.5929203539823009E-2</v>
      </c>
      <c r="I74" s="91">
        <f>IF(ISNUMBER(G74), $B91 * H74, "")</f>
        <v>-2389.3805309734512</v>
      </c>
      <c r="J74" s="15">
        <v>559</v>
      </c>
      <c r="K74" s="32">
        <f t="shared" si="32"/>
        <v>-1.0619469026548672E-2</v>
      </c>
      <c r="L74" s="18">
        <f>IF(ISNUMBER(J74), $B91 * K74, "")</f>
        <v>-1592.9203539823009</v>
      </c>
      <c r="M74" s="31">
        <v>559</v>
      </c>
      <c r="N74" s="32">
        <f t="shared" si="33"/>
        <v>-1.0619469026548672E-2</v>
      </c>
      <c r="O74" s="18">
        <f>IF(ISNUMBER(M74), $B91 * N74, "")</f>
        <v>-1592.9203539823009</v>
      </c>
      <c r="Q74" s="161"/>
      <c r="R74" s="161"/>
      <c r="S74" s="161"/>
    </row>
    <row r="75" spans="1:19" ht="17.25" thickBot="1">
      <c r="A75" s="111" t="s">
        <v>111</v>
      </c>
      <c r="B75" s="112">
        <v>809</v>
      </c>
      <c r="C75" s="71">
        <v>3.0573248399999999E-2</v>
      </c>
      <c r="D75" s="20">
        <v>796</v>
      </c>
      <c r="E75" s="21">
        <f t="shared" si="30"/>
        <v>-1.6069221260815822E-2</v>
      </c>
      <c r="F75" s="22">
        <f>IF(ISNUMBER(D75), $B91 * E75, "")</f>
        <v>-2410.3831891223731</v>
      </c>
      <c r="G75" s="30">
        <v>796</v>
      </c>
      <c r="H75" s="21">
        <f t="shared" si="31"/>
        <v>-1.6069221260815822E-2</v>
      </c>
      <c r="I75" s="95">
        <f>IF(ISNUMBER(G75), $B91 * H75, "")</f>
        <v>-2410.3831891223731</v>
      </c>
      <c r="J75" s="20">
        <v>798</v>
      </c>
      <c r="K75" s="21">
        <f t="shared" si="32"/>
        <v>-1.3597033374536464E-2</v>
      </c>
      <c r="L75" s="22">
        <f>IF(ISNUMBER(J75), $B91 * K75, "")</f>
        <v>-2039.5550061804697</v>
      </c>
      <c r="M75" s="30">
        <v>796</v>
      </c>
      <c r="N75" s="21">
        <f t="shared" si="33"/>
        <v>-1.6069221260815822E-2</v>
      </c>
      <c r="O75" s="22">
        <f>IF(ISNUMBER(M75), $B91 * N75, "")</f>
        <v>-2410.3831891223731</v>
      </c>
      <c r="Q75" s="161"/>
      <c r="R75" s="161"/>
      <c r="S75" s="161"/>
    </row>
    <row r="76" spans="1:19" ht="17.25" thickBot="1">
      <c r="A76" s="109" t="s">
        <v>101</v>
      </c>
      <c r="B76" s="113">
        <v>254</v>
      </c>
      <c r="C76" s="73">
        <v>2.4193548400000001E-2</v>
      </c>
      <c r="D76" s="96">
        <v>251</v>
      </c>
      <c r="E76" s="97">
        <f>IF(ISNUMBER(D76), (D76 - $B76) / $B76, "")</f>
        <v>-1.1811023622047244E-2</v>
      </c>
      <c r="F76" s="98">
        <f>IF(ISNUMBER(D76), $B91 * E76, "")</f>
        <v>-1771.6535433070867</v>
      </c>
      <c r="G76" s="99">
        <v>251</v>
      </c>
      <c r="H76" s="97">
        <f>IF(ISNUMBER(G76), (G76 - $B76) / $B76, "")</f>
        <v>-1.1811023622047244E-2</v>
      </c>
      <c r="I76" s="100">
        <f>IF(ISNUMBER(G76), $B91 * H76, "")</f>
        <v>-1771.6535433070867</v>
      </c>
      <c r="J76" s="96">
        <v>251</v>
      </c>
      <c r="K76" s="97">
        <f>IF(ISNUMBER(J76), (J76 - $B76) / $B76, "")</f>
        <v>-1.1811023622047244E-2</v>
      </c>
      <c r="L76" s="98">
        <f>IF(ISNUMBER(J76), $B91 * K76, "")</f>
        <v>-1771.6535433070867</v>
      </c>
      <c r="M76" s="99">
        <v>252</v>
      </c>
      <c r="N76" s="97">
        <f>IF(ISNUMBER(M76), (M76 - $B76) / $B76, "")</f>
        <v>-7.874015748031496E-3</v>
      </c>
      <c r="O76" s="98">
        <f>IF(ISNUMBER(M76), $B91 * N76, "")</f>
        <v>-1181.1023622047244</v>
      </c>
      <c r="Q76" s="161"/>
      <c r="R76" s="161"/>
      <c r="S76" s="161"/>
    </row>
    <row r="77" spans="1:19" ht="17.25" thickBot="1">
      <c r="A77" s="109" t="s">
        <v>342</v>
      </c>
      <c r="B77" s="110">
        <v>140</v>
      </c>
      <c r="C77" s="70">
        <v>1.44927536E-2</v>
      </c>
      <c r="D77" s="15">
        <v>142</v>
      </c>
      <c r="E77" s="32">
        <f t="shared" ref="E77:E80" si="34">IF(ISNUMBER(D77), (D77 - $B77) / $B77, "")</f>
        <v>1.4285714285714285E-2</v>
      </c>
      <c r="F77" s="18">
        <f>IF(ISNUMBER(D77), $B91 * E77, "")</f>
        <v>2142.8571428571427</v>
      </c>
      <c r="G77" s="31">
        <v>142</v>
      </c>
      <c r="H77" s="32">
        <f t="shared" ref="H77:H80" si="35">IF(ISNUMBER(G77), (G77 - $B77) / $B77, "")</f>
        <v>1.4285714285714285E-2</v>
      </c>
      <c r="I77" s="91">
        <f>IF(ISNUMBER(G77), $B91 * H77, "")</f>
        <v>2142.8571428571427</v>
      </c>
      <c r="J77" s="15">
        <v>140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140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161"/>
      <c r="R77" s="161"/>
      <c r="S77" s="161"/>
    </row>
    <row r="78" spans="1:19" ht="17.25" thickBot="1">
      <c r="A78" s="109" t="s">
        <v>79</v>
      </c>
      <c r="B78" s="110">
        <v>315</v>
      </c>
      <c r="C78" s="70">
        <v>6.3897763999999999E-3</v>
      </c>
      <c r="D78" s="15">
        <v>314</v>
      </c>
      <c r="E78" s="32">
        <f t="shared" si="34"/>
        <v>-3.1746031746031746E-3</v>
      </c>
      <c r="F78" s="18">
        <f>IF(ISNUMBER(D78), $B91 * E78, "")</f>
        <v>-476.1904761904762</v>
      </c>
      <c r="G78" s="31">
        <v>314</v>
      </c>
      <c r="H78" s="32">
        <f t="shared" si="35"/>
        <v>-3.1746031746031746E-3</v>
      </c>
      <c r="I78" s="91">
        <f>IF(ISNUMBER(G78), $B91 * H78, "")</f>
        <v>-476.1904761904762</v>
      </c>
      <c r="J78" s="15">
        <v>316</v>
      </c>
      <c r="K78" s="32">
        <f t="shared" si="36"/>
        <v>3.1746031746031746E-3</v>
      </c>
      <c r="L78" s="18">
        <f>IF(ISNUMBER(J78), $B91 * K78, "")</f>
        <v>476.1904761904762</v>
      </c>
      <c r="M78" s="31">
        <v>315</v>
      </c>
      <c r="N78" s="32">
        <f t="shared" si="37"/>
        <v>0</v>
      </c>
      <c r="O78" s="18">
        <f>IF(ISNUMBER(M78), $B91 * N78, "")</f>
        <v>0</v>
      </c>
      <c r="Q78" s="161"/>
      <c r="R78" s="161"/>
      <c r="S78" s="161"/>
    </row>
    <row r="79" spans="1:19" ht="17.25" thickBot="1">
      <c r="A79" s="109" t="s">
        <v>149</v>
      </c>
      <c r="B79" s="110">
        <v>416</v>
      </c>
      <c r="C79" s="70">
        <v>2.4096386000000002E-3</v>
      </c>
      <c r="D79" s="15">
        <v>416</v>
      </c>
      <c r="E79" s="32">
        <f t="shared" si="34"/>
        <v>0</v>
      </c>
      <c r="F79" s="18">
        <f>IF(ISNUMBER(D79), $B91 * E79, "")</f>
        <v>0</v>
      </c>
      <c r="G79" s="31">
        <v>415</v>
      </c>
      <c r="H79" s="32">
        <f t="shared" si="35"/>
        <v>-2.403846153846154E-3</v>
      </c>
      <c r="I79" s="91">
        <f>IF(ISNUMBER(G79), $B91 * H79, "")</f>
        <v>-360.57692307692309</v>
      </c>
      <c r="J79" s="15">
        <v>417</v>
      </c>
      <c r="K79" s="32">
        <f t="shared" si="36"/>
        <v>2.403846153846154E-3</v>
      </c>
      <c r="L79" s="18">
        <f>IF(ISNUMBER(J79), $B91 * K79, "")</f>
        <v>360.57692307692309</v>
      </c>
      <c r="M79" s="31">
        <v>415</v>
      </c>
      <c r="N79" s="32">
        <f t="shared" si="37"/>
        <v>-2.403846153846154E-3</v>
      </c>
      <c r="O79" s="18">
        <f>IF(ISNUMBER(M79), $B91 * N79, "")</f>
        <v>-360.57692307692309</v>
      </c>
      <c r="Q79" s="33"/>
      <c r="R79" s="33"/>
    </row>
    <row r="80" spans="1:19" ht="17.25" thickBot="1">
      <c r="A80" s="114" t="s">
        <v>81</v>
      </c>
      <c r="B80" s="115">
        <v>426</v>
      </c>
      <c r="C80" s="72">
        <v>0</v>
      </c>
      <c r="D80" s="24">
        <v>427</v>
      </c>
      <c r="E80" s="25">
        <f t="shared" si="34"/>
        <v>2.3474178403755869E-3</v>
      </c>
      <c r="F80" s="94">
        <f>IF(ISNUMBER(D80), $B91 * E80, "")</f>
        <v>352.11267605633805</v>
      </c>
      <c r="G80" s="92">
        <v>435</v>
      </c>
      <c r="H80" s="25">
        <f t="shared" si="35"/>
        <v>2.1126760563380281E-2</v>
      </c>
      <c r="I80" s="93">
        <f>IF(ISNUMBER(G80), $B91 * H80, "")</f>
        <v>3169.0140845070423</v>
      </c>
      <c r="J80" s="24">
        <v>434</v>
      </c>
      <c r="K80" s="25">
        <f t="shared" si="36"/>
        <v>1.8779342723004695E-2</v>
      </c>
      <c r="L80" s="94">
        <f>IF(ISNUMBER(J80), $B91 * K80, "")</f>
        <v>2816.9014084507044</v>
      </c>
      <c r="M80" s="92">
        <v>438</v>
      </c>
      <c r="N80" s="25">
        <f t="shared" si="37"/>
        <v>2.8169014084507043E-2</v>
      </c>
      <c r="O80" s="94">
        <f>IF(ISNUMBER(M80), $B91 * N80, "")</f>
        <v>4225.3521126760561</v>
      </c>
      <c r="Q80" s="170"/>
      <c r="R80" s="171"/>
      <c r="S80" s="172"/>
    </row>
    <row r="81" spans="1:19">
      <c r="A81" s="107" t="s">
        <v>232</v>
      </c>
      <c r="B81" s="108">
        <v>303</v>
      </c>
      <c r="C81" s="69">
        <v>0</v>
      </c>
      <c r="D81" s="13">
        <v>303</v>
      </c>
      <c r="E81" s="14">
        <f>IF(ISNUMBER(D81), (D81 - $B81) / $B81, "")</f>
        <v>0</v>
      </c>
      <c r="F81" s="16">
        <f>IF(ISNUMBER(D81), $B91 * E81, "")</f>
        <v>0</v>
      </c>
      <c r="G81" s="29">
        <v>304</v>
      </c>
      <c r="H81" s="14">
        <f>IF(ISNUMBER(G81), (G81 - $B81) / $B81, "")</f>
        <v>3.3003300330033004E-3</v>
      </c>
      <c r="I81" s="90">
        <f>IF(ISNUMBER(G81), $B91 * H81, "")</f>
        <v>495.04950495049508</v>
      </c>
      <c r="J81" s="13">
        <v>304</v>
      </c>
      <c r="K81" s="14">
        <f>IF(ISNUMBER(J81), (J81 - $B81) / $B81, "")</f>
        <v>3.3003300330033004E-3</v>
      </c>
      <c r="L81" s="16">
        <f>IF(ISNUMBER(J81), $B91 * K81, "")</f>
        <v>495.04950495049508</v>
      </c>
      <c r="M81" s="29">
        <v>302</v>
      </c>
      <c r="N81" s="14">
        <f>IF(ISNUMBER(M81), (M81 - $B81) / $B81, "")</f>
        <v>-3.3003300330033004E-3</v>
      </c>
      <c r="O81" s="16">
        <f>IF(ISNUMBER(M81), $B91 * N81, "")</f>
        <v>-495.04950495049508</v>
      </c>
      <c r="Q81" s="173"/>
      <c r="R81" s="174"/>
      <c r="S81" s="175"/>
    </row>
    <row r="82" spans="1:19" ht="17.25" thickBot="1">
      <c r="A82" s="109" t="s">
        <v>332</v>
      </c>
      <c r="B82" s="110">
        <v>327</v>
      </c>
      <c r="C82" s="70">
        <v>0</v>
      </c>
      <c r="D82" s="15">
        <v>323</v>
      </c>
      <c r="E82" s="32">
        <f t="shared" ref="E82:E85" si="38">IF(ISNUMBER(D82), (D82 - $B82) / $B82, "")</f>
        <v>-1.2232415902140673E-2</v>
      </c>
      <c r="F82" s="18">
        <f>IF(ISNUMBER(D82), $B91 * E82, "")</f>
        <v>-1834.8623853211009</v>
      </c>
      <c r="G82" s="31">
        <v>323</v>
      </c>
      <c r="H82" s="32">
        <f t="shared" ref="H82:H85" si="39">IF(ISNUMBER(G82), (G82 - $B82) / $B82, "")</f>
        <v>-1.2232415902140673E-2</v>
      </c>
      <c r="I82" s="91">
        <f>IF(ISNUMBER(G82), $B91 * H82, "")</f>
        <v>-1834.8623853211009</v>
      </c>
      <c r="J82" s="15">
        <v>324</v>
      </c>
      <c r="K82" s="32">
        <f t="shared" ref="K82:K85" si="40">IF(ISNUMBER(J82), (J82 - $B82) / $B82, "")</f>
        <v>-9.1743119266055051E-3</v>
      </c>
      <c r="L82" s="18">
        <f>IF(ISNUMBER(J82), $B91 * K82, "")</f>
        <v>-1376.1467889908258</v>
      </c>
      <c r="M82" s="31">
        <v>324</v>
      </c>
      <c r="N82" s="32">
        <f t="shared" ref="N82:N85" si="41">IF(ISNUMBER(M82), (M82 - $B82) / $B82, "")</f>
        <v>-9.1743119266055051E-3</v>
      </c>
      <c r="O82" s="18">
        <f>IF(ISNUMBER(M82), $B91 * N82, "")</f>
        <v>-1376.1467889908258</v>
      </c>
      <c r="Q82" s="176"/>
      <c r="R82" s="177"/>
      <c r="S82" s="178"/>
    </row>
    <row r="83" spans="1:19" ht="17.25" thickBot="1">
      <c r="A83" s="109" t="s">
        <v>159</v>
      </c>
      <c r="B83" s="110">
        <v>209</v>
      </c>
      <c r="C83" s="70">
        <v>-4.7619048000000002E-3</v>
      </c>
      <c r="D83" s="15">
        <v>211</v>
      </c>
      <c r="E83" s="32">
        <f t="shared" si="38"/>
        <v>9.5693779904306216E-3</v>
      </c>
      <c r="F83" s="18">
        <f>IF(ISNUMBER(D83), $B91 * E83, "")</f>
        <v>1435.4066985645932</v>
      </c>
      <c r="G83" s="31">
        <v>212</v>
      </c>
      <c r="H83" s="32">
        <f t="shared" si="39"/>
        <v>1.4354066985645933E-2</v>
      </c>
      <c r="I83" s="91">
        <f>IF(ISNUMBER(G83), $B91 * H83, "")</f>
        <v>2153.1100478468902</v>
      </c>
      <c r="J83" s="15">
        <v>211</v>
      </c>
      <c r="K83" s="32">
        <f t="shared" si="40"/>
        <v>9.5693779904306216E-3</v>
      </c>
      <c r="L83" s="18">
        <f>IF(ISNUMBER(J83), $B91 * K83, "")</f>
        <v>1435.4066985645932</v>
      </c>
      <c r="M83" s="31">
        <v>210</v>
      </c>
      <c r="N83" s="32">
        <f t="shared" si="41"/>
        <v>4.7846889952153108E-3</v>
      </c>
      <c r="O83" s="18">
        <f>IF(ISNUMBER(M83), $B91 * N83, "")</f>
        <v>717.70334928229659</v>
      </c>
      <c r="Q83" s="161"/>
      <c r="R83" s="161"/>
      <c r="S83" s="161"/>
    </row>
    <row r="84" spans="1:19" ht="17.25" thickBot="1">
      <c r="A84" s="109" t="s">
        <v>187</v>
      </c>
      <c r="B84" s="110">
        <v>775</v>
      </c>
      <c r="C84" s="70">
        <v>-5.1347881999999996E-3</v>
      </c>
      <c r="D84" s="15">
        <v>778</v>
      </c>
      <c r="E84" s="32">
        <f t="shared" si="38"/>
        <v>3.8709677419354839E-3</v>
      </c>
      <c r="F84" s="18">
        <f>IF(ISNUMBER(D84), $B91 * E84, "")</f>
        <v>580.64516129032256</v>
      </c>
      <c r="G84" s="31">
        <v>772</v>
      </c>
      <c r="H84" s="32">
        <f t="shared" si="39"/>
        <v>-3.8709677419354839E-3</v>
      </c>
      <c r="I84" s="91">
        <f>IF(ISNUMBER(G84), $B91 * H84, "")</f>
        <v>-580.64516129032256</v>
      </c>
      <c r="J84" s="15">
        <v>779</v>
      </c>
      <c r="K84" s="32">
        <f t="shared" si="40"/>
        <v>5.1612903225806452E-3</v>
      </c>
      <c r="L84" s="18">
        <f>IF(ISNUMBER(J84), $B91 * K84, "")</f>
        <v>774.19354838709683</v>
      </c>
      <c r="M84" s="31">
        <v>777</v>
      </c>
      <c r="N84" s="32">
        <f t="shared" si="41"/>
        <v>2.5806451612903226E-3</v>
      </c>
      <c r="O84" s="18">
        <f>IF(ISNUMBER(M84), $B91 * N84, "")</f>
        <v>387.09677419354841</v>
      </c>
      <c r="Q84" s="156"/>
      <c r="R84" s="156"/>
      <c r="S84" s="156"/>
    </row>
    <row r="85" spans="1:19" ht="17.25" thickBot="1">
      <c r="A85" s="111" t="s">
        <v>51</v>
      </c>
      <c r="B85" s="112">
        <v>118</v>
      </c>
      <c r="C85" s="71">
        <v>-8.4033613000000004E-3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118</v>
      </c>
      <c r="H85" s="21">
        <f t="shared" si="39"/>
        <v>0</v>
      </c>
      <c r="I85" s="95">
        <f>IF(ISNUMBER(G85), $B91 * H85, "")</f>
        <v>0</v>
      </c>
      <c r="J85" s="20">
        <v>117</v>
      </c>
      <c r="K85" s="21">
        <f t="shared" si="40"/>
        <v>-8.4745762711864406E-3</v>
      </c>
      <c r="L85" s="22">
        <f>IF(ISNUMBER(J85), $B91 * K85, "")</f>
        <v>-1271.1864406779662</v>
      </c>
      <c r="M85" s="30">
        <v>119</v>
      </c>
      <c r="N85" s="21">
        <f t="shared" si="41"/>
        <v>8.4745762711864406E-3</v>
      </c>
      <c r="O85" s="22">
        <f>IF(ISNUMBER(M85), $B91 * N85, "")</f>
        <v>1271.1864406779662</v>
      </c>
      <c r="Q85" s="156"/>
      <c r="R85" s="156"/>
      <c r="S85" s="156"/>
    </row>
    <row r="86" spans="1:19" ht="17.25" thickBot="1">
      <c r="A86" s="109" t="s">
        <v>238</v>
      </c>
      <c r="B86" s="113">
        <v>651</v>
      </c>
      <c r="C86" s="73">
        <v>-9.1324201000000001E-3</v>
      </c>
      <c r="D86" s="96">
        <v>648</v>
      </c>
      <c r="E86" s="97">
        <f>IF(ISNUMBER(D86), (D86 - $B86) / $B86, "")</f>
        <v>-4.608294930875576E-3</v>
      </c>
      <c r="F86" s="98">
        <f>IF(ISNUMBER(D86), $B91 * E86, "")</f>
        <v>-691.24423963133643</v>
      </c>
      <c r="G86" s="99">
        <v>649</v>
      </c>
      <c r="H86" s="97">
        <f>IF(ISNUMBER(G86), (G86 - $B86) / $B86, "")</f>
        <v>-3.0721966205837174E-3</v>
      </c>
      <c r="I86" s="100">
        <f>IF(ISNUMBER(G86), $B91 * H86, "")</f>
        <v>-460.82949308755758</v>
      </c>
      <c r="J86" s="96">
        <v>651</v>
      </c>
      <c r="K86" s="97">
        <f>IF(ISNUMBER(J86), (J86 - $B86) / $B86, "")</f>
        <v>0</v>
      </c>
      <c r="L86" s="98">
        <f>IF(ISNUMBER(J86), $B91 * K86, "")</f>
        <v>0</v>
      </c>
      <c r="M86" s="99">
        <v>652</v>
      </c>
      <c r="N86" s="97">
        <f>IF(ISNUMBER(M86), (M86 - $B86) / $B86, "")</f>
        <v>1.5360983102918587E-3</v>
      </c>
      <c r="O86" s="98">
        <f>IF(ISNUMBER(M86), $B91 * N86, "")</f>
        <v>230.41474654377879</v>
      </c>
      <c r="Q86" s="161"/>
      <c r="R86" s="161"/>
      <c r="S86" s="161"/>
    </row>
    <row r="87" spans="1:19" ht="17.25" thickBot="1">
      <c r="A87" s="109" t="s">
        <v>169</v>
      </c>
      <c r="B87" s="110">
        <v>285</v>
      </c>
      <c r="C87" s="70">
        <v>-1.04166667E-2</v>
      </c>
      <c r="D87" s="15">
        <v>287</v>
      </c>
      <c r="E87" s="32">
        <f t="shared" ref="E87:E90" si="42">IF(ISNUMBER(D87), (D87 - $B87) / $B87, "")</f>
        <v>7.0175438596491229E-3</v>
      </c>
      <c r="F87" s="18">
        <f>IF(ISNUMBER(D87), $B91 * E87, "")</f>
        <v>1052.6315789473686</v>
      </c>
      <c r="G87" s="31">
        <v>288</v>
      </c>
      <c r="H87" s="32">
        <f t="shared" ref="H87:H90" si="43">IF(ISNUMBER(G87), (G87 - $B87) / $B87, "")</f>
        <v>1.0526315789473684E-2</v>
      </c>
      <c r="I87" s="91">
        <f>IF(ISNUMBER(G87), $B91 * H87, "")</f>
        <v>1578.9473684210525</v>
      </c>
      <c r="J87" s="15">
        <v>289</v>
      </c>
      <c r="K87" s="32">
        <f t="shared" ref="K87:K90" si="44">IF(ISNUMBER(J87), (J87 - $B87) / $B87, "")</f>
        <v>1.4035087719298246E-2</v>
      </c>
      <c r="L87" s="18">
        <f>IF(ISNUMBER(J87), $B91 * K87, "")</f>
        <v>2105.2631578947371</v>
      </c>
      <c r="M87" s="31">
        <v>288</v>
      </c>
      <c r="N87" s="32">
        <f t="shared" ref="N87:N90" si="45">IF(ISNUMBER(M87), (M87 - $B87) / $B87, "")</f>
        <v>1.0526315789473684E-2</v>
      </c>
      <c r="O87" s="18">
        <f>IF(ISNUMBER(M87), $B91 * N87, "")</f>
        <v>1578.9473684210525</v>
      </c>
      <c r="Q87" s="161"/>
      <c r="R87" s="161"/>
      <c r="S87" s="161"/>
    </row>
    <row r="88" spans="1:19" ht="17.25" thickBot="1">
      <c r="A88" s="109" t="s">
        <v>204</v>
      </c>
      <c r="B88" s="110">
        <v>277</v>
      </c>
      <c r="C88" s="70">
        <v>-1.0714285699999999E-2</v>
      </c>
      <c r="D88" s="15">
        <v>279</v>
      </c>
      <c r="E88" s="32">
        <f t="shared" si="42"/>
        <v>7.2202166064981952E-3</v>
      </c>
      <c r="F88" s="18">
        <f>IF(ISNUMBER(D88), $B91 * E88, "")</f>
        <v>1083.0324909747292</v>
      </c>
      <c r="G88" s="31">
        <v>278</v>
      </c>
      <c r="H88" s="32">
        <f t="shared" si="43"/>
        <v>3.6101083032490976E-3</v>
      </c>
      <c r="I88" s="91">
        <f>IF(ISNUMBER(G88), $B91 * H88, "")</f>
        <v>541.51624548736459</v>
      </c>
      <c r="J88" s="15">
        <v>278</v>
      </c>
      <c r="K88" s="32">
        <f t="shared" si="44"/>
        <v>3.6101083032490976E-3</v>
      </c>
      <c r="L88" s="18">
        <f>IF(ISNUMBER(J88), $B91 * K88, "")</f>
        <v>541.51624548736459</v>
      </c>
      <c r="M88" s="31">
        <v>276</v>
      </c>
      <c r="N88" s="32">
        <f t="shared" si="45"/>
        <v>-3.6101083032490976E-3</v>
      </c>
      <c r="O88" s="18">
        <f>IF(ISNUMBER(M88), $B91 * N88, "")</f>
        <v>-541.51624548736459</v>
      </c>
      <c r="Q88" s="161"/>
      <c r="R88" s="161"/>
      <c r="S88" s="161"/>
    </row>
    <row r="89" spans="1:19">
      <c r="A89" s="109" t="s">
        <v>176</v>
      </c>
      <c r="B89" s="110">
        <v>349</v>
      </c>
      <c r="C89" s="70">
        <v>-1.13314448E-2</v>
      </c>
      <c r="D89" s="15">
        <v>347</v>
      </c>
      <c r="E89" s="32">
        <f t="shared" si="42"/>
        <v>-5.7306590257879654E-3</v>
      </c>
      <c r="F89" s="18">
        <f>IF(ISNUMBER(D89), $B91 * E89, "")</f>
        <v>-859.59885386819485</v>
      </c>
      <c r="G89" s="31">
        <v>348</v>
      </c>
      <c r="H89" s="32">
        <f t="shared" si="43"/>
        <v>-2.8653295128939827E-3</v>
      </c>
      <c r="I89" s="91">
        <f>IF(ISNUMBER(G89), $B91 * H89, "")</f>
        <v>-429.79942693409743</v>
      </c>
      <c r="J89" s="15">
        <v>347</v>
      </c>
      <c r="K89" s="32">
        <f t="shared" si="44"/>
        <v>-5.7306590257879654E-3</v>
      </c>
      <c r="L89" s="18">
        <f>IF(ISNUMBER(J89), $B91 * K89, "")</f>
        <v>-859.59885386819485</v>
      </c>
      <c r="M89" s="31">
        <v>350</v>
      </c>
      <c r="N89" s="32">
        <f t="shared" si="45"/>
        <v>2.8653295128939827E-3</v>
      </c>
      <c r="O89" s="18">
        <f>IF(ISNUMBER(M89), $B91 * N89, "")</f>
        <v>429.79942693409743</v>
      </c>
      <c r="Q89" s="183"/>
      <c r="R89" s="184"/>
      <c r="S89" s="185"/>
    </row>
    <row r="90" spans="1:19" ht="17.25" thickBot="1">
      <c r="A90" s="114" t="s">
        <v>161</v>
      </c>
      <c r="B90" s="115">
        <v>332</v>
      </c>
      <c r="C90" s="72">
        <v>-1.19047619E-2</v>
      </c>
      <c r="D90" s="24">
        <v>339</v>
      </c>
      <c r="E90" s="25">
        <f t="shared" si="42"/>
        <v>2.1084337349397589E-2</v>
      </c>
      <c r="F90" s="94">
        <f>IF(ISNUMBER(D90), $B91 * E90, "")</f>
        <v>3162.6506024096384</v>
      </c>
      <c r="G90" s="92">
        <v>338</v>
      </c>
      <c r="H90" s="25">
        <f t="shared" si="43"/>
        <v>1.8072289156626505E-2</v>
      </c>
      <c r="I90" s="93">
        <f>IF(ISNUMBER(G90), $B91 * H90, "")</f>
        <v>2710.8433734939758</v>
      </c>
      <c r="J90" s="24">
        <v>341</v>
      </c>
      <c r="K90" s="25">
        <f t="shared" si="44"/>
        <v>2.710843373493976E-2</v>
      </c>
      <c r="L90" s="94">
        <f>IF(ISNUMBER(J90), $B91 * K90, "")</f>
        <v>4066.265060240964</v>
      </c>
      <c r="M90" s="92">
        <v>334</v>
      </c>
      <c r="N90" s="25">
        <f t="shared" si="45"/>
        <v>6.024096385542169E-3</v>
      </c>
      <c r="O90" s="94">
        <f>IF(ISNUMBER(M90), $B91 * N90, "")</f>
        <v>903.61445783132535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1.1783870425756909E-2</v>
      </c>
      <c r="F91" s="28">
        <f>SUM(F71:F90)</f>
        <v>35351.611277270735</v>
      </c>
      <c r="G91" s="26" t="s">
        <v>261</v>
      </c>
      <c r="H91" s="27">
        <f>IF(COUNT(H71:H90), SUM(H71:H90) / COUNT(H71:H90), 0)</f>
        <v>1.5529978057580699E-2</v>
      </c>
      <c r="I91" s="28">
        <f>SUM(I71:I90)</f>
        <v>46589.934172742098</v>
      </c>
      <c r="J91" s="26" t="s">
        <v>261</v>
      </c>
      <c r="K91" s="27">
        <f>IF(COUNT(K71:K90), SUM(K71:K90) / COUNT(K71:K90), 0)</f>
        <v>1.3007514615563109E-2</v>
      </c>
      <c r="L91" s="28">
        <f>SUM(L71:L90)</f>
        <v>39022.543846689354</v>
      </c>
      <c r="M91" s="26" t="s">
        <v>261</v>
      </c>
      <c r="N91" s="27">
        <f>IF(COUNT(N71:N90), SUM(N71:N90) / COUNT(N71:N90), 0)</f>
        <v>1.2911982177053935E-2</v>
      </c>
      <c r="O91" s="28">
        <f>SUM(O71:O90)</f>
        <v>38735.946531161804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2022-12-03(토) 오전 00:00</v>
      </c>
      <c r="C96" s="199"/>
      <c r="D96" s="158" t="str">
        <f>TEXT($G$1, "[$-ko-KR]yyyy-mm-dd(ddd) ") &amp; "오후 14:00"</f>
        <v>2022-12-03(토) 오후 14:00</v>
      </c>
      <c r="E96" s="159"/>
      <c r="F96" s="160"/>
      <c r="G96" s="158" t="str">
        <f>TEXT($G$1, "[$-ko-KR]yyyy-mm-dd(ddd) ") &amp; "오후 19:00"</f>
        <v>2022-12-03(토) 오후 19:00</v>
      </c>
      <c r="H96" s="159"/>
      <c r="I96" s="160"/>
      <c r="J96" s="158" t="str">
        <f>TEXT($G$1, "[$-ko-KR]yyyy-mm-dd(ddd) ") &amp; "오후 21:00"</f>
        <v>2022-12-03(토) 오후 21:00</v>
      </c>
      <c r="K96" s="159"/>
      <c r="L96" s="160"/>
      <c r="M96" s="158" t="str">
        <f>TEXT($G$1+1, "[$-ko-KR]yyyy-mm-dd(ddd) ") &amp; "오전 00:00"</f>
        <v>2022-12-04(일)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347</v>
      </c>
      <c r="B98" s="108">
        <v>907</v>
      </c>
      <c r="C98" s="69">
        <v>0.35171385989999998</v>
      </c>
      <c r="D98" s="13">
        <v>1155</v>
      </c>
      <c r="E98" s="14">
        <f>IF(ISNUMBER(D98), (D98 - $B98) / $B98, "")</f>
        <v>0.27342888643880925</v>
      </c>
      <c r="F98" s="16">
        <f>IF(ISNUMBER(D98), $B118 * E98, "")</f>
        <v>41014.332965821384</v>
      </c>
      <c r="G98" s="29">
        <v>1200</v>
      </c>
      <c r="H98" s="14">
        <f>IF(ISNUMBER(G98), (G98 - $B98) / $B98, "")</f>
        <v>0.32304299889746418</v>
      </c>
      <c r="I98" s="90">
        <f>IF(ISNUMBER(G98), $B118 * H98, "")</f>
        <v>48456.449834619627</v>
      </c>
      <c r="J98" s="13">
        <v>1135</v>
      </c>
      <c r="K98" s="14">
        <f>IF(ISNUMBER(J98), (J98 - $B98) / $B98, "")</f>
        <v>0.25137816979051819</v>
      </c>
      <c r="L98" s="16">
        <f>IF(ISNUMBER(J98), $B118 * K98, "")</f>
        <v>37706.72546857773</v>
      </c>
      <c r="M98" s="29">
        <v>1145</v>
      </c>
      <c r="N98" s="14">
        <f>IF(ISNUMBER(M98), (M98 - $B98) / $B98, "")</f>
        <v>0.26240352811466372</v>
      </c>
      <c r="O98" s="16">
        <f>IF(ISNUMBER(M98), $B118 * N98, "")</f>
        <v>39360.529217199561</v>
      </c>
      <c r="Q98" s="156"/>
      <c r="R98" s="156"/>
      <c r="S98" s="156"/>
    </row>
    <row r="99" spans="1:19" ht="17.25" thickBot="1">
      <c r="A99" s="109" t="s">
        <v>198</v>
      </c>
      <c r="B99" s="110">
        <v>8.65</v>
      </c>
      <c r="C99" s="70">
        <v>0.12924281979999999</v>
      </c>
      <c r="D99" s="15">
        <v>9.39</v>
      </c>
      <c r="E99" s="32">
        <f t="shared" ref="E99:E102" si="46">IF(ISNUMBER(D99), (D99 - $B99) / $B99, "")</f>
        <v>8.5549132947976905E-2</v>
      </c>
      <c r="F99" s="18">
        <f>IF(ISNUMBER(D99), $B118 * E99, "")</f>
        <v>12832.369942196536</v>
      </c>
      <c r="G99" s="31">
        <v>9.7899999999999991</v>
      </c>
      <c r="H99" s="32">
        <f t="shared" ref="H99:H102" si="47">IF(ISNUMBER(G99), (G99 - $B99) / $B99, "")</f>
        <v>0.13179190751445072</v>
      </c>
      <c r="I99" s="91">
        <f>IF(ISNUMBER(G99), $B118 * H99, "")</f>
        <v>19768.786127167608</v>
      </c>
      <c r="J99" s="15">
        <v>9.5</v>
      </c>
      <c r="K99" s="32">
        <f t="shared" ref="K99:K102" si="48">IF(ISNUMBER(J99), (J99 - $B99) / $B99, "")</f>
        <v>9.8265895953757176E-2</v>
      </c>
      <c r="L99" s="18">
        <f>IF(ISNUMBER(J99), $B118 * K99, "")</f>
        <v>14739.884393063576</v>
      </c>
      <c r="M99" s="31">
        <v>9.2799999999999994</v>
      </c>
      <c r="N99" s="32">
        <f t="shared" ref="N99:N102" si="49">IF(ISNUMBER(M99), (M99 - $B99) / $B99, "")</f>
        <v>7.2832369942196412E-2</v>
      </c>
      <c r="O99" s="18">
        <f>IF(ISNUMBER(M99), $B118 * N99, "")</f>
        <v>10924.855491329461</v>
      </c>
      <c r="Q99" s="156"/>
      <c r="R99" s="156"/>
      <c r="S99" s="156"/>
    </row>
    <row r="100" spans="1:19" ht="17.25" thickBot="1">
      <c r="A100" s="109" t="s">
        <v>85</v>
      </c>
      <c r="B100" s="110">
        <v>228</v>
      </c>
      <c r="C100" s="70">
        <v>4.1095890400000001E-2</v>
      </c>
      <c r="D100" s="15">
        <v>223</v>
      </c>
      <c r="E100" s="32">
        <f t="shared" si="46"/>
        <v>-2.1929824561403508E-2</v>
      </c>
      <c r="F100" s="18">
        <f>IF(ISNUMBER(D100), $B118 * E100, "")</f>
        <v>-3289.4736842105262</v>
      </c>
      <c r="G100" s="31">
        <v>224</v>
      </c>
      <c r="H100" s="32">
        <f t="shared" si="47"/>
        <v>-1.7543859649122806E-2</v>
      </c>
      <c r="I100" s="91">
        <f>IF(ISNUMBER(G100), $B118 * H100, "")</f>
        <v>-2631.5789473684208</v>
      </c>
      <c r="J100" s="15">
        <v>227</v>
      </c>
      <c r="K100" s="32">
        <f t="shared" si="48"/>
        <v>-4.3859649122807015E-3</v>
      </c>
      <c r="L100" s="18">
        <f>IF(ISNUMBER(J100), $B118 * K100, "")</f>
        <v>-657.8947368421052</v>
      </c>
      <c r="M100" s="31">
        <v>225</v>
      </c>
      <c r="N100" s="32">
        <f t="shared" si="49"/>
        <v>-1.3157894736842105E-2</v>
      </c>
      <c r="O100" s="18">
        <f>IF(ISNUMBER(M100), $B118 * N100, "")</f>
        <v>-1973.6842105263156</v>
      </c>
      <c r="Q100" s="161"/>
      <c r="R100" s="161"/>
      <c r="S100" s="161"/>
    </row>
    <row r="101" spans="1:19" ht="17.25" thickBot="1">
      <c r="A101" s="109" t="s">
        <v>337</v>
      </c>
      <c r="B101" s="110">
        <v>343</v>
      </c>
      <c r="C101" s="70">
        <v>3.62537764E-2</v>
      </c>
      <c r="D101" s="15">
        <v>339</v>
      </c>
      <c r="E101" s="32">
        <f t="shared" si="46"/>
        <v>-1.1661807580174927E-2</v>
      </c>
      <c r="F101" s="18">
        <f>IF(ISNUMBER(D101), $B118 * E101, "")</f>
        <v>-1749.2711370262391</v>
      </c>
      <c r="G101" s="31">
        <v>340</v>
      </c>
      <c r="H101" s="32">
        <f t="shared" si="47"/>
        <v>-8.7463556851311956E-3</v>
      </c>
      <c r="I101" s="91">
        <f>IF(ISNUMBER(G101), $B118 * H101, "")</f>
        <v>-1311.9533527696794</v>
      </c>
      <c r="J101" s="15">
        <v>338</v>
      </c>
      <c r="K101" s="32">
        <f t="shared" si="48"/>
        <v>-1.4577259475218658E-2</v>
      </c>
      <c r="L101" s="18">
        <f>IF(ISNUMBER(J101), $B118 * K101, "")</f>
        <v>-2186.5889212827988</v>
      </c>
      <c r="M101" s="31">
        <v>342</v>
      </c>
      <c r="N101" s="32">
        <f t="shared" si="49"/>
        <v>-2.9154518950437317E-3</v>
      </c>
      <c r="O101" s="18">
        <f>IF(ISNUMBER(M101), $B118 * N101, "")</f>
        <v>-437.31778425655978</v>
      </c>
      <c r="Q101" s="161"/>
      <c r="R101" s="161"/>
      <c r="S101" s="161"/>
    </row>
    <row r="102" spans="1:19" ht="17.25" thickBot="1">
      <c r="A102" s="111" t="s">
        <v>128</v>
      </c>
      <c r="B102" s="112">
        <v>7570</v>
      </c>
      <c r="C102" s="71">
        <v>3.2742155500000002E-2</v>
      </c>
      <c r="D102" s="20">
        <v>7500</v>
      </c>
      <c r="E102" s="21">
        <f t="shared" si="46"/>
        <v>-9.247027741083224E-3</v>
      </c>
      <c r="F102" s="22">
        <f>IF(ISNUMBER(D102), $B118 * E102, "")</f>
        <v>-1387.0541611624835</v>
      </c>
      <c r="G102" s="30">
        <v>7510</v>
      </c>
      <c r="H102" s="21">
        <f t="shared" si="47"/>
        <v>-7.9260237780713338E-3</v>
      </c>
      <c r="I102" s="95">
        <f>IF(ISNUMBER(G102), $B118 * H102, "")</f>
        <v>-1188.9035667107</v>
      </c>
      <c r="J102" s="20">
        <v>7530</v>
      </c>
      <c r="K102" s="21">
        <f t="shared" si="48"/>
        <v>-5.2840158520475562E-3</v>
      </c>
      <c r="L102" s="22">
        <f>IF(ISNUMBER(J102), $B118 * K102, "")</f>
        <v>-792.60237780713339</v>
      </c>
      <c r="M102" s="30">
        <v>7475</v>
      </c>
      <c r="N102" s="21">
        <f t="shared" si="49"/>
        <v>-1.2549537648612946E-2</v>
      </c>
      <c r="O102" s="22">
        <f>IF(ISNUMBER(M102), $B118 * N102, "")</f>
        <v>-1882.4306472919418</v>
      </c>
      <c r="Q102" s="161"/>
      <c r="R102" s="161"/>
      <c r="S102" s="161"/>
    </row>
    <row r="103" spans="1:19" ht="17.25" thickBot="1">
      <c r="A103" s="109" t="s">
        <v>344</v>
      </c>
      <c r="B103" s="113">
        <v>6515</v>
      </c>
      <c r="C103" s="73">
        <v>3.1670625500000001E-2</v>
      </c>
      <c r="D103" s="96">
        <v>6795</v>
      </c>
      <c r="E103" s="97">
        <f>IF(ISNUMBER(D103), (D103 - $B103) / $B103, "")</f>
        <v>4.2977743668457406E-2</v>
      </c>
      <c r="F103" s="98">
        <f>IF(ISNUMBER(D103), $B118 * E103, "")</f>
        <v>6446.6615502686109</v>
      </c>
      <c r="G103" s="99">
        <v>6775</v>
      </c>
      <c r="H103" s="97">
        <f>IF(ISNUMBER(G103), (G103 - $B103) / $B103, "")</f>
        <v>3.9907904834996163E-2</v>
      </c>
      <c r="I103" s="100">
        <f>IF(ISNUMBER(G103), $B118 * H103, "")</f>
        <v>5986.1857252494246</v>
      </c>
      <c r="J103" s="96">
        <v>6720</v>
      </c>
      <c r="K103" s="97">
        <f>IF(ISNUMBER(J103), (J103 - $B103) / $B103, "")</f>
        <v>3.1465848042977744E-2</v>
      </c>
      <c r="L103" s="98">
        <f>IF(ISNUMBER(J103), $B118 * K103, "")</f>
        <v>4719.8772064466611</v>
      </c>
      <c r="M103" s="99">
        <v>6900</v>
      </c>
      <c r="N103" s="97">
        <f>IF(ISNUMBER(M103), (M103 - $B103) / $B103, "")</f>
        <v>5.9094397544128936E-2</v>
      </c>
      <c r="O103" s="98">
        <f>IF(ISNUMBER(M103), $B118 * N103, "")</f>
        <v>8864.1596316193409</v>
      </c>
      <c r="Q103" s="161"/>
      <c r="R103" s="161"/>
      <c r="S103" s="161"/>
    </row>
    <row r="104" spans="1:19" ht="17.25" thickBot="1">
      <c r="A104" s="109" t="s">
        <v>60</v>
      </c>
      <c r="B104" s="110">
        <v>565</v>
      </c>
      <c r="C104" s="70">
        <v>3.10218978E-2</v>
      </c>
      <c r="D104" s="15">
        <v>556</v>
      </c>
      <c r="E104" s="32">
        <f t="shared" ref="E104:E107" si="50">IF(ISNUMBER(D104), (D104 - $B104) / $B104, "")</f>
        <v>-1.5929203539823009E-2</v>
      </c>
      <c r="F104" s="18">
        <f>IF(ISNUMBER(D104), $B118 * E104, "")</f>
        <v>-2389.3805309734512</v>
      </c>
      <c r="G104" s="31">
        <v>556</v>
      </c>
      <c r="H104" s="32">
        <f t="shared" ref="H104:H107" si="51">IF(ISNUMBER(G104), (G104 - $B104) / $B104, "")</f>
        <v>-1.5929203539823009E-2</v>
      </c>
      <c r="I104" s="91">
        <f>IF(ISNUMBER(G104), $B118 * H104, "")</f>
        <v>-2389.3805309734512</v>
      </c>
      <c r="J104" s="15">
        <v>559</v>
      </c>
      <c r="K104" s="32">
        <f t="shared" ref="K104:K107" si="52">IF(ISNUMBER(J104), (J104 - $B104) / $B104, "")</f>
        <v>-1.0619469026548672E-2</v>
      </c>
      <c r="L104" s="18">
        <f>IF(ISNUMBER(J104), $B118 * K104, "")</f>
        <v>-1592.9203539823009</v>
      </c>
      <c r="M104" s="31">
        <v>559</v>
      </c>
      <c r="N104" s="32">
        <f t="shared" ref="N104:N107" si="53">IF(ISNUMBER(M104), (M104 - $B104) / $B104, "")</f>
        <v>-1.0619469026548672E-2</v>
      </c>
      <c r="O104" s="18">
        <f>IF(ISNUMBER(M104), $B118 * N104, "")</f>
        <v>-1592.9203539823009</v>
      </c>
      <c r="Q104" s="161"/>
      <c r="R104" s="161"/>
      <c r="S104" s="161"/>
    </row>
    <row r="105" spans="1:19" ht="17.25" thickBot="1">
      <c r="A105" s="109" t="s">
        <v>111</v>
      </c>
      <c r="B105" s="110">
        <v>809</v>
      </c>
      <c r="C105" s="70">
        <v>3.0573248399999999E-2</v>
      </c>
      <c r="D105" s="15">
        <v>796</v>
      </c>
      <c r="E105" s="32">
        <f t="shared" si="50"/>
        <v>-1.6069221260815822E-2</v>
      </c>
      <c r="F105" s="18">
        <f>IF(ISNUMBER(D105), $B118 * E105, "")</f>
        <v>-2410.3831891223731</v>
      </c>
      <c r="G105" s="31">
        <v>796</v>
      </c>
      <c r="H105" s="32">
        <f t="shared" si="51"/>
        <v>-1.6069221260815822E-2</v>
      </c>
      <c r="I105" s="91">
        <f>IF(ISNUMBER(G105), $B118 * H105, "")</f>
        <v>-2410.3831891223731</v>
      </c>
      <c r="J105" s="15">
        <v>798</v>
      </c>
      <c r="K105" s="32">
        <f t="shared" si="52"/>
        <v>-1.3597033374536464E-2</v>
      </c>
      <c r="L105" s="18">
        <f>IF(ISNUMBER(J105), $B118 * K105, "")</f>
        <v>-2039.5550061804697</v>
      </c>
      <c r="M105" s="31">
        <v>796</v>
      </c>
      <c r="N105" s="32">
        <f t="shared" si="53"/>
        <v>-1.6069221260815822E-2</v>
      </c>
      <c r="O105" s="18">
        <f>IF(ISNUMBER(M105), $B118 * N105, "")</f>
        <v>-2410.3831891223731</v>
      </c>
      <c r="Q105" s="161"/>
      <c r="R105" s="161"/>
      <c r="S105" s="161"/>
    </row>
    <row r="106" spans="1:19" ht="17.25" thickBot="1">
      <c r="A106" s="109" t="s">
        <v>200</v>
      </c>
      <c r="B106" s="110">
        <v>7.07</v>
      </c>
      <c r="C106" s="70">
        <v>2.7616279099999998E-2</v>
      </c>
      <c r="D106" s="15">
        <v>7.27</v>
      </c>
      <c r="E106" s="32">
        <f t="shared" si="50"/>
        <v>2.8288543140028186E-2</v>
      </c>
      <c r="F106" s="18">
        <f>IF(ISNUMBER(D106), $B118 * E106, "")</f>
        <v>4243.2814710042276</v>
      </c>
      <c r="G106" s="31">
        <v>7.42</v>
      </c>
      <c r="H106" s="32">
        <f t="shared" si="51"/>
        <v>4.9504950495049452E-2</v>
      </c>
      <c r="I106" s="91">
        <f>IF(ISNUMBER(G106), $B118 * H106, "")</f>
        <v>7425.7425742574178</v>
      </c>
      <c r="J106" s="15">
        <v>7.3</v>
      </c>
      <c r="K106" s="32">
        <f t="shared" si="52"/>
        <v>3.2531824611032469E-2</v>
      </c>
      <c r="L106" s="18">
        <f>IF(ISNUMBER(J106), $B118 * K106, "")</f>
        <v>4879.7736916548702</v>
      </c>
      <c r="M106" s="31">
        <v>7.26</v>
      </c>
      <c r="N106" s="32">
        <f t="shared" si="53"/>
        <v>2.6874115983026803E-2</v>
      </c>
      <c r="O106" s="18">
        <f>IF(ISNUMBER(M106), $B118 * N106, "")</f>
        <v>4031.1173974540206</v>
      </c>
      <c r="Q106" s="33"/>
      <c r="R106" s="33"/>
    </row>
    <row r="107" spans="1:19" ht="17.25" thickBot="1">
      <c r="A107" s="114" t="s">
        <v>107</v>
      </c>
      <c r="B107" s="115">
        <v>45.4</v>
      </c>
      <c r="C107" s="72">
        <v>2.7149321300000001E-2</v>
      </c>
      <c r="D107" s="24">
        <v>45.2</v>
      </c>
      <c r="E107" s="25">
        <f t="shared" si="50"/>
        <v>-4.4052863436122407E-3</v>
      </c>
      <c r="F107" s="94">
        <f>IF(ISNUMBER(D107), $B118 * E107, "")</f>
        <v>-660.79295154183615</v>
      </c>
      <c r="G107" s="92">
        <v>45</v>
      </c>
      <c r="H107" s="25">
        <f t="shared" si="51"/>
        <v>-8.8105726872246392E-3</v>
      </c>
      <c r="I107" s="93">
        <f>IF(ISNUMBER(G107), $B118 * H107, "")</f>
        <v>-1321.5859030836959</v>
      </c>
      <c r="J107" s="24">
        <v>44.8</v>
      </c>
      <c r="K107" s="25">
        <f t="shared" si="52"/>
        <v>-1.3215859030837036E-2</v>
      </c>
      <c r="L107" s="94">
        <f>IF(ISNUMBER(J107), $B118 * K107, "")</f>
        <v>-1982.3788546255555</v>
      </c>
      <c r="M107" s="92">
        <v>44.8</v>
      </c>
      <c r="N107" s="25">
        <f t="shared" si="53"/>
        <v>-1.3215859030837036E-2</v>
      </c>
      <c r="O107" s="94">
        <f>IF(ISNUMBER(M107), $B118 * N107, "")</f>
        <v>-1982.3788546255555</v>
      </c>
      <c r="Q107" s="170"/>
      <c r="R107" s="171"/>
      <c r="S107" s="172"/>
    </row>
    <row r="108" spans="1:19">
      <c r="A108" s="107" t="s">
        <v>101</v>
      </c>
      <c r="B108" s="108">
        <v>254</v>
      </c>
      <c r="C108" s="69">
        <v>2.4193548400000001E-2</v>
      </c>
      <c r="D108" s="13">
        <v>251</v>
      </c>
      <c r="E108" s="14">
        <f>IF(ISNUMBER(D108), (D108 - $B108) / $B108, "")</f>
        <v>-1.1811023622047244E-2</v>
      </c>
      <c r="F108" s="16">
        <f>IF(ISNUMBER(D108), $B118 * E108, "")</f>
        <v>-1771.6535433070867</v>
      </c>
      <c r="G108" s="29">
        <v>251</v>
      </c>
      <c r="H108" s="14">
        <f>IF(ISNUMBER(G108), (G108 - $B108) / $B108, "")</f>
        <v>-1.1811023622047244E-2</v>
      </c>
      <c r="I108" s="90">
        <f>IF(ISNUMBER(G108), $B118 * H108, "")</f>
        <v>-1771.6535433070867</v>
      </c>
      <c r="J108" s="13">
        <v>251</v>
      </c>
      <c r="K108" s="14">
        <f>IF(ISNUMBER(J108), (J108 - $B108) / $B108, "")</f>
        <v>-1.1811023622047244E-2</v>
      </c>
      <c r="L108" s="16">
        <f>IF(ISNUMBER(J108), $B118 * K108, "")</f>
        <v>-1771.6535433070867</v>
      </c>
      <c r="M108" s="29">
        <v>252</v>
      </c>
      <c r="N108" s="14">
        <f>IF(ISNUMBER(M108), (M108 - $B108) / $B108, "")</f>
        <v>-7.874015748031496E-3</v>
      </c>
      <c r="O108" s="16">
        <f>IF(ISNUMBER(M108), $B118 * N108, "")</f>
        <v>-1181.1023622047244</v>
      </c>
      <c r="Q108" s="173"/>
      <c r="R108" s="174"/>
      <c r="S108" s="175"/>
    </row>
    <row r="109" spans="1:19" ht="17.25" thickBot="1">
      <c r="A109" s="109" t="s">
        <v>95</v>
      </c>
      <c r="B109" s="110">
        <v>1385</v>
      </c>
      <c r="C109" s="70">
        <v>1.8382352899999999E-2</v>
      </c>
      <c r="D109" s="15">
        <v>1360</v>
      </c>
      <c r="E109" s="32">
        <f t="shared" ref="E109:E112" si="54">IF(ISNUMBER(D109), (D109 - $B109) / $B109, "")</f>
        <v>-1.8050541516245487E-2</v>
      </c>
      <c r="F109" s="18">
        <f>IF(ISNUMBER(D109), $B118 * E109, "")</f>
        <v>-2707.5812274368232</v>
      </c>
      <c r="G109" s="31">
        <v>1365</v>
      </c>
      <c r="H109" s="32">
        <f t="shared" ref="H109:H112" si="55">IF(ISNUMBER(G109), (G109 - $B109) / $B109, "")</f>
        <v>-1.444043321299639E-2</v>
      </c>
      <c r="I109" s="91">
        <f>IF(ISNUMBER(G109), $B118 * H109, "")</f>
        <v>-2166.0649819494583</v>
      </c>
      <c r="J109" s="15">
        <v>1370</v>
      </c>
      <c r="K109" s="32">
        <f t="shared" ref="K109:K112" si="56">IF(ISNUMBER(J109), (J109 - $B109) / $B109, "")</f>
        <v>-1.0830324909747292E-2</v>
      </c>
      <c r="L109" s="18">
        <f>IF(ISNUMBER(J109), $B118 * K109, "")</f>
        <v>-1624.5487364620938</v>
      </c>
      <c r="M109" s="31">
        <v>1360</v>
      </c>
      <c r="N109" s="32">
        <f t="shared" ref="N109:N112" si="57">IF(ISNUMBER(M109), (M109 - $B109) / $B109, "")</f>
        <v>-1.8050541516245487E-2</v>
      </c>
      <c r="O109" s="18">
        <f>IF(ISNUMBER(M109), $B118 * N109, "")</f>
        <v>-2707.5812274368232</v>
      </c>
      <c r="Q109" s="176"/>
      <c r="R109" s="177"/>
      <c r="S109" s="178"/>
    </row>
    <row r="110" spans="1:19" ht="17.25" thickBot="1">
      <c r="A110" s="109" t="s">
        <v>143</v>
      </c>
      <c r="B110" s="110">
        <v>4.1100000000000003</v>
      </c>
      <c r="C110" s="70">
        <v>1.73267327E-2</v>
      </c>
      <c r="D110" s="15">
        <v>4.1500000000000004</v>
      </c>
      <c r="E110" s="32">
        <f t="shared" si="54"/>
        <v>9.7323600973236082E-3</v>
      </c>
      <c r="F110" s="18">
        <f>IF(ISNUMBER(D110), $B118 * E110, "")</f>
        <v>1459.8540145985412</v>
      </c>
      <c r="G110" s="31">
        <v>4.21</v>
      </c>
      <c r="H110" s="32">
        <f t="shared" si="55"/>
        <v>2.4330900243308914E-2</v>
      </c>
      <c r="I110" s="91">
        <f>IF(ISNUMBER(G110), $B118 * H110, "")</f>
        <v>3649.6350364963369</v>
      </c>
      <c r="J110" s="15">
        <v>4.18</v>
      </c>
      <c r="K110" s="32">
        <f t="shared" si="56"/>
        <v>1.7031630170316153E-2</v>
      </c>
      <c r="L110" s="18">
        <f>IF(ISNUMBER(J110), $B118 * K110, "")</f>
        <v>2554.7445255474227</v>
      </c>
      <c r="M110" s="31">
        <v>4.16</v>
      </c>
      <c r="N110" s="32">
        <f t="shared" si="57"/>
        <v>1.2165450121654457E-2</v>
      </c>
      <c r="O110" s="18">
        <f>IF(ISNUMBER(M110), $B118 * N110, "")</f>
        <v>1824.8175182481684</v>
      </c>
      <c r="Q110" s="161"/>
      <c r="R110" s="161"/>
      <c r="S110" s="161"/>
    </row>
    <row r="111" spans="1:19" ht="17.25" thickBot="1">
      <c r="A111" s="109" t="s">
        <v>62</v>
      </c>
      <c r="B111" s="110">
        <v>9360</v>
      </c>
      <c r="C111" s="70">
        <v>1.5735214300000001E-2</v>
      </c>
      <c r="D111" s="15">
        <v>9325</v>
      </c>
      <c r="E111" s="32">
        <f t="shared" si="54"/>
        <v>-3.7393162393162395E-3</v>
      </c>
      <c r="F111" s="18">
        <f>IF(ISNUMBER(D111), $B118 * E111, "")</f>
        <v>-560.89743589743591</v>
      </c>
      <c r="G111" s="31">
        <v>9335</v>
      </c>
      <c r="H111" s="32">
        <f t="shared" si="55"/>
        <v>-2.670940170940171E-3</v>
      </c>
      <c r="I111" s="91">
        <f>IF(ISNUMBER(G111), $B118 * H111, "")</f>
        <v>-400.64102564102564</v>
      </c>
      <c r="J111" s="15">
        <v>9380</v>
      </c>
      <c r="K111" s="32">
        <f t="shared" si="56"/>
        <v>2.136752136752137E-3</v>
      </c>
      <c r="L111" s="18">
        <f>IF(ISNUMBER(J111), $B118 * K111, "")</f>
        <v>320.51282051282055</v>
      </c>
      <c r="M111" s="31">
        <v>9375</v>
      </c>
      <c r="N111" s="32">
        <f t="shared" si="57"/>
        <v>1.6025641025641025E-3</v>
      </c>
      <c r="O111" s="18">
        <f>IF(ISNUMBER(M111), $B118 * N111, "")</f>
        <v>240.38461538461539</v>
      </c>
      <c r="Q111" s="156"/>
      <c r="R111" s="156"/>
      <c r="S111" s="156"/>
    </row>
    <row r="112" spans="1:19" ht="17.25" thickBot="1">
      <c r="A112" s="111" t="s">
        <v>113</v>
      </c>
      <c r="B112" s="112">
        <v>1395</v>
      </c>
      <c r="C112" s="71">
        <v>1.4545454500000001E-2</v>
      </c>
      <c r="D112" s="20">
        <v>1450</v>
      </c>
      <c r="E112" s="21">
        <f t="shared" si="54"/>
        <v>3.9426523297491037E-2</v>
      </c>
      <c r="F112" s="22">
        <f>IF(ISNUMBER(D112), $B118 * E112, "")</f>
        <v>5913.9784946236559</v>
      </c>
      <c r="G112" s="30">
        <v>1430</v>
      </c>
      <c r="H112" s="21">
        <f t="shared" si="55"/>
        <v>2.5089605734767026E-2</v>
      </c>
      <c r="I112" s="95">
        <f>IF(ISNUMBER(G112), $B118 * H112, "")</f>
        <v>3763.4408602150538</v>
      </c>
      <c r="J112" s="20">
        <v>1400</v>
      </c>
      <c r="K112" s="21">
        <f t="shared" si="56"/>
        <v>3.5842293906810036E-3</v>
      </c>
      <c r="L112" s="22">
        <f>IF(ISNUMBER(J112), $B118 * K112, "")</f>
        <v>537.63440860215053</v>
      </c>
      <c r="M112" s="30">
        <v>1405</v>
      </c>
      <c r="N112" s="21">
        <f t="shared" si="57"/>
        <v>7.1684587813620072E-3</v>
      </c>
      <c r="O112" s="22">
        <f>IF(ISNUMBER(M112), $B118 * N112, "")</f>
        <v>1075.2688172043011</v>
      </c>
      <c r="Q112" s="156"/>
      <c r="R112" s="156"/>
      <c r="S112" s="156"/>
    </row>
    <row r="113" spans="1:19" ht="17.25" thickBot="1">
      <c r="A113" s="109" t="s">
        <v>342</v>
      </c>
      <c r="B113" s="113">
        <v>140</v>
      </c>
      <c r="C113" s="73">
        <v>1.44927536E-2</v>
      </c>
      <c r="D113" s="96">
        <v>142</v>
      </c>
      <c r="E113" s="97">
        <f>IF(ISNUMBER(D113), (D113 - $B113) / $B113, "")</f>
        <v>1.4285714285714285E-2</v>
      </c>
      <c r="F113" s="98">
        <f>IF(ISNUMBER(D113), $B118 * E113, "")</f>
        <v>2142.8571428571427</v>
      </c>
      <c r="G113" s="99">
        <v>142</v>
      </c>
      <c r="H113" s="97">
        <f>IF(ISNUMBER(G113), (G113 - $B113) / $B113, "")</f>
        <v>1.4285714285714285E-2</v>
      </c>
      <c r="I113" s="100">
        <f>IF(ISNUMBER(G113), $B118 * H113, "")</f>
        <v>2142.8571428571427</v>
      </c>
      <c r="J113" s="96">
        <v>140</v>
      </c>
      <c r="K113" s="97">
        <f>IF(ISNUMBER(J113), (J113 - $B113) / $B113, "")</f>
        <v>0</v>
      </c>
      <c r="L113" s="98">
        <f>IF(ISNUMBER(J113), $B118 * K113, "")</f>
        <v>0</v>
      </c>
      <c r="M113" s="99">
        <v>140</v>
      </c>
      <c r="N113" s="97">
        <f>IF(ISNUMBER(M113), (M113 - $B113) / $B113, "")</f>
        <v>0</v>
      </c>
      <c r="O113" s="98">
        <f>IF(ISNUMBER(M113), $B118 * N113, "")</f>
        <v>0</v>
      </c>
      <c r="Q113" s="161"/>
      <c r="R113" s="161"/>
      <c r="S113" s="161"/>
    </row>
    <row r="114" spans="1:19" ht="17.25" thickBot="1">
      <c r="A114" s="109" t="s">
        <v>338</v>
      </c>
      <c r="B114" s="110">
        <v>5.12</v>
      </c>
      <c r="C114" s="70">
        <v>1.18577075E-2</v>
      </c>
      <c r="D114" s="15">
        <v>5.14</v>
      </c>
      <c r="E114" s="32">
        <f t="shared" ref="E114:E117" si="58">IF(ISNUMBER(D114), (D114 - $B114) / $B114, "")</f>
        <v>3.9062499999999167E-3</v>
      </c>
      <c r="F114" s="18">
        <f>IF(ISNUMBER(D114), $B118 * E114, "")</f>
        <v>585.93749999998749</v>
      </c>
      <c r="G114" s="31">
        <v>5.2</v>
      </c>
      <c r="H114" s="32">
        <f t="shared" ref="H114:H117" si="59">IF(ISNUMBER(G114), (G114 - $B114) / $B114, "")</f>
        <v>1.5625000000000014E-2</v>
      </c>
      <c r="I114" s="91">
        <f>IF(ISNUMBER(G114), $B118 * H114, "")</f>
        <v>2343.7500000000023</v>
      </c>
      <c r="J114" s="15">
        <v>5.19</v>
      </c>
      <c r="K114" s="32">
        <f t="shared" ref="K114:K117" si="60">IF(ISNUMBER(J114), (J114 - $B114) / $B114, "")</f>
        <v>1.3671875000000056E-2</v>
      </c>
      <c r="L114" s="18">
        <f>IF(ISNUMBER(J114), $B118 * K114, "")</f>
        <v>2050.7812500000082</v>
      </c>
      <c r="M114" s="31">
        <v>5.16</v>
      </c>
      <c r="N114" s="32">
        <f t="shared" ref="N114:N117" si="61">IF(ISNUMBER(M114), (M114 - $B114) / $B114, "")</f>
        <v>7.8125000000000069E-3</v>
      </c>
      <c r="O114" s="18">
        <f>IF(ISNUMBER(M114), $B118 * N114, "")</f>
        <v>1171.8750000000011</v>
      </c>
      <c r="Q114" s="161"/>
      <c r="R114" s="161"/>
      <c r="S114" s="161"/>
    </row>
    <row r="115" spans="1:19" ht="17.25" thickBot="1">
      <c r="A115" s="109" t="s">
        <v>330</v>
      </c>
      <c r="B115" s="110">
        <v>18140</v>
      </c>
      <c r="C115" s="70">
        <v>9.4602114999999994E-3</v>
      </c>
      <c r="D115" s="15">
        <v>18240</v>
      </c>
      <c r="E115" s="32">
        <f t="shared" si="58"/>
        <v>5.512679162072767E-3</v>
      </c>
      <c r="F115" s="18">
        <f>IF(ISNUMBER(D115), $B118 * E115, "")</f>
        <v>826.9018743109151</v>
      </c>
      <c r="G115" s="31">
        <v>18240</v>
      </c>
      <c r="H115" s="32">
        <f t="shared" si="59"/>
        <v>5.512679162072767E-3</v>
      </c>
      <c r="I115" s="91">
        <f>IF(ISNUMBER(G115), $B118 * H115, "")</f>
        <v>826.9018743109151</v>
      </c>
      <c r="J115" s="15">
        <v>18170</v>
      </c>
      <c r="K115" s="32">
        <f t="shared" si="60"/>
        <v>1.6538037486218302E-3</v>
      </c>
      <c r="L115" s="18">
        <f>IF(ISNUMBER(J115), $B118 * K115, "")</f>
        <v>248.07056229327455</v>
      </c>
      <c r="M115" s="31">
        <v>18280</v>
      </c>
      <c r="N115" s="32">
        <f t="shared" si="61"/>
        <v>7.717750826901874E-3</v>
      </c>
      <c r="O115" s="18">
        <f>IF(ISNUMBER(M115), $B118 * N115, "")</f>
        <v>1157.6626240352812</v>
      </c>
      <c r="Q115" s="161"/>
      <c r="R115" s="161"/>
      <c r="S115" s="161"/>
    </row>
    <row r="116" spans="1:19">
      <c r="A116" s="109" t="s">
        <v>322</v>
      </c>
      <c r="B116" s="110">
        <v>86970</v>
      </c>
      <c r="C116" s="70">
        <v>9.4011141999999995E-3</v>
      </c>
      <c r="D116" s="15">
        <v>86690</v>
      </c>
      <c r="E116" s="32">
        <f t="shared" si="58"/>
        <v>-3.2195009773485109E-3</v>
      </c>
      <c r="F116" s="18">
        <f>IF(ISNUMBER(D116), $B118 * E116, "")</f>
        <v>-482.92514660227664</v>
      </c>
      <c r="G116" s="31">
        <v>86440</v>
      </c>
      <c r="H116" s="32">
        <f t="shared" si="59"/>
        <v>-6.0940554214096816E-3</v>
      </c>
      <c r="I116" s="91">
        <f>IF(ISNUMBER(G116), $B118 * H116, "")</f>
        <v>-914.10831321145224</v>
      </c>
      <c r="J116" s="15">
        <v>86310</v>
      </c>
      <c r="K116" s="32">
        <f t="shared" si="60"/>
        <v>-7.5888237323214905E-3</v>
      </c>
      <c r="L116" s="18">
        <f>IF(ISNUMBER(J116), $B118 * K116, "")</f>
        <v>-1138.3235598482236</v>
      </c>
      <c r="M116" s="31">
        <v>86300</v>
      </c>
      <c r="N116" s="32">
        <f t="shared" si="61"/>
        <v>-7.7038059100839372E-3</v>
      </c>
      <c r="O116" s="18">
        <f>IF(ISNUMBER(M116), $B118 * N116, "")</f>
        <v>-1155.5708865125905</v>
      </c>
      <c r="Q116" s="183"/>
      <c r="R116" s="184"/>
      <c r="S116" s="185"/>
    </row>
    <row r="117" spans="1:19" ht="17.25" thickBot="1">
      <c r="A117" s="114" t="s">
        <v>116</v>
      </c>
      <c r="B117" s="115">
        <v>1120</v>
      </c>
      <c r="C117" s="72">
        <v>9.0090090000000001E-3</v>
      </c>
      <c r="D117" s="24">
        <v>1120</v>
      </c>
      <c r="E117" s="25">
        <f t="shared" si="58"/>
        <v>0</v>
      </c>
      <c r="F117" s="94">
        <f>IF(ISNUMBER(D117), $B118 * E117, "")</f>
        <v>0</v>
      </c>
      <c r="G117" s="92">
        <v>1125</v>
      </c>
      <c r="H117" s="25">
        <f t="shared" si="59"/>
        <v>4.464285714285714E-3</v>
      </c>
      <c r="I117" s="93">
        <f>IF(ISNUMBER(G117), $B118 * H117, "")</f>
        <v>669.64285714285711</v>
      </c>
      <c r="J117" s="24">
        <v>1130</v>
      </c>
      <c r="K117" s="25">
        <f t="shared" si="60"/>
        <v>8.9285714285714281E-3</v>
      </c>
      <c r="L117" s="94">
        <f>IF(ISNUMBER(J117), $B118 * K117, "")</f>
        <v>1339.2857142857142</v>
      </c>
      <c r="M117" s="92">
        <v>1130</v>
      </c>
      <c r="N117" s="25">
        <f t="shared" si="61"/>
        <v>8.9285714285714281E-3</v>
      </c>
      <c r="O117" s="94">
        <f>IF(ISNUMBER(M117), $B118 * N117, "")</f>
        <v>1339.2857142857142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1.9352253982800157E-2</v>
      </c>
      <c r="F118" s="28">
        <f>SUM(F98:F117)</f>
        <v>58056.761948400454</v>
      </c>
      <c r="G118" s="26" t="s">
        <v>261</v>
      </c>
      <c r="H118" s="27">
        <f>IF(COUNT(H98:H117), SUM(H98:H117) / COUNT(H98:H117), 0)</f>
        <v>2.6175712892726345E-2</v>
      </c>
      <c r="I118" s="28">
        <f>SUM(I98:I117)</f>
        <v>78527.138678179035</v>
      </c>
      <c r="J118" s="26" t="s">
        <v>261</v>
      </c>
      <c r="K118" s="27">
        <f>IF(COUNT(K98:K117), SUM(K98:K117) / COUNT(K98:K117), 0)</f>
        <v>1.8436941316882158E-2</v>
      </c>
      <c r="L118" s="28">
        <f>SUM(L98:L117)</f>
        <v>55310.823950646467</v>
      </c>
      <c r="M118" s="26" t="s">
        <v>261</v>
      </c>
      <c r="N118" s="27">
        <f>IF(COUNT(N98:N117), SUM(N98:N117) / COUNT(N98:N117), 0)</f>
        <v>1.8222195503600429E-2</v>
      </c>
      <c r="O118" s="28">
        <f>SUM(O98:O117)</f>
        <v>54666.586510801288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2022-12-03(토) 오전 00:00</v>
      </c>
      <c r="C123" s="199"/>
      <c r="D123" s="158" t="str">
        <f>TEXT($G$1, "[$-ko-KR]yyyy-mm-dd(ddd) ") &amp; "오후 14:00"</f>
        <v>2022-12-03(토) 오후 14:00</v>
      </c>
      <c r="E123" s="159"/>
      <c r="F123" s="160"/>
      <c r="G123" s="158" t="str">
        <f>TEXT($G$1, "[$-ko-KR]yyyy-mm-dd(ddd) ") &amp; "오후 19:00"</f>
        <v>2022-12-03(토) 오후 19:00</v>
      </c>
      <c r="H123" s="159"/>
      <c r="I123" s="160"/>
      <c r="J123" s="158" t="str">
        <f>TEXT($G$1, "[$-ko-KR]yyyy-mm-dd(ddd) ") &amp; "오후 21:00"</f>
        <v>2022-12-03(토) 오후 21:00</v>
      </c>
      <c r="K123" s="159"/>
      <c r="L123" s="160"/>
      <c r="M123" s="158" t="str">
        <f>TEXT($G$1+1, "[$-ko-KR]yyyy-mm-dd(ddd) ") &amp; "오전 00:00"</f>
        <v>2022-12-04(일)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145</v>
      </c>
      <c r="B125" s="108">
        <v>72.900000000000006</v>
      </c>
      <c r="C125" s="69">
        <v>-6.8119890999999997E-3</v>
      </c>
      <c r="D125" s="13">
        <v>72.5</v>
      </c>
      <c r="E125" s="14">
        <f>IF(ISNUMBER(D125), (D125 - $B125) / $B125, "")</f>
        <v>-5.4869684499314906E-3</v>
      </c>
      <c r="F125" s="16">
        <f>IF(ISNUMBER(D125), $B145 * E125, "")</f>
        <v>-823.04526748972353</v>
      </c>
      <c r="G125" s="29">
        <v>72.7</v>
      </c>
      <c r="H125" s="14">
        <f>IF(ISNUMBER(G125), (G125 - $B125) / $B125, "")</f>
        <v>-2.7434842249657453E-3</v>
      </c>
      <c r="I125" s="90">
        <f>IF(ISNUMBER(G125), $B145 * H125, "")</f>
        <v>-411.52263374486176</v>
      </c>
      <c r="J125" s="13">
        <v>72.8</v>
      </c>
      <c r="K125" s="14">
        <f>IF(ISNUMBER(J125), (J125 - $B125) / $B125, "")</f>
        <v>-1.37174211248297E-3</v>
      </c>
      <c r="L125" s="16">
        <f>IF(ISNUMBER(J125), $B145 * K125, "")</f>
        <v>-205.76131687244549</v>
      </c>
      <c r="M125" s="29">
        <v>72.8</v>
      </c>
      <c r="N125" s="14">
        <f>IF(ISNUMBER(M125), (M125 - $B125) / $B125, "")</f>
        <v>-1.37174211248297E-3</v>
      </c>
      <c r="O125" s="16">
        <f>IF(ISNUMBER(M125), $B145 * N125, "")</f>
        <v>-205.76131687244549</v>
      </c>
      <c r="Q125" s="156"/>
      <c r="R125" s="156"/>
      <c r="S125" s="156"/>
    </row>
    <row r="126" spans="1:19" ht="17.25" thickBot="1">
      <c r="A126" s="109" t="s">
        <v>326</v>
      </c>
      <c r="B126" s="110">
        <v>24.6</v>
      </c>
      <c r="C126" s="70">
        <v>-8.0645161000000003E-3</v>
      </c>
      <c r="D126" s="15">
        <v>24.7</v>
      </c>
      <c r="E126" s="32">
        <f t="shared" ref="E126:E129" si="62">IF(ISNUMBER(D126), (D126 - $B126) / $B126, "")</f>
        <v>4.0650406504064169E-3</v>
      </c>
      <c r="F126" s="18">
        <f>IF(ISNUMBER(D126), $B145 * E126, "")</f>
        <v>609.75609756096253</v>
      </c>
      <c r="G126" s="31">
        <v>24.7</v>
      </c>
      <c r="H126" s="32">
        <f t="shared" ref="H126:H129" si="63">IF(ISNUMBER(G126), (G126 - $B126) / $B126, "")</f>
        <v>4.0650406504064169E-3</v>
      </c>
      <c r="I126" s="91">
        <f>IF(ISNUMBER(G126), $B145 * H126, "")</f>
        <v>609.75609756096253</v>
      </c>
      <c r="J126" s="15">
        <v>24.6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24.7</v>
      </c>
      <c r="N126" s="32">
        <f t="shared" ref="N126:N129" si="65">IF(ISNUMBER(M126), (M126 - $B126) / $B126, "")</f>
        <v>4.0650406504064169E-3</v>
      </c>
      <c r="O126" s="18">
        <f>IF(ISNUMBER(M126), $B145 * N126, "")</f>
        <v>609.75609756096253</v>
      </c>
      <c r="Q126" s="156"/>
      <c r="R126" s="156"/>
      <c r="S126" s="156"/>
    </row>
    <row r="127" spans="1:19" ht="17.25" thickBot="1">
      <c r="A127" s="109" t="s">
        <v>64</v>
      </c>
      <c r="B127" s="110">
        <v>11.6</v>
      </c>
      <c r="C127" s="70">
        <v>-8.5470084999999998E-3</v>
      </c>
      <c r="D127" s="15">
        <v>11.7</v>
      </c>
      <c r="E127" s="32">
        <f t="shared" si="62"/>
        <v>8.6206896551723842E-3</v>
      </c>
      <c r="F127" s="18">
        <f>IF(ISNUMBER(D127), $B145 * E127, "")</f>
        <v>1293.1034482758575</v>
      </c>
      <c r="G127" s="31">
        <v>11.7</v>
      </c>
      <c r="H127" s="32">
        <f t="shared" si="63"/>
        <v>8.6206896551723842E-3</v>
      </c>
      <c r="I127" s="91">
        <f>IF(ISNUMBER(G127), $B145 * H127, "")</f>
        <v>1293.1034482758575</v>
      </c>
      <c r="J127" s="15">
        <v>11.7</v>
      </c>
      <c r="K127" s="32">
        <f t="shared" si="64"/>
        <v>8.6206896551723842E-3</v>
      </c>
      <c r="L127" s="18">
        <f>IF(ISNUMBER(J127), $B145 * K127, "")</f>
        <v>1293.1034482758575</v>
      </c>
      <c r="M127" s="31">
        <v>11.7</v>
      </c>
      <c r="N127" s="32">
        <f t="shared" si="65"/>
        <v>8.6206896551723842E-3</v>
      </c>
      <c r="O127" s="18">
        <f>IF(ISNUMBER(M127), $B145 * N127, "")</f>
        <v>1293.1034482758575</v>
      </c>
      <c r="Q127" s="161"/>
      <c r="R127" s="161"/>
      <c r="S127" s="161"/>
    </row>
    <row r="128" spans="1:19" ht="17.25" thickBot="1">
      <c r="A128" s="109" t="s">
        <v>181</v>
      </c>
      <c r="B128" s="110">
        <v>4.55</v>
      </c>
      <c r="C128" s="70">
        <v>-8.7145968999999997E-3</v>
      </c>
      <c r="D128" s="15">
        <v>4.58</v>
      </c>
      <c r="E128" s="32">
        <f t="shared" si="62"/>
        <v>6.593406593406648E-3</v>
      </c>
      <c r="F128" s="18">
        <f>IF(ISNUMBER(D128), $B145 * E128, "")</f>
        <v>989.01098901099715</v>
      </c>
      <c r="G128" s="31">
        <v>4.5999999999999996</v>
      </c>
      <c r="H128" s="32">
        <f t="shared" si="63"/>
        <v>1.098901098901095E-2</v>
      </c>
      <c r="I128" s="91">
        <f>IF(ISNUMBER(G128), $B145 * H128, "")</f>
        <v>1648.3516483516426</v>
      </c>
      <c r="J128" s="15">
        <v>4.5999999999999996</v>
      </c>
      <c r="K128" s="32">
        <f t="shared" si="64"/>
        <v>1.098901098901095E-2</v>
      </c>
      <c r="L128" s="18">
        <f>IF(ISNUMBER(J128), $B145 * K128, "")</f>
        <v>1648.3516483516426</v>
      </c>
      <c r="M128" s="31">
        <v>4.5999999999999996</v>
      </c>
      <c r="N128" s="32">
        <f t="shared" si="65"/>
        <v>1.098901098901095E-2</v>
      </c>
      <c r="O128" s="18">
        <f>IF(ISNUMBER(M128), $B145 * N128, "")</f>
        <v>1648.3516483516426</v>
      </c>
      <c r="Q128" s="161"/>
      <c r="R128" s="161"/>
      <c r="S128" s="161"/>
    </row>
    <row r="129" spans="1:19" ht="17.25" thickBot="1">
      <c r="A129" s="111" t="s">
        <v>56</v>
      </c>
      <c r="B129" s="112">
        <v>43.9</v>
      </c>
      <c r="C129" s="71">
        <v>-1.12612613E-2</v>
      </c>
      <c r="D129" s="20">
        <v>44.5</v>
      </c>
      <c r="E129" s="21">
        <f t="shared" si="62"/>
        <v>1.3667425968109373E-2</v>
      </c>
      <c r="F129" s="22">
        <f>IF(ISNUMBER(D129), $B145 * E129, "")</f>
        <v>2050.113895216406</v>
      </c>
      <c r="G129" s="30">
        <v>44.3</v>
      </c>
      <c r="H129" s="21">
        <f t="shared" si="63"/>
        <v>9.1116173120728613E-3</v>
      </c>
      <c r="I129" s="95">
        <f>IF(ISNUMBER(G129), $B145 * H129, "")</f>
        <v>1366.7425968109292</v>
      </c>
      <c r="J129" s="20">
        <v>44.5</v>
      </c>
      <c r="K129" s="21">
        <f t="shared" si="64"/>
        <v>1.3667425968109373E-2</v>
      </c>
      <c r="L129" s="22">
        <f>IF(ISNUMBER(J129), $B145 * K129, "")</f>
        <v>2050.113895216406</v>
      </c>
      <c r="M129" s="30">
        <v>44.3</v>
      </c>
      <c r="N129" s="21">
        <f t="shared" si="65"/>
        <v>9.1116173120728613E-3</v>
      </c>
      <c r="O129" s="22">
        <f>IF(ISNUMBER(M129), $B145 * N129, "")</f>
        <v>1366.7425968109292</v>
      </c>
      <c r="Q129" s="161"/>
      <c r="R129" s="161"/>
      <c r="S129" s="161"/>
    </row>
    <row r="130" spans="1:19" ht="17.25" thickBot="1">
      <c r="A130" s="109" t="s">
        <v>155</v>
      </c>
      <c r="B130" s="113">
        <v>30.9</v>
      </c>
      <c r="C130" s="73">
        <v>-1.27795527E-2</v>
      </c>
      <c r="D130" s="96">
        <v>31.1</v>
      </c>
      <c r="E130" s="97">
        <f>IF(ISNUMBER(D130), (D130 - $B130) / $B130, "")</f>
        <v>6.4724919093852055E-3</v>
      </c>
      <c r="F130" s="98">
        <f>IF(ISNUMBER(D130), $B145 * E130, "")</f>
        <v>970.87378640778081</v>
      </c>
      <c r="G130" s="99">
        <v>31</v>
      </c>
      <c r="H130" s="97">
        <f>IF(ISNUMBER(G130), (G130 - $B130) / $B130, "")</f>
        <v>3.2362459546926028E-3</v>
      </c>
      <c r="I130" s="100">
        <f>IF(ISNUMBER(G130), $B145 * H130, "")</f>
        <v>485.43689320389041</v>
      </c>
      <c r="J130" s="96">
        <v>31.1</v>
      </c>
      <c r="K130" s="97">
        <f>IF(ISNUMBER(J130), (J130 - $B130) / $B130, "")</f>
        <v>6.4724919093852055E-3</v>
      </c>
      <c r="L130" s="98">
        <f>IF(ISNUMBER(J130), $B145 * K130, "")</f>
        <v>970.87378640778081</v>
      </c>
      <c r="M130" s="99">
        <v>31</v>
      </c>
      <c r="N130" s="97">
        <f>IF(ISNUMBER(M130), (M130 - $B130) / $B130, "")</f>
        <v>3.2362459546926028E-3</v>
      </c>
      <c r="O130" s="98">
        <f>IF(ISNUMBER(M130), $B145 * N130, "")</f>
        <v>485.43689320389041</v>
      </c>
      <c r="Q130" s="161"/>
      <c r="R130" s="161"/>
      <c r="S130" s="161"/>
    </row>
    <row r="131" spans="1:19" ht="17.25" thickBot="1">
      <c r="A131" s="109" t="s">
        <v>240</v>
      </c>
      <c r="B131" s="110">
        <v>30.2</v>
      </c>
      <c r="C131" s="70">
        <v>-1.30718954E-2</v>
      </c>
      <c r="D131" s="15">
        <v>30</v>
      </c>
      <c r="E131" s="32">
        <f t="shared" ref="E131:E134" si="66">IF(ISNUMBER(D131), (D131 - $B131) / $B131, "")</f>
        <v>-6.6225165562913673E-3</v>
      </c>
      <c r="F131" s="18">
        <f>IF(ISNUMBER(D131), $B145 * E131, "")</f>
        <v>-993.37748344370505</v>
      </c>
      <c r="G131" s="31">
        <v>30</v>
      </c>
      <c r="H131" s="32">
        <f t="shared" ref="H131:H134" si="67">IF(ISNUMBER(G131), (G131 - $B131) / $B131, "")</f>
        <v>-6.6225165562913673E-3</v>
      </c>
      <c r="I131" s="91">
        <f>IF(ISNUMBER(G131), $B145 * H131, "")</f>
        <v>-993.37748344370505</v>
      </c>
      <c r="J131" s="15">
        <v>30.2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30</v>
      </c>
      <c r="N131" s="32">
        <f t="shared" ref="N131:N134" si="69">IF(ISNUMBER(M131), (M131 - $B131) / $B131, "")</f>
        <v>-6.6225165562913673E-3</v>
      </c>
      <c r="O131" s="18">
        <f>IF(ISNUMBER(M131), $B145 * N131, "")</f>
        <v>-993.37748344370505</v>
      </c>
      <c r="Q131" s="161"/>
      <c r="R131" s="161"/>
      <c r="S131" s="161"/>
    </row>
    <row r="132" spans="1:19" ht="17.25" thickBot="1">
      <c r="A132" s="109" t="s">
        <v>71</v>
      </c>
      <c r="B132" s="110">
        <v>12.1</v>
      </c>
      <c r="C132" s="70">
        <v>-1.6260162599999999E-2</v>
      </c>
      <c r="D132" s="15">
        <v>12.2</v>
      </c>
      <c r="E132" s="32">
        <f t="shared" si="66"/>
        <v>8.2644628099173261E-3</v>
      </c>
      <c r="F132" s="18">
        <f>IF(ISNUMBER(D132), $B145 * E132, "")</f>
        <v>1239.6694214875988</v>
      </c>
      <c r="G132" s="31">
        <v>12.1</v>
      </c>
      <c r="H132" s="32">
        <f t="shared" si="67"/>
        <v>0</v>
      </c>
      <c r="I132" s="91">
        <f>IF(ISNUMBER(G132), $B145 * H132, "")</f>
        <v>0</v>
      </c>
      <c r="J132" s="15">
        <v>12.1</v>
      </c>
      <c r="K132" s="32">
        <f t="shared" si="68"/>
        <v>0</v>
      </c>
      <c r="L132" s="18">
        <f>IF(ISNUMBER(J132), $B145 * K132, "")</f>
        <v>0</v>
      </c>
      <c r="M132" s="31">
        <v>12.2</v>
      </c>
      <c r="N132" s="32">
        <f t="shared" si="69"/>
        <v>8.2644628099173261E-3</v>
      </c>
      <c r="O132" s="18">
        <f>IF(ISNUMBER(M132), $B145 * N132, "")</f>
        <v>1239.6694214875988</v>
      </c>
      <c r="Q132" s="161"/>
      <c r="R132" s="161"/>
      <c r="S132" s="161"/>
    </row>
    <row r="133" spans="1:19" ht="17.25" thickBot="1">
      <c r="A133" s="109" t="s">
        <v>230</v>
      </c>
      <c r="B133" s="110">
        <v>42.5</v>
      </c>
      <c r="C133" s="70">
        <v>-1.84757506E-2</v>
      </c>
      <c r="D133" s="15">
        <v>42.1</v>
      </c>
      <c r="E133" s="32">
        <f t="shared" si="66"/>
        <v>-9.4117647058823192E-3</v>
      </c>
      <c r="F133" s="18">
        <f>IF(ISNUMBER(D133), $B145 * E133, "")</f>
        <v>-1411.7647058823479</v>
      </c>
      <c r="G133" s="31">
        <v>42.4</v>
      </c>
      <c r="H133" s="32">
        <f t="shared" si="67"/>
        <v>-2.3529411764706219E-3</v>
      </c>
      <c r="I133" s="91">
        <f>IF(ISNUMBER(G133), $B145 * H133, "")</f>
        <v>-352.94117647059329</v>
      </c>
      <c r="J133" s="15">
        <v>42.3</v>
      </c>
      <c r="K133" s="32">
        <f t="shared" si="68"/>
        <v>-4.7058823529412437E-3</v>
      </c>
      <c r="L133" s="18">
        <f>IF(ISNUMBER(J133), $B145 * K133, "")</f>
        <v>-705.88235294118658</v>
      </c>
      <c r="M133" s="31">
        <v>42.4</v>
      </c>
      <c r="N133" s="32">
        <f t="shared" si="69"/>
        <v>-2.3529411764706219E-3</v>
      </c>
      <c r="O133" s="18">
        <f>IF(ISNUMBER(M133), $B145 * N133, "")</f>
        <v>-352.94117647059329</v>
      </c>
      <c r="Q133" s="33"/>
      <c r="R133" s="33"/>
    </row>
    <row r="134" spans="1:19" ht="17.25" thickBot="1">
      <c r="A134" s="114" t="s">
        <v>336</v>
      </c>
      <c r="B134" s="115">
        <v>86.9</v>
      </c>
      <c r="C134" s="72">
        <v>-1.91873589E-2</v>
      </c>
      <c r="D134" s="24">
        <v>86.9</v>
      </c>
      <c r="E134" s="25">
        <f t="shared" si="66"/>
        <v>0</v>
      </c>
      <c r="F134" s="94">
        <f>IF(ISNUMBER(D134), $B145 * E134, "")</f>
        <v>0</v>
      </c>
      <c r="G134" s="92">
        <v>86.8</v>
      </c>
      <c r="H134" s="25">
        <f t="shared" si="67"/>
        <v>-1.1507479861911222E-3</v>
      </c>
      <c r="I134" s="93">
        <f>IF(ISNUMBER(G134), $B145 * H134, "")</f>
        <v>-172.61219792866834</v>
      </c>
      <c r="J134" s="24">
        <v>86.7</v>
      </c>
      <c r="K134" s="25">
        <f t="shared" si="68"/>
        <v>-2.3014959723820809E-3</v>
      </c>
      <c r="L134" s="94">
        <f>IF(ISNUMBER(J134), $B145 * K134, "")</f>
        <v>-345.22439585731212</v>
      </c>
      <c r="M134" s="92">
        <v>86.8</v>
      </c>
      <c r="N134" s="25">
        <f t="shared" si="69"/>
        <v>-1.1507479861911222E-3</v>
      </c>
      <c r="O134" s="94">
        <f>IF(ISNUMBER(M134), $B145 * N134, "")</f>
        <v>-172.61219792866834</v>
      </c>
      <c r="Q134" s="170"/>
      <c r="R134" s="171"/>
      <c r="S134" s="172"/>
    </row>
    <row r="135" spans="1:19">
      <c r="A135" s="107" t="s">
        <v>191</v>
      </c>
      <c r="B135" s="108">
        <v>53</v>
      </c>
      <c r="C135" s="69">
        <v>-2.0332717199999999E-2</v>
      </c>
      <c r="D135" s="13">
        <v>52.7</v>
      </c>
      <c r="E135" s="14">
        <f>IF(ISNUMBER(D135), (D135 - $B135) / $B135, "")</f>
        <v>-5.6603773584905127E-3</v>
      </c>
      <c r="F135" s="16">
        <f>IF(ISNUMBER(D135), $B145 * E135, "")</f>
        <v>-849.05660377357697</v>
      </c>
      <c r="G135" s="29">
        <v>52.6</v>
      </c>
      <c r="H135" s="14">
        <f>IF(ISNUMBER(G135), (G135 - $B135) / $B135, "")</f>
        <v>-7.5471698113207279E-3</v>
      </c>
      <c r="I135" s="90">
        <f>IF(ISNUMBER(G135), $B145 * H135, "")</f>
        <v>-1132.0754716981091</v>
      </c>
      <c r="J135" s="13">
        <v>53.1</v>
      </c>
      <c r="K135" s="14">
        <f>IF(ISNUMBER(J135), (J135 - $B135) / $B135, "")</f>
        <v>1.8867924528302156E-3</v>
      </c>
      <c r="L135" s="16">
        <f>IF(ISNUMBER(J135), $B145 * K135, "")</f>
        <v>283.01886792453234</v>
      </c>
      <c r="M135" s="29">
        <v>52.9</v>
      </c>
      <c r="N135" s="14">
        <f>IF(ISNUMBER(M135), (M135 - $B135) / $B135, "")</f>
        <v>-1.8867924528302156E-3</v>
      </c>
      <c r="O135" s="16">
        <f>IF(ISNUMBER(M135), $B145 * N135, "")</f>
        <v>-283.01886792453234</v>
      </c>
      <c r="Q135" s="173"/>
      <c r="R135" s="174"/>
      <c r="S135" s="175"/>
    </row>
    <row r="136" spans="1:19" ht="17.25" thickBot="1">
      <c r="A136" s="109" t="s">
        <v>210</v>
      </c>
      <c r="B136" s="110">
        <v>66.8</v>
      </c>
      <c r="C136" s="70">
        <v>-2.0527859200000002E-2</v>
      </c>
      <c r="D136" s="15">
        <v>66.7</v>
      </c>
      <c r="E136" s="32">
        <f t="shared" ref="E136:E139" si="70">IF(ISNUMBER(D136), (D136 - $B136) / $B136, "")</f>
        <v>-1.497005988023867E-3</v>
      </c>
      <c r="F136" s="18">
        <f>IF(ISNUMBER(D136), $B145 * E136, "")</f>
        <v>-224.55089820358003</v>
      </c>
      <c r="G136" s="31">
        <v>66.599999999999994</v>
      </c>
      <c r="H136" s="32">
        <f t="shared" ref="H136:H139" si="71">IF(ISNUMBER(G136), (G136 - $B136) / $B136, "")</f>
        <v>-2.9940119760479469E-3</v>
      </c>
      <c r="I136" s="91">
        <f>IF(ISNUMBER(G136), $B145 * H136, "")</f>
        <v>-449.10179640719201</v>
      </c>
      <c r="J136" s="15">
        <v>66.7</v>
      </c>
      <c r="K136" s="32">
        <f t="shared" ref="K136:K139" si="72">IF(ISNUMBER(J136), (J136 - $B136) / $B136, "")</f>
        <v>-1.497005988023867E-3</v>
      </c>
      <c r="L136" s="18">
        <f>IF(ISNUMBER(J136), $B145 * K136, "")</f>
        <v>-224.55089820358003</v>
      </c>
      <c r="M136" s="31">
        <v>66.8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76"/>
      <c r="R136" s="177"/>
      <c r="S136" s="178"/>
    </row>
    <row r="137" spans="1:19" ht="17.25" thickBot="1">
      <c r="A137" s="109" t="s">
        <v>333</v>
      </c>
      <c r="B137" s="110">
        <v>65.2</v>
      </c>
      <c r="C137" s="70">
        <v>-2.39520958E-2</v>
      </c>
      <c r="D137" s="15">
        <v>65.099999999999994</v>
      </c>
      <c r="E137" s="32">
        <f t="shared" si="70"/>
        <v>-1.5337423312884743E-3</v>
      </c>
      <c r="F137" s="18">
        <f>IF(ISNUMBER(D137), $B145 * E137, "")</f>
        <v>-230.06134969327115</v>
      </c>
      <c r="G137" s="31">
        <v>64.8</v>
      </c>
      <c r="H137" s="32">
        <f t="shared" si="71"/>
        <v>-6.1349693251534611E-3</v>
      </c>
      <c r="I137" s="91">
        <f>IF(ISNUMBER(G137), $B145 * H137, "")</f>
        <v>-920.24539877301913</v>
      </c>
      <c r="J137" s="15">
        <v>64.7</v>
      </c>
      <c r="K137" s="32">
        <f t="shared" si="72"/>
        <v>-7.6687116564417178E-3</v>
      </c>
      <c r="L137" s="18">
        <f>IF(ISNUMBER(J137), $B145 * K137, "")</f>
        <v>-1150.3067484662577</v>
      </c>
      <c r="M137" s="31">
        <v>64.7</v>
      </c>
      <c r="N137" s="32">
        <f t="shared" si="73"/>
        <v>-7.6687116564417178E-3</v>
      </c>
      <c r="O137" s="18">
        <f>IF(ISNUMBER(M137), $B145 * N137, "")</f>
        <v>-1150.3067484662577</v>
      </c>
      <c r="Q137" s="161"/>
      <c r="R137" s="161"/>
      <c r="S137" s="161"/>
    </row>
    <row r="138" spans="1:19" ht="17.25" thickBot="1">
      <c r="A138" s="109" t="s">
        <v>212</v>
      </c>
      <c r="B138" s="110">
        <v>88.7</v>
      </c>
      <c r="C138" s="70">
        <v>-2.9540481399999999E-2</v>
      </c>
      <c r="D138" s="15">
        <v>88.9</v>
      </c>
      <c r="E138" s="32">
        <f t="shared" si="70"/>
        <v>2.2547914317925912E-3</v>
      </c>
      <c r="F138" s="18">
        <f>IF(ISNUMBER(D138), $B145 * E138, "")</f>
        <v>338.21871476888867</v>
      </c>
      <c r="G138" s="31">
        <v>88.6</v>
      </c>
      <c r="H138" s="32">
        <f t="shared" si="71"/>
        <v>-1.1273957158963756E-3</v>
      </c>
      <c r="I138" s="91">
        <f>IF(ISNUMBER(G138), $B145 * H138, "")</f>
        <v>-169.10935738445633</v>
      </c>
      <c r="J138" s="15">
        <v>89</v>
      </c>
      <c r="K138" s="32">
        <f t="shared" si="72"/>
        <v>3.3821871476888065E-3</v>
      </c>
      <c r="L138" s="18">
        <f>IF(ISNUMBER(J138), $B145 * K138, "")</f>
        <v>507.32807215332099</v>
      </c>
      <c r="M138" s="31">
        <v>89.1</v>
      </c>
      <c r="N138" s="32">
        <f t="shared" si="73"/>
        <v>4.5095828635850219E-3</v>
      </c>
      <c r="O138" s="18">
        <f>IF(ISNUMBER(M138), $B145 * N138, "")</f>
        <v>676.43742953775325</v>
      </c>
      <c r="Q138" s="156"/>
      <c r="R138" s="156"/>
      <c r="S138" s="156"/>
    </row>
    <row r="139" spans="1:19" ht="17.25" thickBot="1">
      <c r="A139" s="111" t="s">
        <v>138</v>
      </c>
      <c r="B139" s="112">
        <v>29.3</v>
      </c>
      <c r="C139" s="71">
        <v>-2.98013245E-2</v>
      </c>
      <c r="D139" s="20">
        <v>29.3</v>
      </c>
      <c r="E139" s="21">
        <f t="shared" si="70"/>
        <v>0</v>
      </c>
      <c r="F139" s="22">
        <f>IF(ISNUMBER(D139), $B145 * E139, "")</f>
        <v>0</v>
      </c>
      <c r="G139" s="30">
        <v>29.3</v>
      </c>
      <c r="H139" s="21">
        <f t="shared" si="71"/>
        <v>0</v>
      </c>
      <c r="I139" s="95">
        <f>IF(ISNUMBER(G139), $B145 * H139, "")</f>
        <v>0</v>
      </c>
      <c r="J139" s="20">
        <v>29.4</v>
      </c>
      <c r="K139" s="21">
        <f t="shared" si="72"/>
        <v>3.4129692832763777E-3</v>
      </c>
      <c r="L139" s="22">
        <f>IF(ISNUMBER(J139), $B145 * K139, "")</f>
        <v>511.94539249145663</v>
      </c>
      <c r="M139" s="30">
        <v>29.4</v>
      </c>
      <c r="N139" s="21">
        <f t="shared" si="73"/>
        <v>3.4129692832763777E-3</v>
      </c>
      <c r="O139" s="22">
        <f>IF(ISNUMBER(M139), $B145 * N139, "")</f>
        <v>511.94539249145663</v>
      </c>
      <c r="Q139" s="156"/>
      <c r="R139" s="156"/>
      <c r="S139" s="156"/>
    </row>
    <row r="140" spans="1:19" ht="17.25" thickBot="1">
      <c r="A140" s="109" t="s">
        <v>124</v>
      </c>
      <c r="B140" s="113">
        <v>34.299999999999997</v>
      </c>
      <c r="C140" s="73">
        <v>-3.1073446300000002E-2</v>
      </c>
      <c r="D140" s="96">
        <v>34.200000000000003</v>
      </c>
      <c r="E140" s="97">
        <f>IF(ISNUMBER(D140), (D140 - $B140) / $B140, "")</f>
        <v>-2.9154518950435665E-3</v>
      </c>
      <c r="F140" s="98">
        <f>IF(ISNUMBER(D140), $B145 * E140, "")</f>
        <v>-437.31778425653499</v>
      </c>
      <c r="G140" s="99">
        <v>34.299999999999997</v>
      </c>
      <c r="H140" s="97">
        <f>IF(ISNUMBER(G140), (G140 - $B140) / $B140, "")</f>
        <v>0</v>
      </c>
      <c r="I140" s="100">
        <f>IF(ISNUMBER(G140), $B145 * H140, "")</f>
        <v>0</v>
      </c>
      <c r="J140" s="96">
        <v>34.1</v>
      </c>
      <c r="K140" s="97">
        <f>IF(ISNUMBER(J140), (J140 - $B140) / $B140, "")</f>
        <v>-5.8309037900873394E-3</v>
      </c>
      <c r="L140" s="98">
        <f>IF(ISNUMBER(J140), $B145 * K140, "")</f>
        <v>-874.63556851310091</v>
      </c>
      <c r="M140" s="99">
        <v>34.299999999999997</v>
      </c>
      <c r="N140" s="97">
        <f>IF(ISNUMBER(M140), (M140 - $B140) / $B140, "")</f>
        <v>0</v>
      </c>
      <c r="O140" s="98">
        <f>IF(ISNUMBER(M140), $B145 * N140, "")</f>
        <v>0</v>
      </c>
      <c r="Q140" s="161"/>
      <c r="R140" s="161"/>
      <c r="S140" s="161"/>
    </row>
    <row r="141" spans="1:19" ht="17.25" thickBot="1">
      <c r="A141" s="109" t="s">
        <v>132</v>
      </c>
      <c r="B141" s="110">
        <v>61.4</v>
      </c>
      <c r="C141" s="70">
        <v>-3.3070866099999999E-2</v>
      </c>
      <c r="D141" s="15">
        <v>61.8</v>
      </c>
      <c r="E141" s="32">
        <f t="shared" ref="E141:E144" si="74">IF(ISNUMBER(D141), (D141 - $B141) / $B141, "")</f>
        <v>6.5146579804560029E-3</v>
      </c>
      <c r="F141" s="18">
        <f>IF(ISNUMBER(D141), $B145 * E141, "")</f>
        <v>977.19869706840041</v>
      </c>
      <c r="G141" s="31">
        <v>61.7</v>
      </c>
      <c r="H141" s="32">
        <f t="shared" ref="H141:H144" si="75">IF(ISNUMBER(G141), (G141 - $B141) / $B141, "")</f>
        <v>4.8859934853420894E-3</v>
      </c>
      <c r="I141" s="91">
        <f>IF(ISNUMBER(G141), $B145 * H141, "")</f>
        <v>732.89902280131344</v>
      </c>
      <c r="J141" s="15">
        <v>61.7</v>
      </c>
      <c r="K141" s="32">
        <f t="shared" ref="K141:K144" si="76">IF(ISNUMBER(J141), (J141 - $B141) / $B141, "")</f>
        <v>4.8859934853420894E-3</v>
      </c>
      <c r="L141" s="18">
        <f>IF(ISNUMBER(J141), $B145 * K141, "")</f>
        <v>732.89902280131344</v>
      </c>
      <c r="M141" s="31">
        <v>61.6</v>
      </c>
      <c r="N141" s="32">
        <f t="shared" ref="N141:N144" si="77">IF(ISNUMBER(M141), (M141 - $B141) / $B141, "")</f>
        <v>3.2573289902280596E-3</v>
      </c>
      <c r="O141" s="18">
        <f>IF(ISNUMBER(M141), $B145 * N141, "")</f>
        <v>488.59934853420896</v>
      </c>
      <c r="Q141" s="161"/>
      <c r="R141" s="161"/>
      <c r="S141" s="161"/>
    </row>
    <row r="142" spans="1:19" ht="17.25" thickBot="1">
      <c r="A142" s="109" t="s">
        <v>220</v>
      </c>
      <c r="B142" s="110">
        <v>81.400000000000006</v>
      </c>
      <c r="C142" s="70">
        <v>-4.2352941200000001E-2</v>
      </c>
      <c r="D142" s="15">
        <v>80.3</v>
      </c>
      <c r="E142" s="32">
        <f t="shared" si="74"/>
        <v>-1.3513513513513617E-2</v>
      </c>
      <c r="F142" s="18">
        <f>IF(ISNUMBER(D142), $B145 * E142, "")</f>
        <v>-2027.0270270270425</v>
      </c>
      <c r="G142" s="31">
        <v>80.3</v>
      </c>
      <c r="H142" s="32">
        <f t="shared" si="75"/>
        <v>-1.3513513513513617E-2</v>
      </c>
      <c r="I142" s="91">
        <f>IF(ISNUMBER(G142), $B145 * H142, "")</f>
        <v>-2027.0270270270425</v>
      </c>
      <c r="J142" s="15">
        <v>80.400000000000006</v>
      </c>
      <c r="K142" s="32">
        <f t="shared" si="76"/>
        <v>-1.2285012285012284E-2</v>
      </c>
      <c r="L142" s="18">
        <f>IF(ISNUMBER(J142), $B145 * K142, "")</f>
        <v>-1842.7518427518426</v>
      </c>
      <c r="M142" s="31">
        <v>80.2</v>
      </c>
      <c r="N142" s="32">
        <f t="shared" si="77"/>
        <v>-1.4742014742014775E-2</v>
      </c>
      <c r="O142" s="18">
        <f>IF(ISNUMBER(M142), $B145 * N142, "")</f>
        <v>-2211.3022113022162</v>
      </c>
      <c r="Q142" s="161"/>
      <c r="R142" s="161"/>
      <c r="S142" s="161"/>
    </row>
    <row r="143" spans="1:19">
      <c r="A143" s="109" t="s">
        <v>228</v>
      </c>
      <c r="B143" s="110">
        <v>67.3</v>
      </c>
      <c r="C143" s="70">
        <v>-4.4034090900000003E-2</v>
      </c>
      <c r="D143" s="15">
        <v>67</v>
      </c>
      <c r="E143" s="32">
        <f t="shared" si="74"/>
        <v>-4.4576523031203148E-3</v>
      </c>
      <c r="F143" s="18">
        <f>IF(ISNUMBER(D143), $B145 * E143, "")</f>
        <v>-668.64784546804719</v>
      </c>
      <c r="G143" s="31">
        <v>67</v>
      </c>
      <c r="H143" s="32">
        <f t="shared" si="75"/>
        <v>-4.4576523031203148E-3</v>
      </c>
      <c r="I143" s="91">
        <f>IF(ISNUMBER(G143), $B145 * H143, "")</f>
        <v>-668.64784546804719</v>
      </c>
      <c r="J143" s="15">
        <v>66.900000000000006</v>
      </c>
      <c r="K143" s="32">
        <f t="shared" si="76"/>
        <v>-5.9435364041603494E-3</v>
      </c>
      <c r="L143" s="18">
        <f>IF(ISNUMBER(J143), $B145 * K143, "")</f>
        <v>-891.53046062405247</v>
      </c>
      <c r="M143" s="31">
        <v>67.099999999999994</v>
      </c>
      <c r="N143" s="32">
        <f t="shared" si="77"/>
        <v>-2.9717682020802801E-3</v>
      </c>
      <c r="O143" s="18">
        <f>IF(ISNUMBER(M143), $B145 * N143, "")</f>
        <v>-445.76523031204204</v>
      </c>
      <c r="Q143" s="183"/>
      <c r="R143" s="184"/>
      <c r="S143" s="185"/>
    </row>
    <row r="144" spans="1:19" ht="17.25" thickBot="1">
      <c r="A144" s="114" t="s">
        <v>97</v>
      </c>
      <c r="B144" s="115">
        <v>8.9999999999999998E-4</v>
      </c>
      <c r="C144" s="72">
        <v>-0.1</v>
      </c>
      <c r="D144" s="24">
        <v>8.9999999999999998E-4</v>
      </c>
      <c r="E144" s="25">
        <f t="shared" si="74"/>
        <v>0</v>
      </c>
      <c r="F144" s="94">
        <f>IF(ISNUMBER(D144), $B145 * E144, "")</f>
        <v>0</v>
      </c>
      <c r="G144" s="92">
        <v>1E-3</v>
      </c>
      <c r="H144" s="25">
        <f t="shared" si="75"/>
        <v>0.11111111111111116</v>
      </c>
      <c r="I144" s="93">
        <f>IF(ISNUMBER(G144), $B145 * H144, "")</f>
        <v>16666.666666666675</v>
      </c>
      <c r="J144" s="24">
        <v>1E-3</v>
      </c>
      <c r="K144" s="25">
        <f t="shared" si="76"/>
        <v>0.11111111111111116</v>
      </c>
      <c r="L144" s="94">
        <f>IF(ISNUMBER(J144), $B145 * K144, "")</f>
        <v>16666.666666666675</v>
      </c>
      <c r="M144" s="92">
        <v>8.9999999999999998E-4</v>
      </c>
      <c r="N144" s="25">
        <f t="shared" si="77"/>
        <v>0</v>
      </c>
      <c r="O144" s="94">
        <f>IF(ISNUMBER(M144), $B145 * N144, "")</f>
        <v>0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2.6769869485302052E-4</v>
      </c>
      <c r="F145" s="28">
        <f>SUM(F125:F144)</f>
        <v>803.09608455906221</v>
      </c>
      <c r="G145" s="26" t="s">
        <v>261</v>
      </c>
      <c r="H145" s="27">
        <f>IF(COUNT(H125:H144), SUM(H125:H144) / COUNT(H125:H144), 0)</f>
        <v>5.1687653284418576E-3</v>
      </c>
      <c r="I145" s="28">
        <f>SUM(I125:I144)</f>
        <v>15506.295985325576</v>
      </c>
      <c r="J145" s="26" t="s">
        <v>261</v>
      </c>
      <c r="K145" s="27">
        <f>IF(COUNT(K125:K144), SUM(K125:K144) / COUNT(K125:K144), 0)</f>
        <v>6.1412190720197355E-3</v>
      </c>
      <c r="L145" s="28">
        <f>SUM(L125:L144)</f>
        <v>18423.657216059208</v>
      </c>
      <c r="M145" s="26" t="s">
        <v>261</v>
      </c>
      <c r="N145" s="27">
        <f>IF(COUNT(N125:N144), SUM(N125:N144) / COUNT(N125:N144), 0)</f>
        <v>8.3498568117794641E-4</v>
      </c>
      <c r="O145" s="28">
        <f>SUM(O125:O144)</f>
        <v>2504.9570435338392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2022-12-03(토) 오전 00:00</v>
      </c>
      <c r="C150" s="199"/>
      <c r="D150" s="158" t="str">
        <f>TEXT($G$1, "[$-ko-KR]yyyy-mm-dd(ddd) ") &amp; "오후 14:00"</f>
        <v>2022-12-03(토) 오후 14:00</v>
      </c>
      <c r="E150" s="159"/>
      <c r="F150" s="160"/>
      <c r="G150" s="158" t="str">
        <f>TEXT($G$1, "[$-ko-KR]yyyy-mm-dd(ddd) ") &amp; "오후 19:00"</f>
        <v>2022-12-03(토) 오후 19:00</v>
      </c>
      <c r="H150" s="159"/>
      <c r="I150" s="160"/>
      <c r="J150" s="158" t="str">
        <f>TEXT($G$1, "[$-ko-KR]yyyy-mm-dd(ddd) ") &amp; "오후 21:00"</f>
        <v>2022-12-03(토) 오후 21:00</v>
      </c>
      <c r="K150" s="159"/>
      <c r="L150" s="160"/>
      <c r="M150" s="158" t="str">
        <f>TEXT($G$1+1, "[$-ko-KR]yyyy-mm-dd(ddd) ") &amp; "오전 00:00"</f>
        <v>2022-12-04(일)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157</v>
      </c>
      <c r="B152" s="108">
        <v>162</v>
      </c>
      <c r="C152" s="69">
        <v>-1.8181818200000002E-2</v>
      </c>
      <c r="D152" s="13">
        <v>161</v>
      </c>
      <c r="E152" s="14">
        <f>IF(ISNUMBER(D152), (D152 - $B152) / $B152, "")</f>
        <v>-6.1728395061728392E-3</v>
      </c>
      <c r="F152" s="16">
        <f>IF(ISNUMBER(D152), $B172 * E152, "")</f>
        <v>-925.92592592592587</v>
      </c>
      <c r="G152" s="29">
        <v>161</v>
      </c>
      <c r="H152" s="14">
        <f>IF(ISNUMBER(G152), (G152 - $B152) / $B152, "")</f>
        <v>-6.1728395061728392E-3</v>
      </c>
      <c r="I152" s="90">
        <f>IF(ISNUMBER(G152), $B172 * H152, "")</f>
        <v>-925.92592592592587</v>
      </c>
      <c r="J152" s="13">
        <v>161</v>
      </c>
      <c r="K152" s="14">
        <f>IF(ISNUMBER(J152), (J152 - $B152) / $B152, "")</f>
        <v>-6.1728395061728392E-3</v>
      </c>
      <c r="L152" s="16">
        <f>IF(ISNUMBER(J152), $B172 * K152, "")</f>
        <v>-925.92592592592587</v>
      </c>
      <c r="M152" s="29">
        <v>162</v>
      </c>
      <c r="N152" s="14">
        <f>IF(ISNUMBER(M152), (M152 - $B152) / $B152, "")</f>
        <v>0</v>
      </c>
      <c r="O152" s="16">
        <f>IF(ISNUMBER(M152), $B172 * N152, "")</f>
        <v>0</v>
      </c>
      <c r="Q152" s="156"/>
      <c r="R152" s="156"/>
      <c r="S152" s="156"/>
    </row>
    <row r="153" spans="1:19" ht="17.25" thickBot="1">
      <c r="A153" s="109" t="s">
        <v>222</v>
      </c>
      <c r="B153" s="110">
        <v>482</v>
      </c>
      <c r="C153" s="70">
        <v>-1.8329938899999999E-2</v>
      </c>
      <c r="D153" s="15">
        <v>484</v>
      </c>
      <c r="E153" s="32">
        <f t="shared" ref="E153:E156" si="78">IF(ISNUMBER(D153), (D153 - $B153) / $B153, "")</f>
        <v>4.1493775933609959E-3</v>
      </c>
      <c r="F153" s="18">
        <f>IF(ISNUMBER(D153), $B172 * E153, "")</f>
        <v>622.40663900414938</v>
      </c>
      <c r="G153" s="31">
        <v>482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497</v>
      </c>
      <c r="K153" s="32">
        <f t="shared" ref="K153:K156" si="80">IF(ISNUMBER(J153), (J153 - $B153) / $B153, "")</f>
        <v>3.1120331950207469E-2</v>
      </c>
      <c r="L153" s="18">
        <f>IF(ISNUMBER(J153), $B172 * K153, "")</f>
        <v>4668.0497925311201</v>
      </c>
      <c r="M153" s="31">
        <v>488</v>
      </c>
      <c r="N153" s="32">
        <f t="shared" ref="N153:N156" si="81">IF(ISNUMBER(M153), (M153 - $B153) / $B153, "")</f>
        <v>1.2448132780082987E-2</v>
      </c>
      <c r="O153" s="18">
        <f>IF(ISNUMBER(M153), $B172 * N153, "")</f>
        <v>1867.2199170124479</v>
      </c>
      <c r="Q153" s="156"/>
      <c r="R153" s="156"/>
      <c r="S153" s="156"/>
    </row>
    <row r="154" spans="1:19" ht="17.25" thickBot="1">
      <c r="A154" s="109" t="s">
        <v>346</v>
      </c>
      <c r="B154" s="110">
        <v>521</v>
      </c>
      <c r="C154" s="70">
        <v>-1.8832391699999999E-2</v>
      </c>
      <c r="D154" s="15">
        <v>523</v>
      </c>
      <c r="E154" s="32">
        <f t="shared" si="78"/>
        <v>3.838771593090211E-3</v>
      </c>
      <c r="F154" s="18">
        <f>IF(ISNUMBER(D154), $B172 * E154, "")</f>
        <v>575.81573896353166</v>
      </c>
      <c r="G154" s="31">
        <v>521</v>
      </c>
      <c r="H154" s="32">
        <f t="shared" si="79"/>
        <v>0</v>
      </c>
      <c r="I154" s="91">
        <f>IF(ISNUMBER(G154), $B172 * H154, "")</f>
        <v>0</v>
      </c>
      <c r="J154" s="15">
        <v>536</v>
      </c>
      <c r="K154" s="32">
        <f t="shared" si="80"/>
        <v>2.8790786948176585E-2</v>
      </c>
      <c r="L154" s="18">
        <f>IF(ISNUMBER(J154), $B172 * K154, "")</f>
        <v>4318.6180422264879</v>
      </c>
      <c r="M154" s="31">
        <v>530</v>
      </c>
      <c r="N154" s="32">
        <f t="shared" si="81"/>
        <v>1.7274472168905951E-2</v>
      </c>
      <c r="O154" s="18">
        <f>IF(ISNUMBER(M154), $B172 * N154, "")</f>
        <v>2591.1708253358925</v>
      </c>
      <c r="Q154" s="161"/>
      <c r="R154" s="161"/>
      <c r="S154" s="161"/>
    </row>
    <row r="155" spans="1:19" ht="17.25" thickBot="1">
      <c r="A155" s="109" t="s">
        <v>202</v>
      </c>
      <c r="B155" s="110">
        <v>363</v>
      </c>
      <c r="C155" s="70">
        <v>-1.8918918900000001E-2</v>
      </c>
      <c r="D155" s="15">
        <v>363</v>
      </c>
      <c r="E155" s="32">
        <f t="shared" si="78"/>
        <v>0</v>
      </c>
      <c r="F155" s="18">
        <f>IF(ISNUMBER(D155), $B172 * E155, "")</f>
        <v>0</v>
      </c>
      <c r="G155" s="31">
        <v>365</v>
      </c>
      <c r="H155" s="32">
        <f t="shared" si="79"/>
        <v>5.5096418732782371E-3</v>
      </c>
      <c r="I155" s="91">
        <f>IF(ISNUMBER(G155), $B172 * H155, "")</f>
        <v>826.44628099173553</v>
      </c>
      <c r="J155" s="15">
        <v>365</v>
      </c>
      <c r="K155" s="32">
        <f t="shared" si="80"/>
        <v>5.5096418732782371E-3</v>
      </c>
      <c r="L155" s="18">
        <f>IF(ISNUMBER(J155), $B172 * K155, "")</f>
        <v>826.44628099173553</v>
      </c>
      <c r="M155" s="31">
        <v>366</v>
      </c>
      <c r="N155" s="32">
        <f t="shared" si="81"/>
        <v>8.2644628099173556E-3</v>
      </c>
      <c r="O155" s="18">
        <f>IF(ISNUMBER(M155), $B172 * N155, "")</f>
        <v>1239.6694214876034</v>
      </c>
      <c r="Q155" s="161"/>
      <c r="R155" s="161"/>
      <c r="S155" s="161"/>
    </row>
    <row r="156" spans="1:19" ht="17.25" thickBot="1">
      <c r="A156" s="111" t="s">
        <v>167</v>
      </c>
      <c r="B156" s="112">
        <v>203</v>
      </c>
      <c r="C156" s="71">
        <v>-1.93236715E-2</v>
      </c>
      <c r="D156" s="20">
        <v>204</v>
      </c>
      <c r="E156" s="21">
        <f t="shared" si="78"/>
        <v>4.9261083743842365E-3</v>
      </c>
      <c r="F156" s="22">
        <f>IF(ISNUMBER(D156), $B172 * E156, "")</f>
        <v>738.91625615763553</v>
      </c>
      <c r="G156" s="30">
        <v>204</v>
      </c>
      <c r="H156" s="21">
        <f t="shared" si="79"/>
        <v>4.9261083743842365E-3</v>
      </c>
      <c r="I156" s="95">
        <f>IF(ISNUMBER(G156), $B172 * H156, "")</f>
        <v>738.91625615763553</v>
      </c>
      <c r="J156" s="20">
        <v>205</v>
      </c>
      <c r="K156" s="21">
        <f t="shared" si="80"/>
        <v>9.852216748768473E-3</v>
      </c>
      <c r="L156" s="22">
        <f>IF(ISNUMBER(J156), $B172 * K156, "")</f>
        <v>1477.8325123152711</v>
      </c>
      <c r="M156" s="30">
        <v>205</v>
      </c>
      <c r="N156" s="21">
        <f t="shared" si="81"/>
        <v>9.852216748768473E-3</v>
      </c>
      <c r="O156" s="22">
        <f>IF(ISNUMBER(M156), $B172 * N156, "")</f>
        <v>1477.8325123152711</v>
      </c>
      <c r="Q156" s="161"/>
      <c r="R156" s="161"/>
      <c r="S156" s="161"/>
    </row>
    <row r="157" spans="1:19" ht="17.25" thickBot="1">
      <c r="A157" s="109" t="s">
        <v>242</v>
      </c>
      <c r="B157" s="113">
        <v>477</v>
      </c>
      <c r="C157" s="73">
        <v>-2.0533880899999999E-2</v>
      </c>
      <c r="D157" s="96">
        <v>478</v>
      </c>
      <c r="E157" s="97">
        <f>IF(ISNUMBER(D157), (D157 - $B157) / $B157, "")</f>
        <v>2.0964360587002098E-3</v>
      </c>
      <c r="F157" s="98">
        <f>IF(ISNUMBER(D157), $B172 * E157, "")</f>
        <v>314.46540880503147</v>
      </c>
      <c r="G157" s="99">
        <v>478</v>
      </c>
      <c r="H157" s="97">
        <f>IF(ISNUMBER(G157), (G157 - $B157) / $B157, "")</f>
        <v>2.0964360587002098E-3</v>
      </c>
      <c r="I157" s="100">
        <f>IF(ISNUMBER(G157), $B172 * H157, "")</f>
        <v>314.46540880503147</v>
      </c>
      <c r="J157" s="96">
        <v>479</v>
      </c>
      <c r="K157" s="97">
        <f>IF(ISNUMBER(J157), (J157 - $B157) / $B157, "")</f>
        <v>4.1928721174004195E-3</v>
      </c>
      <c r="L157" s="98">
        <f>IF(ISNUMBER(J157), $B172 * K157, "")</f>
        <v>628.93081761006295</v>
      </c>
      <c r="M157" s="99">
        <v>477</v>
      </c>
      <c r="N157" s="97">
        <f>IF(ISNUMBER(M157), (M157 - $B157) / $B157, "")</f>
        <v>0</v>
      </c>
      <c r="O157" s="98">
        <f>IF(ISNUMBER(M157), $B172 * N157, "")</f>
        <v>0</v>
      </c>
      <c r="Q157" s="161"/>
      <c r="R157" s="161"/>
      <c r="S157" s="161"/>
    </row>
    <row r="158" spans="1:19" ht="17.25" thickBot="1">
      <c r="A158" s="109" t="s">
        <v>66</v>
      </c>
      <c r="B158" s="110">
        <v>729</v>
      </c>
      <c r="C158" s="70">
        <v>-2.1476510099999999E-2</v>
      </c>
      <c r="D158" s="15">
        <v>732</v>
      </c>
      <c r="E158" s="32">
        <f t="shared" ref="E158:E161" si="82">IF(ISNUMBER(D158), (D158 - $B158) / $B158, "")</f>
        <v>4.11522633744856E-3</v>
      </c>
      <c r="F158" s="18">
        <f>IF(ISNUMBER(D158), $B172 * E158, "")</f>
        <v>617.28395061728395</v>
      </c>
      <c r="G158" s="31">
        <v>735</v>
      </c>
      <c r="H158" s="32">
        <f t="shared" ref="H158:H161" si="83">IF(ISNUMBER(G158), (G158 - $B158) / $B158, "")</f>
        <v>8.23045267489712E-3</v>
      </c>
      <c r="I158" s="91">
        <f>IF(ISNUMBER(G158), $B172 * H158, "")</f>
        <v>1234.5679012345679</v>
      </c>
      <c r="J158" s="15">
        <v>739</v>
      </c>
      <c r="K158" s="32">
        <f t="shared" ref="K158:K161" si="84">IF(ISNUMBER(J158), (J158 - $B158) / $B158, "")</f>
        <v>1.3717421124828532E-2</v>
      </c>
      <c r="L158" s="18">
        <f>IF(ISNUMBER(J158), $B172 * K158, "")</f>
        <v>2057.6131687242796</v>
      </c>
      <c r="M158" s="31">
        <v>740</v>
      </c>
      <c r="N158" s="32">
        <f t="shared" ref="N158:N161" si="85">IF(ISNUMBER(M158), (M158 - $B158) / $B158, "")</f>
        <v>1.5089163237311385E-2</v>
      </c>
      <c r="O158" s="18">
        <f>IF(ISNUMBER(M158), $B172 * N158, "")</f>
        <v>2263.3744855967079</v>
      </c>
      <c r="Q158" s="161"/>
      <c r="R158" s="161"/>
      <c r="S158" s="161"/>
    </row>
    <row r="159" spans="1:19" ht="17.25" thickBot="1">
      <c r="A159" s="109" t="s">
        <v>349</v>
      </c>
      <c r="B159" s="110">
        <v>781</v>
      </c>
      <c r="C159" s="70">
        <v>-2.375E-2</v>
      </c>
      <c r="D159" s="15">
        <v>795</v>
      </c>
      <c r="E159" s="32">
        <f t="shared" si="82"/>
        <v>1.7925736235595392E-2</v>
      </c>
      <c r="F159" s="18">
        <f>IF(ISNUMBER(D159), $B172 * E159, "")</f>
        <v>2688.8604353393089</v>
      </c>
      <c r="G159" s="31">
        <v>795</v>
      </c>
      <c r="H159" s="32">
        <f t="shared" si="83"/>
        <v>1.7925736235595392E-2</v>
      </c>
      <c r="I159" s="91">
        <f>IF(ISNUMBER(G159), $B172 * H159, "")</f>
        <v>2688.8604353393089</v>
      </c>
      <c r="J159" s="15">
        <v>803</v>
      </c>
      <c r="K159" s="32">
        <f t="shared" si="84"/>
        <v>2.8169014084507043E-2</v>
      </c>
      <c r="L159" s="18">
        <f>IF(ISNUMBER(J159), $B172 * K159, "")</f>
        <v>4225.3521126760561</v>
      </c>
      <c r="M159" s="31">
        <v>797</v>
      </c>
      <c r="N159" s="32">
        <f t="shared" si="85"/>
        <v>2.0486555697823303E-2</v>
      </c>
      <c r="O159" s="18">
        <f>IF(ISNUMBER(M159), $B172 * N159, "")</f>
        <v>3072.9833546734953</v>
      </c>
      <c r="Q159" s="161"/>
      <c r="R159" s="161"/>
      <c r="S159" s="161"/>
    </row>
    <row r="160" spans="1:19" ht="17.25" thickBot="1">
      <c r="A160" s="109" t="s">
        <v>218</v>
      </c>
      <c r="B160" s="110">
        <v>352</v>
      </c>
      <c r="C160" s="70">
        <v>-2.4930747900000001E-2</v>
      </c>
      <c r="D160" s="15">
        <v>361</v>
      </c>
      <c r="E160" s="32">
        <f t="shared" si="82"/>
        <v>2.556818181818182E-2</v>
      </c>
      <c r="F160" s="18">
        <f>IF(ISNUMBER(D160), $B172 * E160, "")</f>
        <v>3835.227272727273</v>
      </c>
      <c r="G160" s="31">
        <v>370</v>
      </c>
      <c r="H160" s="32">
        <f t="shared" si="83"/>
        <v>5.113636363636364E-2</v>
      </c>
      <c r="I160" s="91">
        <f>IF(ISNUMBER(G160), $B172 * H160, "")</f>
        <v>7670.454545454546</v>
      </c>
      <c r="J160" s="15">
        <v>399</v>
      </c>
      <c r="K160" s="32">
        <f t="shared" si="84"/>
        <v>0.13352272727272727</v>
      </c>
      <c r="L160" s="18">
        <f>IF(ISNUMBER(J160), $B172 * K160, "")</f>
        <v>20028.409090909088</v>
      </c>
      <c r="M160" s="31">
        <v>369</v>
      </c>
      <c r="N160" s="32">
        <f t="shared" si="85"/>
        <v>4.8295454545454544E-2</v>
      </c>
      <c r="O160" s="18">
        <f>IF(ISNUMBER(M160), $B172 * N160, "")</f>
        <v>7244.318181818182</v>
      </c>
      <c r="Q160" s="33"/>
      <c r="R160" s="33"/>
    </row>
    <row r="161" spans="1:19" ht="17.25" thickBot="1">
      <c r="A161" s="114" t="s">
        <v>208</v>
      </c>
      <c r="B161" s="115">
        <v>113</v>
      </c>
      <c r="C161" s="72">
        <v>-2.5862069000000001E-2</v>
      </c>
      <c r="D161" s="24">
        <v>113</v>
      </c>
      <c r="E161" s="25">
        <f t="shared" si="82"/>
        <v>0</v>
      </c>
      <c r="F161" s="94">
        <f>IF(ISNUMBER(D161), $B172 * E161, "")</f>
        <v>0</v>
      </c>
      <c r="G161" s="92">
        <v>114</v>
      </c>
      <c r="H161" s="25">
        <f t="shared" si="83"/>
        <v>8.8495575221238937E-3</v>
      </c>
      <c r="I161" s="93">
        <f>IF(ISNUMBER(G161), $B172 * H161, "")</f>
        <v>1327.4336283185839</v>
      </c>
      <c r="J161" s="24">
        <v>114</v>
      </c>
      <c r="K161" s="25">
        <f t="shared" si="84"/>
        <v>8.8495575221238937E-3</v>
      </c>
      <c r="L161" s="94">
        <f>IF(ISNUMBER(J161), $B172 * K161, "")</f>
        <v>1327.4336283185839</v>
      </c>
      <c r="M161" s="92">
        <v>114</v>
      </c>
      <c r="N161" s="25">
        <f t="shared" si="85"/>
        <v>8.8495575221238937E-3</v>
      </c>
      <c r="O161" s="94">
        <f>IF(ISNUMBER(M161), $B172 * N161, "")</f>
        <v>1327.4336283185839</v>
      </c>
      <c r="Q161" s="170"/>
      <c r="R161" s="171"/>
      <c r="S161" s="172"/>
    </row>
    <row r="162" spans="1:19">
      <c r="A162" s="107" t="s">
        <v>130</v>
      </c>
      <c r="B162" s="108">
        <v>888</v>
      </c>
      <c r="C162" s="69">
        <v>-2.6315789499999999E-2</v>
      </c>
      <c r="D162" s="13">
        <v>881</v>
      </c>
      <c r="E162" s="14">
        <f>IF(ISNUMBER(D162), (D162 - $B162) / $B162, "")</f>
        <v>-7.8828828828828822E-3</v>
      </c>
      <c r="F162" s="16">
        <f>IF(ISNUMBER(D162), $B172 * E162, "")</f>
        <v>-1182.4324324324323</v>
      </c>
      <c r="G162" s="29">
        <v>882</v>
      </c>
      <c r="H162" s="14">
        <f>IF(ISNUMBER(G162), (G162 - $B162) / $B162, "")</f>
        <v>-6.7567567567567571E-3</v>
      </c>
      <c r="I162" s="90">
        <f>IF(ISNUMBER(G162), $B172 * H162, "")</f>
        <v>-1013.5135135135135</v>
      </c>
      <c r="J162" s="13">
        <v>884</v>
      </c>
      <c r="K162" s="14">
        <f>IF(ISNUMBER(J162), (J162 - $B162) / $B162, "")</f>
        <v>-4.5045045045045045E-3</v>
      </c>
      <c r="L162" s="16">
        <f>IF(ISNUMBER(J162), $B172 * K162, "")</f>
        <v>-675.67567567567562</v>
      </c>
      <c r="M162" s="29">
        <v>883</v>
      </c>
      <c r="N162" s="14">
        <f>IF(ISNUMBER(M162), (M162 - $B162) / $B162, "")</f>
        <v>-5.6306306306306304E-3</v>
      </c>
      <c r="O162" s="16">
        <f>IF(ISNUMBER(M162), $B172 * N162, "")</f>
        <v>-844.59459459459458</v>
      </c>
      <c r="Q162" s="173"/>
      <c r="R162" s="174"/>
      <c r="S162" s="175"/>
    </row>
    <row r="163" spans="1:19" ht="17.25" thickBot="1">
      <c r="A163" s="109" t="s">
        <v>68</v>
      </c>
      <c r="B163" s="110">
        <v>365</v>
      </c>
      <c r="C163" s="70">
        <v>-2.6666666700000001E-2</v>
      </c>
      <c r="D163" s="15">
        <v>365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362</v>
      </c>
      <c r="H163" s="32">
        <f t="shared" ref="H163:H166" si="87">IF(ISNUMBER(G163), (G163 - $B163) / $B163, "")</f>
        <v>-8.21917808219178E-3</v>
      </c>
      <c r="I163" s="91">
        <f>IF(ISNUMBER(G163), $B172 * H163, "")</f>
        <v>-1232.8767123287671</v>
      </c>
      <c r="J163" s="15">
        <v>365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365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76"/>
      <c r="R163" s="177"/>
      <c r="S163" s="178"/>
    </row>
    <row r="164" spans="1:19" ht="17.25" thickBot="1">
      <c r="A164" s="109" t="s">
        <v>103</v>
      </c>
      <c r="B164" s="110">
        <v>255</v>
      </c>
      <c r="C164" s="70">
        <v>-2.67175573E-2</v>
      </c>
      <c r="D164" s="15">
        <v>257</v>
      </c>
      <c r="E164" s="32">
        <f t="shared" si="86"/>
        <v>7.8431372549019607E-3</v>
      </c>
      <c r="F164" s="18">
        <f>IF(ISNUMBER(D164), $B172 * E164, "")</f>
        <v>1176.4705882352941</v>
      </c>
      <c r="G164" s="31">
        <v>256</v>
      </c>
      <c r="H164" s="32">
        <f t="shared" si="87"/>
        <v>3.9215686274509803E-3</v>
      </c>
      <c r="I164" s="91">
        <f>IF(ISNUMBER(G164), $B172 * H164, "")</f>
        <v>588.23529411764707</v>
      </c>
      <c r="J164" s="15">
        <v>257</v>
      </c>
      <c r="K164" s="32">
        <f t="shared" si="88"/>
        <v>7.8431372549019607E-3</v>
      </c>
      <c r="L164" s="18">
        <f>IF(ISNUMBER(J164), $B172 * K164, "")</f>
        <v>1176.4705882352941</v>
      </c>
      <c r="M164" s="31">
        <v>258</v>
      </c>
      <c r="N164" s="32">
        <f t="shared" si="89"/>
        <v>1.1764705882352941E-2</v>
      </c>
      <c r="O164" s="18">
        <f>IF(ISNUMBER(M164), $B172 * N164, "")</f>
        <v>1764.7058823529412</v>
      </c>
      <c r="Q164" s="161"/>
      <c r="R164" s="161"/>
      <c r="S164" s="161"/>
    </row>
    <row r="165" spans="1:19" ht="17.25" thickBot="1">
      <c r="A165" s="109" t="s">
        <v>89</v>
      </c>
      <c r="B165" s="110">
        <v>522</v>
      </c>
      <c r="C165" s="70">
        <v>-2.7932960900000001E-2</v>
      </c>
      <c r="D165" s="15">
        <v>525</v>
      </c>
      <c r="E165" s="32">
        <f t="shared" si="86"/>
        <v>5.7471264367816091E-3</v>
      </c>
      <c r="F165" s="18">
        <f>IF(ISNUMBER(D165), $B172 * E165, "")</f>
        <v>862.06896551724139</v>
      </c>
      <c r="G165" s="31">
        <v>526</v>
      </c>
      <c r="H165" s="32">
        <f t="shared" si="87"/>
        <v>7.6628352490421452E-3</v>
      </c>
      <c r="I165" s="91">
        <f>IF(ISNUMBER(G165), $B172 * H165, "")</f>
        <v>1149.4252873563219</v>
      </c>
      <c r="J165" s="15">
        <v>530</v>
      </c>
      <c r="K165" s="32">
        <f t="shared" si="88"/>
        <v>1.532567049808429E-2</v>
      </c>
      <c r="L165" s="18">
        <f>IF(ISNUMBER(J165), $B172 * K165, "")</f>
        <v>2298.8505747126437</v>
      </c>
      <c r="M165" s="31">
        <v>532</v>
      </c>
      <c r="N165" s="32">
        <f t="shared" si="89"/>
        <v>1.9157088122605363E-2</v>
      </c>
      <c r="O165" s="18">
        <f>IF(ISNUMBER(M165), $B172 * N165, "")</f>
        <v>2873.5632183908042</v>
      </c>
      <c r="Q165" s="156"/>
      <c r="R165" s="156"/>
      <c r="S165" s="156"/>
    </row>
    <row r="166" spans="1:19" ht="17.25" thickBot="1">
      <c r="A166" s="111" t="s">
        <v>340</v>
      </c>
      <c r="B166" s="112">
        <v>674</v>
      </c>
      <c r="C166" s="71">
        <v>-2.8818443799999999E-2</v>
      </c>
      <c r="D166" s="20">
        <v>676</v>
      </c>
      <c r="E166" s="21">
        <f t="shared" si="86"/>
        <v>2.967359050445104E-3</v>
      </c>
      <c r="F166" s="22">
        <f>IF(ISNUMBER(D166), $B172 * E166, "")</f>
        <v>445.10385756676561</v>
      </c>
      <c r="G166" s="30">
        <v>670</v>
      </c>
      <c r="H166" s="21">
        <f t="shared" si="87"/>
        <v>-5.9347181008902079E-3</v>
      </c>
      <c r="I166" s="95">
        <f>IF(ISNUMBER(G166), $B172 * H166, "")</f>
        <v>-890.20771513353122</v>
      </c>
      <c r="J166" s="20">
        <v>672</v>
      </c>
      <c r="K166" s="21">
        <f t="shared" si="88"/>
        <v>-2.967359050445104E-3</v>
      </c>
      <c r="L166" s="22">
        <f>IF(ISNUMBER(J166), $B172 * K166, "")</f>
        <v>-445.10385756676561</v>
      </c>
      <c r="M166" s="30">
        <v>671</v>
      </c>
      <c r="N166" s="21">
        <f t="shared" si="89"/>
        <v>-4.4510385756676559E-3</v>
      </c>
      <c r="O166" s="22">
        <f>IF(ISNUMBER(M166), $B172 * N166, "")</f>
        <v>-667.65578635014845</v>
      </c>
      <c r="Q166" s="156"/>
      <c r="R166" s="156"/>
      <c r="S166" s="156"/>
    </row>
    <row r="167" spans="1:19" ht="17.25" thickBot="1">
      <c r="A167" s="109" t="s">
        <v>234</v>
      </c>
      <c r="B167" s="113">
        <v>379</v>
      </c>
      <c r="C167" s="73">
        <v>-3.0690537100000002E-2</v>
      </c>
      <c r="D167" s="96">
        <v>374</v>
      </c>
      <c r="E167" s="97">
        <f>IF(ISNUMBER(D167), (D167 - $B167) / $B167, "")</f>
        <v>-1.3192612137203167E-2</v>
      </c>
      <c r="F167" s="98">
        <f>IF(ISNUMBER(D167), $B172 * E167, "")</f>
        <v>-1978.891820580475</v>
      </c>
      <c r="G167" s="99">
        <v>374</v>
      </c>
      <c r="H167" s="97">
        <f>IF(ISNUMBER(G167), (G167 - $B167) / $B167, "")</f>
        <v>-1.3192612137203167E-2</v>
      </c>
      <c r="I167" s="100">
        <f>IF(ISNUMBER(G167), $B172 * H167, "")</f>
        <v>-1978.891820580475</v>
      </c>
      <c r="J167" s="96">
        <v>377</v>
      </c>
      <c r="K167" s="97">
        <f>IF(ISNUMBER(J167), (J167 - $B167) / $B167, "")</f>
        <v>-5.2770448548812663E-3</v>
      </c>
      <c r="L167" s="98">
        <f>IF(ISNUMBER(J167), $B172 * K167, "")</f>
        <v>-791.55672823218993</v>
      </c>
      <c r="M167" s="99">
        <v>378</v>
      </c>
      <c r="N167" s="97">
        <f>IF(ISNUMBER(M167), (M167 - $B167) / $B167, "")</f>
        <v>-2.6385224274406332E-3</v>
      </c>
      <c r="O167" s="98">
        <f>IF(ISNUMBER(M167), $B172 * N167, "")</f>
        <v>-395.77836411609496</v>
      </c>
      <c r="Q167" s="161"/>
      <c r="R167" s="161"/>
      <c r="S167" s="161"/>
    </row>
    <row r="168" spans="1:19" ht="17.25" thickBot="1">
      <c r="A168" s="109" t="s">
        <v>216</v>
      </c>
      <c r="B168" s="110">
        <v>527</v>
      </c>
      <c r="C168" s="70">
        <v>-3.65630713E-2</v>
      </c>
      <c r="D168" s="15">
        <v>524</v>
      </c>
      <c r="E168" s="32">
        <f t="shared" ref="E168:E171" si="90">IF(ISNUMBER(D168), (D168 - $B168) / $B168, "")</f>
        <v>-5.6925996204933585E-3</v>
      </c>
      <c r="F168" s="18">
        <f>IF(ISNUMBER(D168), $B172 * E168, "")</f>
        <v>-853.88994307400378</v>
      </c>
      <c r="G168" s="31">
        <v>524</v>
      </c>
      <c r="H168" s="32">
        <f t="shared" ref="H168:H171" si="91">IF(ISNUMBER(G168), (G168 - $B168) / $B168, "")</f>
        <v>-5.6925996204933585E-3</v>
      </c>
      <c r="I168" s="91">
        <f>IF(ISNUMBER(G168), $B172 * H168, "")</f>
        <v>-853.88994307400378</v>
      </c>
      <c r="J168" s="15">
        <v>529</v>
      </c>
      <c r="K168" s="32">
        <f t="shared" ref="K168:K171" si="92">IF(ISNUMBER(J168), (J168 - $B168) / $B168, "")</f>
        <v>3.7950664136622392E-3</v>
      </c>
      <c r="L168" s="18">
        <f>IF(ISNUMBER(J168), $B172 * K168, "")</f>
        <v>569.25996204933585</v>
      </c>
      <c r="M168" s="31">
        <v>525</v>
      </c>
      <c r="N168" s="32">
        <f t="shared" ref="N168:N171" si="93">IF(ISNUMBER(M168), (M168 - $B168) / $B168, "")</f>
        <v>-3.7950664136622392E-3</v>
      </c>
      <c r="O168" s="18">
        <f>IF(ISNUMBER(M168), $B172 * N168, "")</f>
        <v>-569.25996204933585</v>
      </c>
      <c r="Q168" s="161"/>
      <c r="R168" s="161"/>
      <c r="S168" s="161"/>
    </row>
    <row r="169" spans="1:19" ht="17.25" thickBot="1">
      <c r="A169" s="109" t="s">
        <v>244</v>
      </c>
      <c r="B169" s="110">
        <v>104</v>
      </c>
      <c r="C169" s="70">
        <v>-3.7037037000000002E-2</v>
      </c>
      <c r="D169" s="15">
        <v>104</v>
      </c>
      <c r="E169" s="32">
        <f t="shared" si="90"/>
        <v>0</v>
      </c>
      <c r="F169" s="18">
        <f>IF(ISNUMBER(D169), $B172 * E169, "")</f>
        <v>0</v>
      </c>
      <c r="G169" s="31">
        <v>103</v>
      </c>
      <c r="H169" s="32">
        <f t="shared" si="91"/>
        <v>-9.6153846153846159E-3</v>
      </c>
      <c r="I169" s="91">
        <f>IF(ISNUMBER(G169), $B172 * H169, "")</f>
        <v>-1442.3076923076924</v>
      </c>
      <c r="J169" s="15">
        <v>105</v>
      </c>
      <c r="K169" s="32">
        <f t="shared" si="92"/>
        <v>9.6153846153846159E-3</v>
      </c>
      <c r="L169" s="18">
        <f>IF(ISNUMBER(J169), $B172 * K169, "")</f>
        <v>1442.3076923076924</v>
      </c>
      <c r="M169" s="31">
        <v>105</v>
      </c>
      <c r="N169" s="32">
        <f t="shared" si="93"/>
        <v>9.6153846153846159E-3</v>
      </c>
      <c r="O169" s="18">
        <f>IF(ISNUMBER(M169), $B172 * N169, "")</f>
        <v>1442.3076923076924</v>
      </c>
      <c r="Q169" s="161"/>
      <c r="R169" s="161"/>
      <c r="S169" s="161"/>
    </row>
    <row r="170" spans="1:19">
      <c r="A170" s="109" t="s">
        <v>256</v>
      </c>
      <c r="B170" s="110">
        <v>133</v>
      </c>
      <c r="C170" s="70">
        <v>-4.31654676E-2</v>
      </c>
      <c r="D170" s="15">
        <v>136</v>
      </c>
      <c r="E170" s="32">
        <f t="shared" si="90"/>
        <v>2.2556390977443608E-2</v>
      </c>
      <c r="F170" s="18">
        <f>IF(ISNUMBER(D170), $B172 * E170, "")</f>
        <v>3383.458646616541</v>
      </c>
      <c r="G170" s="31">
        <v>133</v>
      </c>
      <c r="H170" s="32">
        <f t="shared" si="91"/>
        <v>0</v>
      </c>
      <c r="I170" s="91">
        <f>IF(ISNUMBER(G170), $B172 * H170, "")</f>
        <v>0</v>
      </c>
      <c r="J170" s="15">
        <v>134</v>
      </c>
      <c r="K170" s="32">
        <f t="shared" si="92"/>
        <v>7.5187969924812026E-3</v>
      </c>
      <c r="L170" s="18">
        <f>IF(ISNUMBER(J170), $B172 * K170, "")</f>
        <v>1127.8195488721803</v>
      </c>
      <c r="M170" s="31">
        <v>137</v>
      </c>
      <c r="N170" s="32">
        <f t="shared" si="93"/>
        <v>3.007518796992481E-2</v>
      </c>
      <c r="O170" s="18">
        <f>IF(ISNUMBER(M170), $B172 * N170, "")</f>
        <v>4511.2781954887214</v>
      </c>
      <c r="Q170" s="183"/>
      <c r="R170" s="184"/>
      <c r="S170" s="185"/>
    </row>
    <row r="171" spans="1:19" ht="17.25" thickBot="1">
      <c r="A171" s="114" t="s">
        <v>105</v>
      </c>
      <c r="B171" s="115">
        <v>248</v>
      </c>
      <c r="C171" s="72">
        <v>-4.9808429100000003E-2</v>
      </c>
      <c r="D171" s="24">
        <v>250</v>
      </c>
      <c r="E171" s="25">
        <f t="shared" si="90"/>
        <v>8.0645161290322578E-3</v>
      </c>
      <c r="F171" s="94">
        <f>IF(ISNUMBER(D171), $B172 * E171, "")</f>
        <v>1209.6774193548388</v>
      </c>
      <c r="G171" s="92">
        <v>249</v>
      </c>
      <c r="H171" s="25">
        <f t="shared" si="91"/>
        <v>4.0322580645161289E-3</v>
      </c>
      <c r="I171" s="93">
        <f>IF(ISNUMBER(G171), $B172 * H171, "")</f>
        <v>604.83870967741939</v>
      </c>
      <c r="J171" s="24">
        <v>249</v>
      </c>
      <c r="K171" s="25">
        <f t="shared" si="92"/>
        <v>4.0322580645161289E-3</v>
      </c>
      <c r="L171" s="94">
        <f>IF(ISNUMBER(J171), $B172 * K171, "")</f>
        <v>604.83870967741939</v>
      </c>
      <c r="M171" s="92">
        <v>250</v>
      </c>
      <c r="N171" s="25">
        <f t="shared" si="93"/>
        <v>8.0645161290322578E-3</v>
      </c>
      <c r="O171" s="94">
        <f>IF(ISNUMBER(M171), $B172 * N171, "")</f>
        <v>1209.6774193548388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3.8428716856306862E-3</v>
      </c>
      <c r="F172" s="28">
        <f>SUM(F152:F171)</f>
        <v>11528.615056892058</v>
      </c>
      <c r="G172" s="26" t="s">
        <v>261</v>
      </c>
      <c r="H172" s="27">
        <f>IF(COUNT(H152:H171), SUM(H152:H171) / COUNT(H152:H171), 0)</f>
        <v>2.9353434748629636E-3</v>
      </c>
      <c r="I172" s="28">
        <f>SUM(I152:I171)</f>
        <v>8806.0304245888892</v>
      </c>
      <c r="J172" s="26" t="s">
        <v>261</v>
      </c>
      <c r="K172" s="27">
        <f>IF(COUNT(K152:K171), SUM(K152:K171) / COUNT(K152:K171), 0)</f>
        <v>1.4646656778252234E-2</v>
      </c>
      <c r="L172" s="28">
        <f>SUM(L152:L171)</f>
        <v>43939.970334756705</v>
      </c>
      <c r="M172" s="26" t="s">
        <v>261</v>
      </c>
      <c r="N172" s="27">
        <f>IF(COUNT(N152:N171), SUM(N152:N171) / COUNT(N152:N171), 0)</f>
        <v>1.0136082009114335E-2</v>
      </c>
      <c r="O172" s="28">
        <f>SUM(O152:O171)</f>
        <v>30408.246027343008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2022-12-03(토) 오전 00:00</v>
      </c>
      <c r="C177" s="199"/>
      <c r="D177" s="158" t="str">
        <f>TEXT($G$1, "[$-ko-KR]yyyy-mm-dd(ddd) ") &amp; "오후 14:00"</f>
        <v>2022-12-03(토) 오후 14:00</v>
      </c>
      <c r="E177" s="159"/>
      <c r="F177" s="160"/>
      <c r="G177" s="158" t="str">
        <f>TEXT($G$1, "[$-ko-KR]yyyy-mm-dd(ddd) ") &amp; "오후 19:00"</f>
        <v>2022-12-03(토) 오후 19:00</v>
      </c>
      <c r="H177" s="159"/>
      <c r="I177" s="160"/>
      <c r="J177" s="158" t="str">
        <f>TEXT($G$1, "[$-ko-KR]yyyy-mm-dd(ddd) ") &amp; "오후 21:00"</f>
        <v>2022-12-03(토) 오후 21:00</v>
      </c>
      <c r="K177" s="159"/>
      <c r="L177" s="160"/>
      <c r="M177" s="158" t="str">
        <f>TEXT($G$1+1, "[$-ko-KR]yyyy-mm-dd(ddd) ") &amp; "오전 00:00"</f>
        <v>2022-12-04(일)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208</v>
      </c>
      <c r="B179" s="108">
        <v>113</v>
      </c>
      <c r="C179" s="69">
        <v>-2.5862069000000001E-2</v>
      </c>
      <c r="D179" s="13">
        <v>113</v>
      </c>
      <c r="E179" s="14">
        <f>IF(ISNUMBER(D179), (D179 - $B179) / $B179, "")</f>
        <v>0</v>
      </c>
      <c r="F179" s="16">
        <f>IF(ISNUMBER(D179), $B199 * E179, "")</f>
        <v>0</v>
      </c>
      <c r="G179" s="29">
        <v>114</v>
      </c>
      <c r="H179" s="14">
        <f>IF(ISNUMBER(G179), (G179 - $B179) / $B179, "")</f>
        <v>8.8495575221238937E-3</v>
      </c>
      <c r="I179" s="90">
        <f>IF(ISNUMBER(G179), $B199 * H179, "")</f>
        <v>1327.4336283185839</v>
      </c>
      <c r="J179" s="13">
        <v>114</v>
      </c>
      <c r="K179" s="14">
        <f>IF(ISNUMBER(J179), (J179 - $B179) / $B179, "")</f>
        <v>8.8495575221238937E-3</v>
      </c>
      <c r="L179" s="16">
        <f>IF(ISNUMBER(J179), $B199 * K179, "")</f>
        <v>1327.4336283185839</v>
      </c>
      <c r="M179" s="29">
        <v>114</v>
      </c>
      <c r="N179" s="14">
        <f>IF(ISNUMBER(M179), (M179 - $B179) / $B179, "")</f>
        <v>8.8495575221238937E-3</v>
      </c>
      <c r="O179" s="16">
        <f>IF(ISNUMBER(M179), $B199 * N179, "")</f>
        <v>1327.4336283185839</v>
      </c>
      <c r="Q179" s="156"/>
      <c r="R179" s="156"/>
      <c r="S179" s="156"/>
    </row>
    <row r="180" spans="1:19" ht="17.25" thickBot="1">
      <c r="A180" s="109" t="s">
        <v>130</v>
      </c>
      <c r="B180" s="110">
        <v>888</v>
      </c>
      <c r="C180" s="70">
        <v>-2.6315789499999999E-2</v>
      </c>
      <c r="D180" s="15">
        <v>881</v>
      </c>
      <c r="E180" s="32">
        <f t="shared" ref="E180:E183" si="94">IF(ISNUMBER(D180), (D180 - $B180) / $B180, "")</f>
        <v>-7.8828828828828822E-3</v>
      </c>
      <c r="F180" s="18">
        <f>IF(ISNUMBER(D180), $B199 * E180, "")</f>
        <v>-1182.4324324324323</v>
      </c>
      <c r="G180" s="31">
        <v>882</v>
      </c>
      <c r="H180" s="32">
        <f t="shared" ref="H180:H183" si="95">IF(ISNUMBER(G180), (G180 - $B180) / $B180, "")</f>
        <v>-6.7567567567567571E-3</v>
      </c>
      <c r="I180" s="91">
        <f>IF(ISNUMBER(G180), $B199 * H180, "")</f>
        <v>-1013.5135135135135</v>
      </c>
      <c r="J180" s="15">
        <v>884</v>
      </c>
      <c r="K180" s="32">
        <f t="shared" ref="K180:K183" si="96">IF(ISNUMBER(J180), (J180 - $B180) / $B180, "")</f>
        <v>-4.5045045045045045E-3</v>
      </c>
      <c r="L180" s="18">
        <f>IF(ISNUMBER(J180), $B199 * K180, "")</f>
        <v>-675.67567567567562</v>
      </c>
      <c r="M180" s="31">
        <v>883</v>
      </c>
      <c r="N180" s="32">
        <f t="shared" ref="N180:N183" si="97">IF(ISNUMBER(M180), (M180 - $B180) / $B180, "")</f>
        <v>-5.6306306306306304E-3</v>
      </c>
      <c r="O180" s="18">
        <f>IF(ISNUMBER(M180), $B199 * N180, "")</f>
        <v>-844.59459459459458</v>
      </c>
      <c r="Q180" s="156"/>
      <c r="R180" s="156"/>
      <c r="S180" s="156"/>
    </row>
    <row r="181" spans="1:19" ht="17.25" thickBot="1">
      <c r="A181" s="109" t="s">
        <v>68</v>
      </c>
      <c r="B181" s="110">
        <v>365</v>
      </c>
      <c r="C181" s="70">
        <v>-2.6666666700000001E-2</v>
      </c>
      <c r="D181" s="15">
        <v>365</v>
      </c>
      <c r="E181" s="32">
        <f t="shared" si="94"/>
        <v>0</v>
      </c>
      <c r="F181" s="18">
        <f>IF(ISNUMBER(D181), $B199 * E181, "")</f>
        <v>0</v>
      </c>
      <c r="G181" s="31">
        <v>362</v>
      </c>
      <c r="H181" s="32">
        <f t="shared" si="95"/>
        <v>-8.21917808219178E-3</v>
      </c>
      <c r="I181" s="91">
        <f>IF(ISNUMBER(G181), $B199 * H181, "")</f>
        <v>-1232.8767123287671</v>
      </c>
      <c r="J181" s="15">
        <v>365</v>
      </c>
      <c r="K181" s="32">
        <f t="shared" si="96"/>
        <v>0</v>
      </c>
      <c r="L181" s="18">
        <f>IF(ISNUMBER(J181), $B199 * K181, "")</f>
        <v>0</v>
      </c>
      <c r="M181" s="31">
        <v>365</v>
      </c>
      <c r="N181" s="32">
        <f t="shared" si="97"/>
        <v>0</v>
      </c>
      <c r="O181" s="18">
        <f>IF(ISNUMBER(M181), $B199 * N181, "")</f>
        <v>0</v>
      </c>
      <c r="Q181" s="161"/>
      <c r="R181" s="161"/>
      <c r="S181" s="161"/>
    </row>
    <row r="182" spans="1:19" ht="17.25" thickBot="1">
      <c r="A182" s="109" t="s">
        <v>103</v>
      </c>
      <c r="B182" s="110">
        <v>255</v>
      </c>
      <c r="C182" s="70">
        <v>-2.67175573E-2</v>
      </c>
      <c r="D182" s="15">
        <v>257</v>
      </c>
      <c r="E182" s="32">
        <f t="shared" si="94"/>
        <v>7.8431372549019607E-3</v>
      </c>
      <c r="F182" s="18">
        <f>IF(ISNUMBER(D182), $B199 * E182, "")</f>
        <v>1176.4705882352941</v>
      </c>
      <c r="G182" s="31">
        <v>256</v>
      </c>
      <c r="H182" s="32">
        <f t="shared" si="95"/>
        <v>3.9215686274509803E-3</v>
      </c>
      <c r="I182" s="91">
        <f>IF(ISNUMBER(G182), $B199 * H182, "")</f>
        <v>588.23529411764707</v>
      </c>
      <c r="J182" s="15">
        <v>257</v>
      </c>
      <c r="K182" s="32">
        <f t="shared" si="96"/>
        <v>7.8431372549019607E-3</v>
      </c>
      <c r="L182" s="18">
        <f>IF(ISNUMBER(J182), $B199 * K182, "")</f>
        <v>1176.4705882352941</v>
      </c>
      <c r="M182" s="31">
        <v>258</v>
      </c>
      <c r="N182" s="32">
        <f t="shared" si="97"/>
        <v>1.1764705882352941E-2</v>
      </c>
      <c r="O182" s="18">
        <f>IF(ISNUMBER(M182), $B199 * N182, "")</f>
        <v>1764.7058823529412</v>
      </c>
      <c r="Q182" s="161"/>
      <c r="R182" s="161"/>
      <c r="S182" s="161"/>
    </row>
    <row r="183" spans="1:19" ht="17.25" thickBot="1">
      <c r="A183" s="111" t="s">
        <v>89</v>
      </c>
      <c r="B183" s="112">
        <v>522</v>
      </c>
      <c r="C183" s="71">
        <v>-2.7932960900000001E-2</v>
      </c>
      <c r="D183" s="20">
        <v>525</v>
      </c>
      <c r="E183" s="21">
        <f t="shared" si="94"/>
        <v>5.7471264367816091E-3</v>
      </c>
      <c r="F183" s="22">
        <f>IF(ISNUMBER(D183), $B199 * E183, "")</f>
        <v>862.06896551724139</v>
      </c>
      <c r="G183" s="30">
        <v>526</v>
      </c>
      <c r="H183" s="21">
        <f t="shared" si="95"/>
        <v>7.6628352490421452E-3</v>
      </c>
      <c r="I183" s="95">
        <f>IF(ISNUMBER(G183), $B199 * H183, "")</f>
        <v>1149.4252873563219</v>
      </c>
      <c r="J183" s="20">
        <v>530</v>
      </c>
      <c r="K183" s="21">
        <f t="shared" si="96"/>
        <v>1.532567049808429E-2</v>
      </c>
      <c r="L183" s="22">
        <f>IF(ISNUMBER(J183), $B199 * K183, "")</f>
        <v>2298.8505747126437</v>
      </c>
      <c r="M183" s="30">
        <v>532</v>
      </c>
      <c r="N183" s="21">
        <f t="shared" si="97"/>
        <v>1.9157088122605363E-2</v>
      </c>
      <c r="O183" s="22">
        <f>IF(ISNUMBER(M183), $B199 * N183, "")</f>
        <v>2873.5632183908042</v>
      </c>
      <c r="Q183" s="161"/>
      <c r="R183" s="161"/>
      <c r="S183" s="161"/>
    </row>
    <row r="184" spans="1:19" ht="17.25" thickBot="1">
      <c r="A184" s="109" t="s">
        <v>174</v>
      </c>
      <c r="B184" s="113">
        <v>15610</v>
      </c>
      <c r="C184" s="73">
        <v>-2.8019925300000002E-2</v>
      </c>
      <c r="D184" s="96">
        <v>15570</v>
      </c>
      <c r="E184" s="97">
        <f>IF(ISNUMBER(D184), (D184 - $B184) / $B184, "")</f>
        <v>-2.5624599615631004E-3</v>
      </c>
      <c r="F184" s="98">
        <f>IF(ISNUMBER(D184), $B199 * E184, "")</f>
        <v>-384.36899423446505</v>
      </c>
      <c r="G184" s="99">
        <v>15540</v>
      </c>
      <c r="H184" s="97">
        <f>IF(ISNUMBER(G184), (G184 - $B184) / $B184, "")</f>
        <v>-4.4843049327354259E-3</v>
      </c>
      <c r="I184" s="100">
        <f>IF(ISNUMBER(G184), $B199 * H184, "")</f>
        <v>-672.64573991031386</v>
      </c>
      <c r="J184" s="96">
        <v>15570</v>
      </c>
      <c r="K184" s="97">
        <f>IF(ISNUMBER(J184), (J184 - $B184) / $B184, "")</f>
        <v>-2.5624599615631004E-3</v>
      </c>
      <c r="L184" s="98">
        <f>IF(ISNUMBER(J184), $B199 * K184, "")</f>
        <v>-384.36899423446505</v>
      </c>
      <c r="M184" s="99">
        <v>15600</v>
      </c>
      <c r="N184" s="97">
        <f>IF(ISNUMBER(M184), (M184 - $B184) / $B184, "")</f>
        <v>-6.406149903907751E-4</v>
      </c>
      <c r="O184" s="98">
        <f>IF(ISNUMBER(M184), $B199 * N184, "")</f>
        <v>-96.092248558616262</v>
      </c>
      <c r="Q184" s="161"/>
      <c r="R184" s="161"/>
      <c r="S184" s="161"/>
    </row>
    <row r="185" spans="1:19" ht="17.25" thickBot="1">
      <c r="A185" s="109" t="s">
        <v>163</v>
      </c>
      <c r="B185" s="110">
        <v>7600</v>
      </c>
      <c r="C185" s="70">
        <v>-2.87539936E-2</v>
      </c>
      <c r="D185" s="15">
        <v>7560</v>
      </c>
      <c r="E185" s="32">
        <f t="shared" ref="E185:E188" si="98">IF(ISNUMBER(D185), (D185 - $B185) / $B185, "")</f>
        <v>-5.263157894736842E-3</v>
      </c>
      <c r="F185" s="18">
        <f>IF(ISNUMBER(D185), $B199 * E185, "")</f>
        <v>-789.47368421052624</v>
      </c>
      <c r="G185" s="31">
        <v>7545</v>
      </c>
      <c r="H185" s="32">
        <f t="shared" ref="H185:H188" si="99">IF(ISNUMBER(G185), (G185 - $B185) / $B185, "")</f>
        <v>-7.2368421052631578E-3</v>
      </c>
      <c r="I185" s="91">
        <f>IF(ISNUMBER(G185), $B199 * H185, "")</f>
        <v>-1085.5263157894738</v>
      </c>
      <c r="J185" s="15">
        <v>7590</v>
      </c>
      <c r="K185" s="32">
        <f t="shared" ref="K185:K188" si="100">IF(ISNUMBER(J185), (J185 - $B185) / $B185, "")</f>
        <v>-1.3157894736842105E-3</v>
      </c>
      <c r="L185" s="18">
        <f>IF(ISNUMBER(J185), $B199 * K185, "")</f>
        <v>-197.36842105263156</v>
      </c>
      <c r="M185" s="31">
        <v>7535</v>
      </c>
      <c r="N185" s="32">
        <f t="shared" ref="N185:N188" si="101">IF(ISNUMBER(M185), (M185 - $B185) / $B185, "")</f>
        <v>-8.552631578947369E-3</v>
      </c>
      <c r="O185" s="18">
        <f>IF(ISNUMBER(M185), $B199 * N185, "")</f>
        <v>-1282.8947368421054</v>
      </c>
      <c r="Q185" s="161"/>
      <c r="R185" s="161"/>
      <c r="S185" s="161"/>
    </row>
    <row r="186" spans="1:19" ht="17.25" thickBot="1">
      <c r="A186" s="109" t="s">
        <v>340</v>
      </c>
      <c r="B186" s="110">
        <v>674</v>
      </c>
      <c r="C186" s="70">
        <v>-2.8818443799999999E-2</v>
      </c>
      <c r="D186" s="15">
        <v>676</v>
      </c>
      <c r="E186" s="32">
        <f t="shared" si="98"/>
        <v>2.967359050445104E-3</v>
      </c>
      <c r="F186" s="18">
        <f>IF(ISNUMBER(D186), $B199 * E186, "")</f>
        <v>445.10385756676561</v>
      </c>
      <c r="G186" s="31">
        <v>670</v>
      </c>
      <c r="H186" s="32">
        <f t="shared" si="99"/>
        <v>-5.9347181008902079E-3</v>
      </c>
      <c r="I186" s="91">
        <f>IF(ISNUMBER(G186), $B199 * H186, "")</f>
        <v>-890.20771513353122</v>
      </c>
      <c r="J186" s="15">
        <v>672</v>
      </c>
      <c r="K186" s="32">
        <f t="shared" si="100"/>
        <v>-2.967359050445104E-3</v>
      </c>
      <c r="L186" s="18">
        <f>IF(ISNUMBER(J186), $B199 * K186, "")</f>
        <v>-445.10385756676561</v>
      </c>
      <c r="M186" s="31">
        <v>671</v>
      </c>
      <c r="N186" s="32">
        <f t="shared" si="101"/>
        <v>-4.4510385756676559E-3</v>
      </c>
      <c r="O186" s="18">
        <f>IF(ISNUMBER(M186), $B199 * N186, "")</f>
        <v>-667.65578635014845</v>
      </c>
      <c r="Q186" s="161"/>
      <c r="R186" s="161"/>
      <c r="S186" s="161"/>
    </row>
    <row r="187" spans="1:19" ht="17.25" thickBot="1">
      <c r="A187" s="109" t="s">
        <v>212</v>
      </c>
      <c r="B187" s="110">
        <v>88.7</v>
      </c>
      <c r="C187" s="70">
        <v>-2.9540481399999999E-2</v>
      </c>
      <c r="D187" s="15">
        <v>88.9</v>
      </c>
      <c r="E187" s="32">
        <f t="shared" si="98"/>
        <v>2.2547914317925912E-3</v>
      </c>
      <c r="F187" s="18">
        <f>IF(ISNUMBER(D187), $B199 * E187, "")</f>
        <v>338.21871476888867</v>
      </c>
      <c r="G187" s="31">
        <v>88.6</v>
      </c>
      <c r="H187" s="32">
        <f t="shared" si="99"/>
        <v>-1.1273957158963756E-3</v>
      </c>
      <c r="I187" s="91">
        <f>IF(ISNUMBER(G187), $B199 * H187, "")</f>
        <v>-169.10935738445633</v>
      </c>
      <c r="J187" s="15">
        <v>89</v>
      </c>
      <c r="K187" s="32">
        <f t="shared" si="100"/>
        <v>3.3821871476888065E-3</v>
      </c>
      <c r="L187" s="18">
        <f>IF(ISNUMBER(J187), $B199 * K187, "")</f>
        <v>507.32807215332099</v>
      </c>
      <c r="M187" s="31">
        <v>89.1</v>
      </c>
      <c r="N187" s="32">
        <f t="shared" si="101"/>
        <v>4.5095828635850219E-3</v>
      </c>
      <c r="O187" s="18">
        <f>IF(ISNUMBER(M187), $B199 * N187, "")</f>
        <v>676.43742953775325</v>
      </c>
      <c r="Q187" s="33"/>
      <c r="R187" s="33"/>
    </row>
    <row r="188" spans="1:19" ht="17.25" thickBot="1">
      <c r="A188" s="114" t="s">
        <v>138</v>
      </c>
      <c r="B188" s="115">
        <v>29.3</v>
      </c>
      <c r="C188" s="72">
        <v>-2.98013245E-2</v>
      </c>
      <c r="D188" s="24">
        <v>29.3</v>
      </c>
      <c r="E188" s="25">
        <f t="shared" si="98"/>
        <v>0</v>
      </c>
      <c r="F188" s="94">
        <f>IF(ISNUMBER(D188), $B199 * E188, "")</f>
        <v>0</v>
      </c>
      <c r="G188" s="92">
        <v>29.3</v>
      </c>
      <c r="H188" s="25">
        <f t="shared" si="99"/>
        <v>0</v>
      </c>
      <c r="I188" s="93">
        <f>IF(ISNUMBER(G188), $B199 * H188, "")</f>
        <v>0</v>
      </c>
      <c r="J188" s="24">
        <v>29.4</v>
      </c>
      <c r="K188" s="25">
        <f t="shared" si="100"/>
        <v>3.4129692832763777E-3</v>
      </c>
      <c r="L188" s="94">
        <f>IF(ISNUMBER(J188), $B199 * K188, "")</f>
        <v>511.94539249145663</v>
      </c>
      <c r="M188" s="92">
        <v>29.4</v>
      </c>
      <c r="N188" s="25">
        <f t="shared" si="101"/>
        <v>3.4129692832763777E-3</v>
      </c>
      <c r="O188" s="94">
        <f>IF(ISNUMBER(M188), $B199 * N188, "")</f>
        <v>511.94539249145663</v>
      </c>
      <c r="Q188" s="170"/>
      <c r="R188" s="171"/>
      <c r="S188" s="172"/>
    </row>
    <row r="189" spans="1:19">
      <c r="A189" s="107" t="s">
        <v>234</v>
      </c>
      <c r="B189" s="108">
        <v>379</v>
      </c>
      <c r="C189" s="69">
        <v>-3.0690537100000002E-2</v>
      </c>
      <c r="D189" s="13">
        <v>374</v>
      </c>
      <c r="E189" s="14">
        <f>IF(ISNUMBER(D189), (D189 - $B189) / $B189, "")</f>
        <v>-1.3192612137203167E-2</v>
      </c>
      <c r="F189" s="16">
        <f>IF(ISNUMBER(D189), $B199 * E189, "")</f>
        <v>-1978.891820580475</v>
      </c>
      <c r="G189" s="29">
        <v>374</v>
      </c>
      <c r="H189" s="14">
        <f>IF(ISNUMBER(G189), (G189 - $B189) / $B189, "")</f>
        <v>-1.3192612137203167E-2</v>
      </c>
      <c r="I189" s="90">
        <f>IF(ISNUMBER(G189), $B199 * H189, "")</f>
        <v>-1978.891820580475</v>
      </c>
      <c r="J189" s="13">
        <v>377</v>
      </c>
      <c r="K189" s="14">
        <f>IF(ISNUMBER(J189), (J189 - $B189) / $B189, "")</f>
        <v>-5.2770448548812663E-3</v>
      </c>
      <c r="L189" s="16">
        <f>IF(ISNUMBER(J189), $B199 * K189, "")</f>
        <v>-791.55672823218993</v>
      </c>
      <c r="M189" s="29">
        <v>378</v>
      </c>
      <c r="N189" s="14">
        <f>IF(ISNUMBER(M189), (M189 - $B189) / $B189, "")</f>
        <v>-2.6385224274406332E-3</v>
      </c>
      <c r="O189" s="16">
        <f>IF(ISNUMBER(M189), $B199 * N189, "")</f>
        <v>-395.77836411609496</v>
      </c>
      <c r="Q189" s="173"/>
      <c r="R189" s="174"/>
      <c r="S189" s="175"/>
    </row>
    <row r="190" spans="1:19" ht="17.25" thickBot="1">
      <c r="A190" s="109" t="s">
        <v>124</v>
      </c>
      <c r="B190" s="110">
        <v>34.299999999999997</v>
      </c>
      <c r="C190" s="70">
        <v>-3.1073446300000002E-2</v>
      </c>
      <c r="D190" s="15">
        <v>34.200000000000003</v>
      </c>
      <c r="E190" s="32">
        <f t="shared" ref="E190:E193" si="102">IF(ISNUMBER(D190), (D190 - $B190) / $B190, "")</f>
        <v>-2.9154518950435665E-3</v>
      </c>
      <c r="F190" s="18">
        <f>IF(ISNUMBER(D190), $B199 * E190, "")</f>
        <v>-437.31778425653499</v>
      </c>
      <c r="G190" s="31">
        <v>34.299999999999997</v>
      </c>
      <c r="H190" s="32">
        <f t="shared" ref="H190:H193" si="103">IF(ISNUMBER(G190), (G190 - $B190) / $B190, "")</f>
        <v>0</v>
      </c>
      <c r="I190" s="91">
        <f>IF(ISNUMBER(G190), $B199 * H190, "")</f>
        <v>0</v>
      </c>
      <c r="J190" s="15">
        <v>34.1</v>
      </c>
      <c r="K190" s="32">
        <f t="shared" ref="K190:K193" si="104">IF(ISNUMBER(J190), (J190 - $B190) / $B190, "")</f>
        <v>-5.8309037900873394E-3</v>
      </c>
      <c r="L190" s="18">
        <f>IF(ISNUMBER(J190), $B199 * K190, "")</f>
        <v>-874.63556851310091</v>
      </c>
      <c r="M190" s="31">
        <v>34.299999999999997</v>
      </c>
      <c r="N190" s="32">
        <f t="shared" ref="N190:N193" si="105">IF(ISNUMBER(M190), (M190 - $B190) / $B190, "")</f>
        <v>0</v>
      </c>
      <c r="O190" s="18">
        <f>IF(ISNUMBER(M190), $B199 * N190, "")</f>
        <v>0</v>
      </c>
      <c r="Q190" s="176"/>
      <c r="R190" s="177"/>
      <c r="S190" s="178"/>
    </row>
    <row r="191" spans="1:19" ht="17.25" thickBot="1">
      <c r="A191" s="109" t="s">
        <v>132</v>
      </c>
      <c r="B191" s="110">
        <v>61.4</v>
      </c>
      <c r="C191" s="70">
        <v>-3.3070866099999999E-2</v>
      </c>
      <c r="D191" s="15">
        <v>61.8</v>
      </c>
      <c r="E191" s="32">
        <f t="shared" si="102"/>
        <v>6.5146579804560029E-3</v>
      </c>
      <c r="F191" s="18">
        <f>IF(ISNUMBER(D191), $B199 * E191, "")</f>
        <v>977.19869706840041</v>
      </c>
      <c r="G191" s="31">
        <v>61.7</v>
      </c>
      <c r="H191" s="32">
        <f t="shared" si="103"/>
        <v>4.8859934853420894E-3</v>
      </c>
      <c r="I191" s="91">
        <f>IF(ISNUMBER(G191), $B199 * H191, "")</f>
        <v>732.89902280131344</v>
      </c>
      <c r="J191" s="15">
        <v>61.7</v>
      </c>
      <c r="K191" s="32">
        <f t="shared" si="104"/>
        <v>4.8859934853420894E-3</v>
      </c>
      <c r="L191" s="18">
        <f>IF(ISNUMBER(J191), $B199 * K191, "")</f>
        <v>732.89902280131344</v>
      </c>
      <c r="M191" s="31">
        <v>61.6</v>
      </c>
      <c r="N191" s="32">
        <f t="shared" si="105"/>
        <v>3.2573289902280596E-3</v>
      </c>
      <c r="O191" s="18">
        <f>IF(ISNUMBER(M191), $B199 * N191, "")</f>
        <v>488.59934853420896</v>
      </c>
      <c r="Q191" s="161"/>
      <c r="R191" s="161"/>
      <c r="S191" s="161"/>
    </row>
    <row r="192" spans="1:19" ht="17.25" thickBot="1">
      <c r="A192" s="109" t="s">
        <v>216</v>
      </c>
      <c r="B192" s="110">
        <v>527</v>
      </c>
      <c r="C192" s="70">
        <v>-3.65630713E-2</v>
      </c>
      <c r="D192" s="15">
        <v>524</v>
      </c>
      <c r="E192" s="32">
        <f t="shared" si="102"/>
        <v>-5.6925996204933585E-3</v>
      </c>
      <c r="F192" s="18">
        <f>IF(ISNUMBER(D192), $B199 * E192, "")</f>
        <v>-853.88994307400378</v>
      </c>
      <c r="G192" s="31">
        <v>524</v>
      </c>
      <c r="H192" s="32">
        <f t="shared" si="103"/>
        <v>-5.6925996204933585E-3</v>
      </c>
      <c r="I192" s="91">
        <f>IF(ISNUMBER(G192), $B199 * H192, "")</f>
        <v>-853.88994307400378</v>
      </c>
      <c r="J192" s="15">
        <v>529</v>
      </c>
      <c r="K192" s="32">
        <f t="shared" si="104"/>
        <v>3.7950664136622392E-3</v>
      </c>
      <c r="L192" s="18">
        <f>IF(ISNUMBER(J192), $B199 * K192, "")</f>
        <v>569.25996204933585</v>
      </c>
      <c r="M192" s="31">
        <v>525</v>
      </c>
      <c r="N192" s="32">
        <f t="shared" si="105"/>
        <v>-3.7950664136622392E-3</v>
      </c>
      <c r="O192" s="18">
        <f>IF(ISNUMBER(M192), $B199 * N192, "")</f>
        <v>-569.25996204933585</v>
      </c>
      <c r="Q192" s="156"/>
      <c r="R192" s="156"/>
      <c r="S192" s="156"/>
    </row>
    <row r="193" spans="1:19" ht="17.25" thickBot="1">
      <c r="A193" s="111" t="s">
        <v>244</v>
      </c>
      <c r="B193" s="112">
        <v>104</v>
      </c>
      <c r="C193" s="71">
        <v>-3.7037037000000002E-2</v>
      </c>
      <c r="D193" s="20">
        <v>104</v>
      </c>
      <c r="E193" s="21">
        <f t="shared" si="102"/>
        <v>0</v>
      </c>
      <c r="F193" s="22">
        <f>IF(ISNUMBER(D193), $B199 * E193, "")</f>
        <v>0</v>
      </c>
      <c r="G193" s="30">
        <v>103</v>
      </c>
      <c r="H193" s="21">
        <f t="shared" si="103"/>
        <v>-9.6153846153846159E-3</v>
      </c>
      <c r="I193" s="95">
        <f>IF(ISNUMBER(G193), $B199 * H193, "")</f>
        <v>-1442.3076923076924</v>
      </c>
      <c r="J193" s="20">
        <v>105</v>
      </c>
      <c r="K193" s="21">
        <f t="shared" si="104"/>
        <v>9.6153846153846159E-3</v>
      </c>
      <c r="L193" s="22">
        <f>IF(ISNUMBER(J193), $B199 * K193, "")</f>
        <v>1442.3076923076924</v>
      </c>
      <c r="M193" s="30">
        <v>105</v>
      </c>
      <c r="N193" s="21">
        <f t="shared" si="105"/>
        <v>9.6153846153846159E-3</v>
      </c>
      <c r="O193" s="22">
        <f>IF(ISNUMBER(M193), $B199 * N193, "")</f>
        <v>1442.3076923076924</v>
      </c>
      <c r="Q193" s="156"/>
      <c r="R193" s="156"/>
      <c r="S193" s="156"/>
    </row>
    <row r="194" spans="1:19" ht="17.25" thickBot="1">
      <c r="A194" s="109" t="s">
        <v>220</v>
      </c>
      <c r="B194" s="113">
        <v>81.400000000000006</v>
      </c>
      <c r="C194" s="73">
        <v>-4.2352941200000001E-2</v>
      </c>
      <c r="D194" s="96">
        <v>80.3</v>
      </c>
      <c r="E194" s="97">
        <f>IF(ISNUMBER(D194), (D194 - $B194) / $B194, "")</f>
        <v>-1.3513513513513617E-2</v>
      </c>
      <c r="F194" s="98">
        <f>IF(ISNUMBER(D194), $B199 * E194, "")</f>
        <v>-2027.0270270270425</v>
      </c>
      <c r="G194" s="99">
        <v>80.3</v>
      </c>
      <c r="H194" s="97">
        <f>IF(ISNUMBER(G194), (G194 - $B194) / $B194, "")</f>
        <v>-1.3513513513513617E-2</v>
      </c>
      <c r="I194" s="100">
        <f>IF(ISNUMBER(G194), $B199 * H194, "")</f>
        <v>-2027.0270270270425</v>
      </c>
      <c r="J194" s="96">
        <v>80.400000000000006</v>
      </c>
      <c r="K194" s="97">
        <f>IF(ISNUMBER(J194), (J194 - $B194) / $B194, "")</f>
        <v>-1.2285012285012284E-2</v>
      </c>
      <c r="L194" s="98">
        <f>IF(ISNUMBER(J194), $B199 * K194, "")</f>
        <v>-1842.7518427518426</v>
      </c>
      <c r="M194" s="99">
        <v>80.2</v>
      </c>
      <c r="N194" s="97">
        <f>IF(ISNUMBER(M194), (M194 - $B194) / $B194, "")</f>
        <v>-1.4742014742014775E-2</v>
      </c>
      <c r="O194" s="98">
        <f>IF(ISNUMBER(M194), $B199 * N194, "")</f>
        <v>-2211.3022113022162</v>
      </c>
      <c r="Q194" s="161"/>
      <c r="R194" s="161"/>
      <c r="S194" s="161"/>
    </row>
    <row r="195" spans="1:19" ht="17.25" thickBot="1">
      <c r="A195" s="109" t="s">
        <v>256</v>
      </c>
      <c r="B195" s="110">
        <v>133</v>
      </c>
      <c r="C195" s="70">
        <v>-4.31654676E-2</v>
      </c>
      <c r="D195" s="15">
        <v>136</v>
      </c>
      <c r="E195" s="32">
        <f t="shared" ref="E195:E198" si="106">IF(ISNUMBER(D195), (D195 - $B195) / $B195, "")</f>
        <v>2.2556390977443608E-2</v>
      </c>
      <c r="F195" s="18">
        <f>IF(ISNUMBER(D195), $B199 * E195, "")</f>
        <v>3383.458646616541</v>
      </c>
      <c r="G195" s="31">
        <v>133</v>
      </c>
      <c r="H195" s="32">
        <f t="shared" ref="H195:H198" si="107">IF(ISNUMBER(G195), (G195 - $B195) / $B195, "")</f>
        <v>0</v>
      </c>
      <c r="I195" s="91">
        <f>IF(ISNUMBER(G195), $B199 * H195, "")</f>
        <v>0</v>
      </c>
      <c r="J195" s="15">
        <v>134</v>
      </c>
      <c r="K195" s="32">
        <f t="shared" ref="K195:K198" si="108">IF(ISNUMBER(J195), (J195 - $B195) / $B195, "")</f>
        <v>7.5187969924812026E-3</v>
      </c>
      <c r="L195" s="18">
        <f>IF(ISNUMBER(J195), $B199 * K195, "")</f>
        <v>1127.8195488721803</v>
      </c>
      <c r="M195" s="31">
        <v>137</v>
      </c>
      <c r="N195" s="32">
        <f t="shared" ref="N195:N198" si="109">IF(ISNUMBER(M195), (M195 - $B195) / $B195, "")</f>
        <v>3.007518796992481E-2</v>
      </c>
      <c r="O195" s="18">
        <f>IF(ISNUMBER(M195), $B199 * N195, "")</f>
        <v>4511.2781954887214</v>
      </c>
      <c r="Q195" s="161"/>
      <c r="R195" s="161"/>
      <c r="S195" s="161"/>
    </row>
    <row r="196" spans="1:19" ht="17.25" thickBot="1">
      <c r="A196" s="109" t="s">
        <v>228</v>
      </c>
      <c r="B196" s="110">
        <v>67.3</v>
      </c>
      <c r="C196" s="70">
        <v>-4.4034090900000003E-2</v>
      </c>
      <c r="D196" s="15">
        <v>67</v>
      </c>
      <c r="E196" s="32">
        <f t="shared" si="106"/>
        <v>-4.4576523031203148E-3</v>
      </c>
      <c r="F196" s="18">
        <f>IF(ISNUMBER(D196), $B199 * E196, "")</f>
        <v>-668.64784546804719</v>
      </c>
      <c r="G196" s="31">
        <v>67</v>
      </c>
      <c r="H196" s="32">
        <f t="shared" si="107"/>
        <v>-4.4576523031203148E-3</v>
      </c>
      <c r="I196" s="91">
        <f>IF(ISNUMBER(G196), $B199 * H196, "")</f>
        <v>-668.64784546804719</v>
      </c>
      <c r="J196" s="15">
        <v>66.900000000000006</v>
      </c>
      <c r="K196" s="32">
        <f t="shared" si="108"/>
        <v>-5.9435364041603494E-3</v>
      </c>
      <c r="L196" s="18">
        <f>IF(ISNUMBER(J196), $B199 * K196, "")</f>
        <v>-891.53046062405247</v>
      </c>
      <c r="M196" s="31">
        <v>67.099999999999994</v>
      </c>
      <c r="N196" s="32">
        <f t="shared" si="109"/>
        <v>-2.9717682020802801E-3</v>
      </c>
      <c r="O196" s="18">
        <f>IF(ISNUMBER(M196), $B199 * N196, "")</f>
        <v>-445.76523031204204</v>
      </c>
      <c r="Q196" s="161"/>
      <c r="R196" s="161"/>
      <c r="S196" s="161"/>
    </row>
    <row r="197" spans="1:19">
      <c r="A197" s="109" t="s">
        <v>105</v>
      </c>
      <c r="B197" s="110">
        <v>248</v>
      </c>
      <c r="C197" s="70">
        <v>-4.9808429100000003E-2</v>
      </c>
      <c r="D197" s="15">
        <v>250</v>
      </c>
      <c r="E197" s="32">
        <f t="shared" si="106"/>
        <v>8.0645161290322578E-3</v>
      </c>
      <c r="F197" s="18">
        <f>IF(ISNUMBER(D197), $B199 * E197, "")</f>
        <v>1209.6774193548388</v>
      </c>
      <c r="G197" s="31">
        <v>249</v>
      </c>
      <c r="H197" s="32">
        <f t="shared" si="107"/>
        <v>4.0322580645161289E-3</v>
      </c>
      <c r="I197" s="91">
        <f>IF(ISNUMBER(G197), $B199 * H197, "")</f>
        <v>604.83870967741939</v>
      </c>
      <c r="J197" s="15">
        <v>249</v>
      </c>
      <c r="K197" s="32">
        <f t="shared" si="108"/>
        <v>4.0322580645161289E-3</v>
      </c>
      <c r="L197" s="18">
        <f>IF(ISNUMBER(J197), $B199 * K197, "")</f>
        <v>604.83870967741939</v>
      </c>
      <c r="M197" s="31">
        <v>250</v>
      </c>
      <c r="N197" s="32">
        <f t="shared" si="109"/>
        <v>8.0645161290322578E-3</v>
      </c>
      <c r="O197" s="18">
        <f>IF(ISNUMBER(M197), $B199 * N197, "")</f>
        <v>1209.6774193548388</v>
      </c>
      <c r="Q197" s="183"/>
      <c r="R197" s="184"/>
      <c r="S197" s="185"/>
    </row>
    <row r="198" spans="1:19" ht="17.25" thickBot="1">
      <c r="A198" s="114" t="s">
        <v>97</v>
      </c>
      <c r="B198" s="115">
        <v>8.9999999999999998E-4</v>
      </c>
      <c r="C198" s="72">
        <v>-0.1</v>
      </c>
      <c r="D198" s="24">
        <v>8.9999999999999998E-4</v>
      </c>
      <c r="E198" s="25">
        <f t="shared" si="106"/>
        <v>0</v>
      </c>
      <c r="F198" s="94">
        <f>IF(ISNUMBER(D198), $B199 * E198, "")</f>
        <v>0</v>
      </c>
      <c r="G198" s="92">
        <v>1E-3</v>
      </c>
      <c r="H198" s="25">
        <f t="shared" si="107"/>
        <v>0.11111111111111116</v>
      </c>
      <c r="I198" s="93">
        <f>IF(ISNUMBER(G198), $B199 * H198, "")</f>
        <v>16666.666666666675</v>
      </c>
      <c r="J198" s="24">
        <v>1E-3</v>
      </c>
      <c r="K198" s="25">
        <f t="shared" si="108"/>
        <v>0.11111111111111116</v>
      </c>
      <c r="L198" s="94">
        <f>IF(ISNUMBER(J198), $B199 * K198, "")</f>
        <v>16666.666666666675</v>
      </c>
      <c r="M198" s="92">
        <v>8.9999999999999998E-4</v>
      </c>
      <c r="N198" s="25">
        <f t="shared" si="109"/>
        <v>0</v>
      </c>
      <c r="O198" s="94">
        <f>IF(ISNUMBER(M198), $B199 * N198, "")</f>
        <v>0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2.3382452614814207E-5</v>
      </c>
      <c r="F199" s="28">
        <f>SUM(F179:F198)</f>
        <v>70.147357844442695</v>
      </c>
      <c r="G199" s="26" t="s">
        <v>261</v>
      </c>
      <c r="H199" s="27">
        <f>IF(COUNT(H179:H198), SUM(H179:H198) / COUNT(H179:H198), 0)</f>
        <v>3.0116183088068813E-3</v>
      </c>
      <c r="I199" s="28">
        <f>SUM(I179:I198)</f>
        <v>9034.8549264206449</v>
      </c>
      <c r="J199" s="26" t="s">
        <v>261</v>
      </c>
      <c r="K199" s="27">
        <f>IF(COUNT(K179:K198), SUM(K179:K198) / COUNT(K179:K198), 0)</f>
        <v>6.9542761032117305E-3</v>
      </c>
      <c r="L199" s="28">
        <f>SUM(L179:L198)</f>
        <v>20862.828309635192</v>
      </c>
      <c r="M199" s="26" t="s">
        <v>261</v>
      </c>
      <c r="N199" s="27">
        <f>IF(COUNT(N179:N198), SUM(N179:N198) / COUNT(N179:N198), 0)</f>
        <v>2.764201690883949E-3</v>
      </c>
      <c r="O199" s="28">
        <f>SUM(O179:O198)</f>
        <v>8292.6050726518479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61" priority="157">
      <formula>AND($N17 &gt; 0, ISNUMBER($N17))</formula>
    </cfRule>
    <cfRule type="expression" dxfId="4260" priority="158">
      <formula>AND($N17 = 0 * ISNUMBER($N17))</formula>
    </cfRule>
    <cfRule type="expression" dxfId="4259" priority="159">
      <formula>AND($N17 &lt; 0, ISNUMBER($N17))</formula>
    </cfRule>
  </conditionalFormatting>
  <conditionalFormatting sqref="A17:F36">
    <cfRule type="expression" dxfId="4258" priority="166">
      <formula>AND($E17 &gt; 0, ISNUMBER($E17))</formula>
    </cfRule>
    <cfRule type="expression" dxfId="4257" priority="167">
      <formula>AND($E17 = 0 * ISNUMBER($E17))</formula>
    </cfRule>
    <cfRule type="expression" dxfId="4256" priority="168">
      <formula>AND($E17 &lt; 0, ISNUMBER($E17))</formula>
    </cfRule>
  </conditionalFormatting>
  <conditionalFormatting sqref="A17:C36 G17:I36">
    <cfRule type="expression" dxfId="4255" priority="163">
      <formula>AND($H17 &gt; 0, ISNUMBER($H17))</formula>
    </cfRule>
    <cfRule type="expression" dxfId="4254" priority="164">
      <formula>AND($H17 = 0 * ISNUMBER($H17))</formula>
    </cfRule>
    <cfRule type="expression" dxfId="4253" priority="165">
      <formula>AND($H17 &lt; 0, ISNUMBER($H17))</formula>
    </cfRule>
  </conditionalFormatting>
  <conditionalFormatting sqref="A17:C36 J17:L36">
    <cfRule type="expression" dxfId="4252" priority="160">
      <formula>AND($K17 &gt; 0, ISNUMBER($K17))</formula>
    </cfRule>
    <cfRule type="expression" dxfId="4251" priority="161">
      <formula>AND($K17 = 0 * ISNUMBER($K17))</formula>
    </cfRule>
    <cfRule type="expression" dxfId="4250" priority="162">
      <formula>AND($K17 &lt; 0, ISNUMBER($K17))</formula>
    </cfRule>
  </conditionalFormatting>
  <conditionalFormatting sqref="D15:F16 E37:F37">
    <cfRule type="expression" dxfId="4249" priority="154">
      <formula>$E$37 &gt; 0</formula>
    </cfRule>
    <cfRule type="expression" dxfId="4248" priority="155">
      <formula>$E$37 = 0</formula>
    </cfRule>
    <cfRule type="expression" dxfId="4247" priority="156">
      <formula>$E$37 &lt; 0</formula>
    </cfRule>
  </conditionalFormatting>
  <conditionalFormatting sqref="G15:I16 H37:I37">
    <cfRule type="expression" dxfId="4246" priority="151">
      <formula>$H$37 &gt; 0</formula>
    </cfRule>
    <cfRule type="expression" dxfId="4245" priority="152">
      <formula>$H$37 = 0</formula>
    </cfRule>
    <cfRule type="expression" dxfId="4244" priority="153">
      <formula>$H$37 &lt; 0</formula>
    </cfRule>
  </conditionalFormatting>
  <conditionalFormatting sqref="J15:L16 K37:L37">
    <cfRule type="expression" dxfId="4243" priority="148">
      <formula>$K$37 &gt; 0</formula>
    </cfRule>
    <cfRule type="expression" dxfId="4242" priority="149">
      <formula>$K$37 = 0</formula>
    </cfRule>
    <cfRule type="expression" dxfId="4241" priority="150">
      <formula>$K$37 &lt; 0</formula>
    </cfRule>
  </conditionalFormatting>
  <conditionalFormatting sqref="M15:O16 N37:O37">
    <cfRule type="expression" dxfId="4240" priority="145">
      <formula>$N$37 &gt; 0</formula>
    </cfRule>
    <cfRule type="expression" dxfId="4239" priority="146">
      <formula>$N$37 = 0</formula>
    </cfRule>
    <cfRule type="expression" dxfId="4238" priority="147">
      <formula>$N$37 &lt; 0</formula>
    </cfRule>
  </conditionalFormatting>
  <conditionalFormatting sqref="A44:C63 M44:O63">
    <cfRule type="expression" dxfId="4237" priority="133">
      <formula>AND($N44 &gt; 0, ISNUMBER($N44))</formula>
    </cfRule>
    <cfRule type="expression" dxfId="4236" priority="134">
      <formula>AND($N44 = 0 * ISNUMBER($N44))</formula>
    </cfRule>
    <cfRule type="expression" dxfId="4235" priority="135">
      <formula>AND($N44 &lt; 0, ISNUMBER($N44))</formula>
    </cfRule>
  </conditionalFormatting>
  <conditionalFormatting sqref="A44:F63">
    <cfRule type="expression" dxfId="4234" priority="142">
      <formula>AND($E44 &gt; 0, ISNUMBER($E44))</formula>
    </cfRule>
    <cfRule type="expression" dxfId="4233" priority="143">
      <formula>AND($E44 = 0 * ISNUMBER($E44))</formula>
    </cfRule>
    <cfRule type="expression" dxfId="4232" priority="144">
      <formula>AND($E44 &lt; 0, ISNUMBER($E44))</formula>
    </cfRule>
  </conditionalFormatting>
  <conditionalFormatting sqref="A44:C63 G44:I63">
    <cfRule type="expression" dxfId="4231" priority="139">
      <formula>AND($H44 &gt; 0, ISNUMBER($H44))</formula>
    </cfRule>
    <cfRule type="expression" dxfId="4230" priority="140">
      <formula>AND($H44 = 0 * ISNUMBER($H44))</formula>
    </cfRule>
    <cfRule type="expression" dxfId="4229" priority="141">
      <formula>AND($H44 &lt; 0, ISNUMBER($H44))</formula>
    </cfRule>
  </conditionalFormatting>
  <conditionalFormatting sqref="A44:C63 J44:L63">
    <cfRule type="expression" dxfId="4228" priority="136">
      <formula>AND($K44 &gt; 0, ISNUMBER($K44))</formula>
    </cfRule>
    <cfRule type="expression" dxfId="4227" priority="137">
      <formula>AND($K44 = 0 * ISNUMBER($K44))</formula>
    </cfRule>
    <cfRule type="expression" dxfId="4226" priority="138">
      <formula>AND($K44 &lt; 0, ISNUMBER($K44))</formula>
    </cfRule>
  </conditionalFormatting>
  <conditionalFormatting sqref="D42:F43 E64:F64">
    <cfRule type="expression" dxfId="4225" priority="130">
      <formula>$E$64 &gt; 0</formula>
    </cfRule>
    <cfRule type="expression" dxfId="4224" priority="131">
      <formula>$E$64 = 0</formula>
    </cfRule>
    <cfRule type="expression" dxfId="4223" priority="132">
      <formula>$E$64 &lt; 0</formula>
    </cfRule>
  </conditionalFormatting>
  <conditionalFormatting sqref="G42:I43 H64:I64">
    <cfRule type="expression" dxfId="4222" priority="127">
      <formula>$H$64 &gt; 0</formula>
    </cfRule>
    <cfRule type="expression" dxfId="4221" priority="128">
      <formula>$H$64 = 0</formula>
    </cfRule>
    <cfRule type="expression" dxfId="4220" priority="129">
      <formula>$H$64 &lt; 0</formula>
    </cfRule>
  </conditionalFormatting>
  <conditionalFormatting sqref="J42:L43 K64:L64">
    <cfRule type="expression" dxfId="4219" priority="124">
      <formula>$K$64 &gt; 0</formula>
    </cfRule>
    <cfRule type="expression" dxfId="4218" priority="125">
      <formula>$K$64 = 0</formula>
    </cfRule>
    <cfRule type="expression" dxfId="4217" priority="126">
      <formula>$K$64 &lt; 0</formula>
    </cfRule>
  </conditionalFormatting>
  <conditionalFormatting sqref="M42:O43 N64:O64">
    <cfRule type="expression" dxfId="4216" priority="121">
      <formula>$N$64 &gt; 0</formula>
    </cfRule>
    <cfRule type="expression" dxfId="4215" priority="122">
      <formula>$N$64 = 0</formula>
    </cfRule>
    <cfRule type="expression" dxfId="4214" priority="123">
      <formula>$N$64 &lt; 0</formula>
    </cfRule>
  </conditionalFormatting>
  <conditionalFormatting sqref="A71:C90 M71:O90">
    <cfRule type="expression" dxfId="4213" priority="109">
      <formula>AND($N71 &gt; 0, ISNUMBER($N71))</formula>
    </cfRule>
    <cfRule type="expression" dxfId="4212" priority="110">
      <formula>AND($N71 = 0 * ISNUMBER($N71))</formula>
    </cfRule>
    <cfRule type="expression" dxfId="4211" priority="111">
      <formula>AND($N71 &lt; 0, ISNUMBER($N71))</formula>
    </cfRule>
  </conditionalFormatting>
  <conditionalFormatting sqref="A71:F90">
    <cfRule type="expression" dxfId="4210" priority="118">
      <formula>AND($E71 &gt; 0, ISNUMBER($E71))</formula>
    </cfRule>
    <cfRule type="expression" dxfId="4209" priority="119">
      <formula>AND($E71 = 0 * ISNUMBER($E71))</formula>
    </cfRule>
    <cfRule type="expression" dxfId="4208" priority="120">
      <formula>AND($E71 &lt; 0, ISNUMBER($E71))</formula>
    </cfRule>
  </conditionalFormatting>
  <conditionalFormatting sqref="A71:C90 G71:I90">
    <cfRule type="expression" dxfId="4207" priority="115">
      <formula>AND($H71 &gt; 0, ISNUMBER($H71))</formula>
    </cfRule>
    <cfRule type="expression" dxfId="4206" priority="116">
      <formula>AND($H71 = 0 * ISNUMBER($H71))</formula>
    </cfRule>
    <cfRule type="expression" dxfId="4205" priority="117">
      <formula>AND($H71 &lt; 0, ISNUMBER($H71))</formula>
    </cfRule>
  </conditionalFormatting>
  <conditionalFormatting sqref="A71:C90 J71:L90">
    <cfRule type="expression" dxfId="4204" priority="112">
      <formula>AND($K71 &gt; 0, ISNUMBER($K71))</formula>
    </cfRule>
    <cfRule type="expression" dxfId="4203" priority="113">
      <formula>AND($K71 = 0 * ISNUMBER($K71))</formula>
    </cfRule>
    <cfRule type="expression" dxfId="4202" priority="114">
      <formula>AND($K71 &lt; 0, ISNUMBER($K71))</formula>
    </cfRule>
  </conditionalFormatting>
  <conditionalFormatting sqref="D69:F70 E91:F91">
    <cfRule type="expression" dxfId="4201" priority="106">
      <formula>$E$91 &gt; 0</formula>
    </cfRule>
    <cfRule type="expression" dxfId="4200" priority="107">
      <formula>$E$91 = 0</formula>
    </cfRule>
    <cfRule type="expression" dxfId="4199" priority="108">
      <formula>$E$91 &lt; 0</formula>
    </cfRule>
  </conditionalFormatting>
  <conditionalFormatting sqref="G69:I70 H91:I91">
    <cfRule type="expression" dxfId="4198" priority="103">
      <formula>$H$91 &gt; 0</formula>
    </cfRule>
    <cfRule type="expression" dxfId="4197" priority="104">
      <formula>$H$91 = 0</formula>
    </cfRule>
    <cfRule type="expression" dxfId="4196" priority="105">
      <formula>$H$91 &lt; 0</formula>
    </cfRule>
  </conditionalFormatting>
  <conditionalFormatting sqref="J69:L70 K91:L91">
    <cfRule type="expression" dxfId="4195" priority="100">
      <formula>$K$91 &gt; 0</formula>
    </cfRule>
    <cfRule type="expression" dxfId="4194" priority="101">
      <formula>$K$91 = 0</formula>
    </cfRule>
    <cfRule type="expression" dxfId="4193" priority="102">
      <formula>$K$91 &lt; 0</formula>
    </cfRule>
  </conditionalFormatting>
  <conditionalFormatting sqref="M69:O70 N91:O91">
    <cfRule type="expression" dxfId="4192" priority="97">
      <formula>$N$91 &gt; 0</formula>
    </cfRule>
    <cfRule type="expression" dxfId="4191" priority="98">
      <formula>$N$91 = 0</formula>
    </cfRule>
    <cfRule type="expression" dxfId="4190" priority="99">
      <formula>$N$91 &lt; 0</formula>
    </cfRule>
  </conditionalFormatting>
  <conditionalFormatting sqref="A98:C117 M98:O117">
    <cfRule type="expression" dxfId="4189" priority="85">
      <formula>AND($N98 &gt; 0, ISNUMBER($N98))</formula>
    </cfRule>
    <cfRule type="expression" dxfId="4188" priority="86">
      <formula>AND($N98 = 0 * ISNUMBER($N98))</formula>
    </cfRule>
    <cfRule type="expression" dxfId="4187" priority="87">
      <formula>AND($N98 &lt; 0, ISNUMBER($N98))</formula>
    </cfRule>
  </conditionalFormatting>
  <conditionalFormatting sqref="A98:F117">
    <cfRule type="expression" dxfId="4186" priority="94">
      <formula>AND($E98 &gt; 0, ISNUMBER($E98))</formula>
    </cfRule>
    <cfRule type="expression" dxfId="4185" priority="95">
      <formula>AND($E98 = 0 * ISNUMBER($E98))</formula>
    </cfRule>
    <cfRule type="expression" dxfId="4184" priority="96">
      <formula>AND($E98 &lt; 0, ISNUMBER($E98))</formula>
    </cfRule>
  </conditionalFormatting>
  <conditionalFormatting sqref="A98:C117 G98:I117">
    <cfRule type="expression" dxfId="4183" priority="91">
      <formula>AND($H98 &gt; 0, ISNUMBER($H98))</formula>
    </cfRule>
    <cfRule type="expression" dxfId="4182" priority="92">
      <formula>AND($H98 = 0 * ISNUMBER($H98))</formula>
    </cfRule>
    <cfRule type="expression" dxfId="4181" priority="93">
      <formula>AND($H98 &lt; 0, ISNUMBER($H98))</formula>
    </cfRule>
  </conditionalFormatting>
  <conditionalFormatting sqref="A98:C117 J98:L117">
    <cfRule type="expression" dxfId="4180" priority="88">
      <formula>AND($K98 &gt; 0, ISNUMBER($K98))</formula>
    </cfRule>
    <cfRule type="expression" dxfId="4179" priority="89">
      <formula>AND($K98 = 0 * ISNUMBER($K98))</formula>
    </cfRule>
    <cfRule type="expression" dxfId="4178" priority="90">
      <formula>AND($K98 &lt; 0, ISNUMBER($K98))</formula>
    </cfRule>
  </conditionalFormatting>
  <conditionalFormatting sqref="D96:F97 E118:F118">
    <cfRule type="expression" dxfId="4177" priority="82">
      <formula>$E$118 &gt; 0</formula>
    </cfRule>
    <cfRule type="expression" dxfId="4176" priority="83">
      <formula>$E$118 = 0</formula>
    </cfRule>
    <cfRule type="expression" dxfId="4175" priority="84">
      <formula>$E$118 &lt; 0</formula>
    </cfRule>
  </conditionalFormatting>
  <conditionalFormatting sqref="G96:I97 H118:I118">
    <cfRule type="expression" dxfId="4174" priority="79">
      <formula>$H$118 &gt; 0</formula>
    </cfRule>
    <cfRule type="expression" dxfId="4173" priority="80">
      <formula>$H$118 = 0</formula>
    </cfRule>
    <cfRule type="expression" dxfId="4172" priority="81">
      <formula>$H$118 &lt; 0</formula>
    </cfRule>
  </conditionalFormatting>
  <conditionalFormatting sqref="J96:L97 K118:L118">
    <cfRule type="expression" dxfId="4171" priority="76">
      <formula>$K$118 &gt; 0</formula>
    </cfRule>
    <cfRule type="expression" dxfId="4170" priority="77">
      <formula>$K$118 = 0</formula>
    </cfRule>
    <cfRule type="expression" dxfId="4169" priority="78">
      <formula>$K$118 &lt; 0</formula>
    </cfRule>
  </conditionalFormatting>
  <conditionalFormatting sqref="M96:O97 N118:O118">
    <cfRule type="expression" dxfId="4168" priority="73">
      <formula>$N$118 &gt; 0</formula>
    </cfRule>
    <cfRule type="expression" dxfId="4167" priority="74">
      <formula>$N$118 = 0</formula>
    </cfRule>
    <cfRule type="expression" dxfId="4166" priority="75">
      <formula>$N$118 &lt; 0</formula>
    </cfRule>
  </conditionalFormatting>
  <conditionalFormatting sqref="A125:C144 M125:O144">
    <cfRule type="expression" dxfId="4165" priority="61">
      <formula>AND($N125 &gt; 0, ISNUMBER($N125))</formula>
    </cfRule>
    <cfRule type="expression" dxfId="4164" priority="62">
      <formula>AND($N125 = 0 * ISNUMBER($N125))</formula>
    </cfRule>
    <cfRule type="expression" dxfId="4163" priority="63">
      <formula>AND($N125 &lt; 0, ISNUMBER($N125))</formula>
    </cfRule>
  </conditionalFormatting>
  <conditionalFormatting sqref="A125:F144">
    <cfRule type="expression" dxfId="4162" priority="70">
      <formula>AND($E125 &gt; 0, ISNUMBER($E125))</formula>
    </cfRule>
    <cfRule type="expression" dxfId="4161" priority="71">
      <formula>AND($E125 = 0 * ISNUMBER($E125))</formula>
    </cfRule>
    <cfRule type="expression" dxfId="4160" priority="72">
      <formula>AND($E125 &lt; 0, ISNUMBER($E125))</formula>
    </cfRule>
  </conditionalFormatting>
  <conditionalFormatting sqref="A125:C144 G125:I144">
    <cfRule type="expression" dxfId="4159" priority="67">
      <formula>AND($H125 &gt; 0, ISNUMBER($H125))</formula>
    </cfRule>
    <cfRule type="expression" dxfId="4158" priority="68">
      <formula>AND($H125 = 0 * ISNUMBER($H125))</formula>
    </cfRule>
    <cfRule type="expression" dxfId="4157" priority="69">
      <formula>AND($H125 &lt; 0, ISNUMBER($H125))</formula>
    </cfRule>
  </conditionalFormatting>
  <conditionalFormatting sqref="A125:C144 J125:L144">
    <cfRule type="expression" dxfId="4156" priority="64">
      <formula>AND($K125 &gt; 0, ISNUMBER($K125))</formula>
    </cfRule>
    <cfRule type="expression" dxfId="4155" priority="65">
      <formula>AND($K125 = 0 * ISNUMBER($K125))</formula>
    </cfRule>
    <cfRule type="expression" dxfId="4154" priority="66">
      <formula>AND($K125 &lt; 0, ISNUMBER($K125))</formula>
    </cfRule>
  </conditionalFormatting>
  <conditionalFormatting sqref="D123:F124 E145:F145">
    <cfRule type="expression" dxfId="4153" priority="58">
      <formula>$E$145 &gt; 0</formula>
    </cfRule>
    <cfRule type="expression" dxfId="4152" priority="59">
      <formula>$E$145 = 0</formula>
    </cfRule>
    <cfRule type="expression" dxfId="4151" priority="60">
      <formula>$E$145 &lt; 0</formula>
    </cfRule>
  </conditionalFormatting>
  <conditionalFormatting sqref="G123:I124 H145:I145">
    <cfRule type="expression" dxfId="4150" priority="55">
      <formula>$H$145 &gt; 0</formula>
    </cfRule>
    <cfRule type="expression" dxfId="4149" priority="56">
      <formula>$H$145 = 0</formula>
    </cfRule>
    <cfRule type="expression" dxfId="4148" priority="57">
      <formula>$H$145 &lt; 0</formula>
    </cfRule>
  </conditionalFormatting>
  <conditionalFormatting sqref="J123:L124 K145:L145">
    <cfRule type="expression" dxfId="4147" priority="52">
      <formula>$K$145 &gt; 0</formula>
    </cfRule>
    <cfRule type="expression" dxfId="4146" priority="53">
      <formula>$K$145 = 0</formula>
    </cfRule>
    <cfRule type="expression" dxfId="4145" priority="54">
      <formula>$K$145 &lt; 0</formula>
    </cfRule>
  </conditionalFormatting>
  <conditionalFormatting sqref="M123:O124 N145:O145">
    <cfRule type="expression" dxfId="4144" priority="49">
      <formula>$N$145 &gt; 0</formula>
    </cfRule>
    <cfRule type="expression" dxfId="4143" priority="50">
      <formula>$N$145 = 0</formula>
    </cfRule>
    <cfRule type="expression" dxfId="4142" priority="51">
      <formula>$N$145 &lt; 0</formula>
    </cfRule>
  </conditionalFormatting>
  <conditionalFormatting sqref="A152:C171 M152:O171">
    <cfRule type="expression" dxfId="4141" priority="37">
      <formula>AND($N152 &gt; 0, ISNUMBER($N152))</formula>
    </cfRule>
    <cfRule type="expression" dxfId="4140" priority="38">
      <formula>AND($N152 = 0 * ISNUMBER($N152))</formula>
    </cfRule>
    <cfRule type="expression" dxfId="4139" priority="39">
      <formula>AND($N152 &lt; 0, ISNUMBER($N152))</formula>
    </cfRule>
  </conditionalFormatting>
  <conditionalFormatting sqref="A152:F171">
    <cfRule type="expression" dxfId="4138" priority="46">
      <formula>AND($E152 &gt; 0, ISNUMBER($E152))</formula>
    </cfRule>
    <cfRule type="expression" dxfId="4137" priority="47">
      <formula>AND($E152 = 0 * ISNUMBER($E152))</formula>
    </cfRule>
    <cfRule type="expression" dxfId="4136" priority="48">
      <formula>AND($E152 &lt; 0, ISNUMBER($E152))</formula>
    </cfRule>
  </conditionalFormatting>
  <conditionalFormatting sqref="A152:C171 G152:I171">
    <cfRule type="expression" dxfId="4135" priority="43">
      <formula>AND($H152 &gt; 0, ISNUMBER($H152))</formula>
    </cfRule>
    <cfRule type="expression" dxfId="4134" priority="44">
      <formula>AND($H152 = 0 * ISNUMBER($H152))</formula>
    </cfRule>
    <cfRule type="expression" dxfId="4133" priority="45">
      <formula>AND($H152 &lt; 0, ISNUMBER($H152))</formula>
    </cfRule>
  </conditionalFormatting>
  <conditionalFormatting sqref="A152:C171 J152:L171">
    <cfRule type="expression" dxfId="4132" priority="40">
      <formula>AND($K152 &gt; 0, ISNUMBER($K152))</formula>
    </cfRule>
    <cfRule type="expression" dxfId="4131" priority="41">
      <formula>AND($K152 = 0 * ISNUMBER($K152))</formula>
    </cfRule>
    <cfRule type="expression" dxfId="4130" priority="42">
      <formula>AND($K152 &lt; 0, ISNUMBER($K152))</formula>
    </cfRule>
  </conditionalFormatting>
  <conditionalFormatting sqref="D150:F151 E172:F172">
    <cfRule type="expression" dxfId="4129" priority="34">
      <formula>$E$172 &gt; 0</formula>
    </cfRule>
    <cfRule type="expression" dxfId="4128" priority="35">
      <formula>$E$172 = 0</formula>
    </cfRule>
    <cfRule type="expression" dxfId="4127" priority="36">
      <formula>$E$172 &lt; 0</formula>
    </cfRule>
  </conditionalFormatting>
  <conditionalFormatting sqref="G150:I151 H172:I172">
    <cfRule type="expression" dxfId="4126" priority="31">
      <formula>$H$172 &gt; 0</formula>
    </cfRule>
    <cfRule type="expression" dxfId="4125" priority="32">
      <formula>$H$172 = 0</formula>
    </cfRule>
    <cfRule type="expression" dxfId="4124" priority="33">
      <formula>$H$172 &lt; 0</formula>
    </cfRule>
  </conditionalFormatting>
  <conditionalFormatting sqref="J150:L151 K172:L172">
    <cfRule type="expression" dxfId="4123" priority="28">
      <formula>$K$172 &gt; 0</formula>
    </cfRule>
    <cfRule type="expression" dxfId="4122" priority="29">
      <formula>$K$172 = 0</formula>
    </cfRule>
    <cfRule type="expression" dxfId="4121" priority="30">
      <formula>$K$172 &lt; 0</formula>
    </cfRule>
  </conditionalFormatting>
  <conditionalFormatting sqref="M150:O151 N172:O172">
    <cfRule type="expression" dxfId="4120" priority="25">
      <formula>$N$172 &gt; 0</formula>
    </cfRule>
    <cfRule type="expression" dxfId="4119" priority="26">
      <formula>$N$172 = 0</formula>
    </cfRule>
    <cfRule type="expression" dxfId="4118" priority="27">
      <formula>$N$172 &lt; 0</formula>
    </cfRule>
  </conditionalFormatting>
  <conditionalFormatting sqref="A179:C198 M179:O198">
    <cfRule type="expression" dxfId="4117" priority="13">
      <formula>AND($N179 &gt; 0, ISNUMBER($N179))</formula>
    </cfRule>
    <cfRule type="expression" dxfId="4116" priority="14">
      <formula>AND($N179 = 0 * ISNUMBER($N179))</formula>
    </cfRule>
    <cfRule type="expression" dxfId="4115" priority="15">
      <formula>AND($N179 &lt; 0, ISNUMBER($N179))</formula>
    </cfRule>
  </conditionalFormatting>
  <conditionalFormatting sqref="A179:F198">
    <cfRule type="expression" dxfId="4114" priority="22">
      <formula>AND($E179 &gt; 0, ISNUMBER($E179))</formula>
    </cfRule>
    <cfRule type="expression" dxfId="4113" priority="23">
      <formula>AND($E179 = 0 * ISNUMBER($E179))</formula>
    </cfRule>
    <cfRule type="expression" dxfId="4112" priority="24">
      <formula>AND($E179 &lt; 0, ISNUMBER($E179))</formula>
    </cfRule>
  </conditionalFormatting>
  <conditionalFormatting sqref="A179:C198 G179:I198">
    <cfRule type="expression" dxfId="4111" priority="19">
      <formula>AND($H179 &gt; 0, ISNUMBER($H179))</formula>
    </cfRule>
    <cfRule type="expression" dxfId="4110" priority="20">
      <formula>AND($H179 = 0 * ISNUMBER($H179))</formula>
    </cfRule>
    <cfRule type="expression" dxfId="4109" priority="21">
      <formula>AND($H179 &lt; 0, ISNUMBER($H179))</formula>
    </cfRule>
  </conditionalFormatting>
  <conditionalFormatting sqref="A179:C198 J179:L198">
    <cfRule type="expression" dxfId="4108" priority="16">
      <formula>AND($K179 &gt; 0, ISNUMBER($K179))</formula>
    </cfRule>
    <cfRule type="expression" dxfId="4107" priority="17">
      <formula>AND($K179 = 0 * ISNUMBER($K179))</formula>
    </cfRule>
    <cfRule type="expression" dxfId="4106" priority="18">
      <formula>AND($K179 &lt; 0, ISNUMBER($K179))</formula>
    </cfRule>
  </conditionalFormatting>
  <conditionalFormatting sqref="D177:F178 E199:F199">
    <cfRule type="expression" dxfId="4105" priority="10">
      <formula>$E$199 &gt; 0</formula>
    </cfRule>
    <cfRule type="expression" dxfId="4104" priority="11">
      <formula>$E$199 = 0</formula>
    </cfRule>
    <cfRule type="expression" dxfId="4103" priority="12">
      <formula>$E$199 &lt; 0</formula>
    </cfRule>
  </conditionalFormatting>
  <conditionalFormatting sqref="G177:I178 H199:I199">
    <cfRule type="expression" dxfId="4102" priority="7">
      <formula>$H$199 &gt; 0</formula>
    </cfRule>
    <cfRule type="expression" dxfId="4101" priority="8">
      <formula>$H$199 = 0</formula>
    </cfRule>
    <cfRule type="expression" dxfId="4100" priority="9">
      <formula>$H$199 &lt; 0</formula>
    </cfRule>
  </conditionalFormatting>
  <conditionalFormatting sqref="J177:L178 K199:L199">
    <cfRule type="expression" dxfId="4099" priority="4">
      <formula>$K$199 &gt; 0</formula>
    </cfRule>
    <cfRule type="expression" dxfId="4098" priority="5">
      <formula>$K$199 = 0</formula>
    </cfRule>
    <cfRule type="expression" dxfId="4097" priority="6">
      <formula>$K$199 &lt; 0</formula>
    </cfRule>
  </conditionalFormatting>
  <conditionalFormatting sqref="M177:O178 N199:O199">
    <cfRule type="expression" dxfId="4096" priority="1">
      <formula>$N$199 &gt; 0</formula>
    </cfRule>
    <cfRule type="expression" dxfId="4095" priority="2">
      <formula>$N$199 = 0</formula>
    </cfRule>
    <cfRule type="expression" dxfId="40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6790C-1A54-455D-9D63-388C53899811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44899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-803 KRW (-0.03%)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-21,895 KRW (-0.73%)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-17,845 KRW (-0.59%)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-27,296 KRW (-0.91%)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2022-12-04(일) 오전 00:00</v>
      </c>
      <c r="C15" s="202"/>
      <c r="D15" s="158" t="str">
        <f>TEXT($G$1, "[$-ko-KR]yyyy-mm-dd(ddd) ") &amp; "오후 14:00"</f>
        <v>2022-12-04(일) 오후 14:00</v>
      </c>
      <c r="E15" s="159"/>
      <c r="F15" s="160"/>
      <c r="G15" s="158" t="str">
        <f>TEXT($G$1, "[$-ko-KR]yyyy-mm-dd(ddd) ") &amp; "오후 19:00"</f>
        <v>2022-12-04(일) 오후 19:00</v>
      </c>
      <c r="H15" s="159"/>
      <c r="I15" s="160"/>
      <c r="J15" s="158" t="str">
        <f>TEXT($G$1, "[$-ko-KR]yyyy-mm-dd(ddd) ") &amp; "오후 21:00"</f>
        <v>2022-12-04(일) 오후 21:00</v>
      </c>
      <c r="K15" s="159"/>
      <c r="L15" s="160"/>
      <c r="M15" s="158" t="str">
        <f>TEXT($G$1+1, "[$-ko-KR]yyyy-mm-dd(ddd) ") &amp; "오전 00:00"</f>
        <v>2022-12-05(월)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2022-12-04(일) 오전 00:00</v>
      </c>
      <c r="C42" s="199"/>
      <c r="D42" s="158" t="str">
        <f>TEXT($G$1, "[$-ko-KR]yyyy-mm-dd(ddd) ") &amp; "오후 14:00"</f>
        <v>2022-12-04(일) 오후 14:00</v>
      </c>
      <c r="E42" s="159"/>
      <c r="F42" s="160"/>
      <c r="G42" s="158" t="str">
        <f>TEXT($G$1, "[$-ko-KR]yyyy-mm-dd(ddd) ") &amp; "오후 19:00"</f>
        <v>2022-12-04(일) 오후 19:00</v>
      </c>
      <c r="H42" s="159"/>
      <c r="I42" s="160"/>
      <c r="J42" s="158" t="str">
        <f>TEXT($G$1, "[$-ko-KR]yyyy-mm-dd(ddd) ") &amp; "오후 21:00"</f>
        <v>2022-12-04(일) 오후 21:00</v>
      </c>
      <c r="K42" s="159"/>
      <c r="L42" s="160"/>
      <c r="M42" s="158" t="str">
        <f>TEXT($G$1+1, "[$-ko-KR]yyyy-mm-dd(ddd) ") &amp; "오전 00:00"</f>
        <v>2022-12-05(월)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198</v>
      </c>
      <c r="B44" s="108">
        <v>9.2799999999999994</v>
      </c>
      <c r="C44" s="69">
        <v>8.4112149499999997E-2</v>
      </c>
      <c r="D44" s="13">
        <v>9.26</v>
      </c>
      <c r="E44" s="14">
        <f>IF(ISNUMBER(D44), (D44 - $B44) / $B44, "")</f>
        <v>-2.1551724137930574E-3</v>
      </c>
      <c r="F44" s="16">
        <f>IF(ISNUMBER(D44), $B64 * E44, "")</f>
        <v>-323.27586206895865</v>
      </c>
      <c r="G44" s="29">
        <v>9.61</v>
      </c>
      <c r="H44" s="14">
        <f>IF(ISNUMBER(G44), (G44 - $B44) / $B44, "")</f>
        <v>3.5560344827586216E-2</v>
      </c>
      <c r="I44" s="90">
        <f>IF(ISNUMBER(G44), $B64 * H44, "")</f>
        <v>5334.0517241379321</v>
      </c>
      <c r="J44" s="13">
        <v>9.4</v>
      </c>
      <c r="K44" s="14">
        <f>IF(ISNUMBER(J44), (J44 - $B44) / $B44, "")</f>
        <v>1.2931034482758728E-2</v>
      </c>
      <c r="L44" s="16">
        <f>IF(ISNUMBER(J44), $B64 * K44, "")</f>
        <v>1939.6551724138092</v>
      </c>
      <c r="M44" s="29">
        <v>9.26</v>
      </c>
      <c r="N44" s="14">
        <f>IF(ISNUMBER(M44), (M44 - $B44) / $B44, "")</f>
        <v>-2.1551724137930574E-3</v>
      </c>
      <c r="O44" s="16">
        <f>IF(ISNUMBER(M44), $B64 * N44, "")</f>
        <v>-323.27586206895865</v>
      </c>
      <c r="Q44" s="156"/>
      <c r="R44" s="156"/>
      <c r="S44" s="156"/>
    </row>
    <row r="45" spans="1:19" ht="17.25" customHeight="1" thickBot="1">
      <c r="A45" s="109" t="s">
        <v>206</v>
      </c>
      <c r="B45" s="110">
        <v>3.66</v>
      </c>
      <c r="C45" s="70">
        <v>2.5210084000000001E-2</v>
      </c>
      <c r="D45" s="15">
        <v>3.57</v>
      </c>
      <c r="E45" s="32">
        <f t="shared" ref="E45:E48" si="14">IF(ISNUMBER(D45), (D45 - $B45) / $B45, "")</f>
        <v>-2.4590163934426312E-2</v>
      </c>
      <c r="F45" s="18">
        <f>IF(ISNUMBER(D45), $B64 * E45, "")</f>
        <v>-3688.5245901639469</v>
      </c>
      <c r="G45" s="31">
        <v>3.6</v>
      </c>
      <c r="H45" s="32">
        <f t="shared" ref="H45:H48" si="15">IF(ISNUMBER(G45), (G45 - $B45) / $B45, "")</f>
        <v>-1.6393442622950834E-2</v>
      </c>
      <c r="I45" s="91">
        <f>IF(ISNUMBER(G45), $B64 * H45, "")</f>
        <v>-2459.016393442625</v>
      </c>
      <c r="J45" s="15">
        <v>3.58</v>
      </c>
      <c r="K45" s="32">
        <f t="shared" ref="K45:K48" si="16">IF(ISNUMBER(J45), (J45 - $B45) / $B45, "")</f>
        <v>-2.1857923497267777E-2</v>
      </c>
      <c r="L45" s="18">
        <f>IF(ISNUMBER(J45), $B64 * K45, "")</f>
        <v>-3278.6885245901667</v>
      </c>
      <c r="M45" s="31">
        <v>3.58</v>
      </c>
      <c r="N45" s="32">
        <f t="shared" ref="N45:N48" si="17">IF(ISNUMBER(M45), (M45 - $B45) / $B45, "")</f>
        <v>-2.1857923497267777E-2</v>
      </c>
      <c r="O45" s="18">
        <f>IF(ISNUMBER(M45), $B64 * N45, "")</f>
        <v>-3278.6885245901667</v>
      </c>
      <c r="Q45" s="156"/>
      <c r="R45" s="156"/>
      <c r="S45" s="156"/>
    </row>
    <row r="46" spans="1:19" ht="17.25" customHeight="1" thickBot="1">
      <c r="A46" s="109" t="s">
        <v>200</v>
      </c>
      <c r="B46" s="110">
        <v>7.26</v>
      </c>
      <c r="C46" s="70">
        <v>1.96629213E-2</v>
      </c>
      <c r="D46" s="15">
        <v>7.02</v>
      </c>
      <c r="E46" s="32">
        <f t="shared" si="14"/>
        <v>-3.305785123966945E-2</v>
      </c>
      <c r="F46" s="18">
        <f>IF(ISNUMBER(D46), $B64 * E46, "")</f>
        <v>-4958.6776859504171</v>
      </c>
      <c r="G46" s="31">
        <v>7.09</v>
      </c>
      <c r="H46" s="32">
        <f t="shared" si="15"/>
        <v>-2.3415977961432497E-2</v>
      </c>
      <c r="I46" s="91">
        <f>IF(ISNUMBER(G46), $B64 * H46, "")</f>
        <v>-3512.3966942148745</v>
      </c>
      <c r="J46" s="15">
        <v>7.04</v>
      </c>
      <c r="K46" s="32">
        <f t="shared" si="16"/>
        <v>-3.0303030303030269E-2</v>
      </c>
      <c r="L46" s="18">
        <f>IF(ISNUMBER(J46), $B64 * K46, "")</f>
        <v>-4545.4545454545405</v>
      </c>
      <c r="M46" s="31">
        <v>7.01</v>
      </c>
      <c r="N46" s="32">
        <f t="shared" si="17"/>
        <v>-3.4435261707988982E-2</v>
      </c>
      <c r="O46" s="18">
        <f>IF(ISNUMBER(M46), $B64 * N46, "")</f>
        <v>-5165.2892561983472</v>
      </c>
      <c r="Q46" s="161"/>
      <c r="R46" s="161"/>
      <c r="S46" s="161"/>
    </row>
    <row r="47" spans="1:19" ht="17.25" customHeight="1" thickBot="1">
      <c r="A47" s="109" t="s">
        <v>195</v>
      </c>
      <c r="B47" s="110">
        <v>6.95</v>
      </c>
      <c r="C47" s="70">
        <v>1.75695461E-2</v>
      </c>
      <c r="D47" s="15">
        <v>6.8</v>
      </c>
      <c r="E47" s="32">
        <f t="shared" si="14"/>
        <v>-2.158273381294969E-2</v>
      </c>
      <c r="F47" s="18">
        <f>IF(ISNUMBER(D47), $B64 * E47, "")</f>
        <v>-3237.4100719424537</v>
      </c>
      <c r="G47" s="31">
        <v>6.81</v>
      </c>
      <c r="H47" s="32">
        <f t="shared" si="15"/>
        <v>-2.0143884892086412E-2</v>
      </c>
      <c r="I47" s="91">
        <f>IF(ISNUMBER(G47), $B64 * H47, "")</f>
        <v>-3021.582733812962</v>
      </c>
      <c r="J47" s="15">
        <v>6.77</v>
      </c>
      <c r="K47" s="32">
        <f t="shared" si="16"/>
        <v>-2.5899280575539654E-2</v>
      </c>
      <c r="L47" s="18">
        <f>IF(ISNUMBER(J47), $B64 * K47, "")</f>
        <v>-3884.8920863309481</v>
      </c>
      <c r="M47" s="31">
        <v>6.78</v>
      </c>
      <c r="N47" s="32">
        <f t="shared" si="17"/>
        <v>-2.4460431654676248E-2</v>
      </c>
      <c r="O47" s="18">
        <f>IF(ISNUMBER(M47), $B64 * N47, "")</f>
        <v>-3669.0647482014374</v>
      </c>
      <c r="Q47" s="161"/>
      <c r="R47" s="161"/>
      <c r="S47" s="161"/>
    </row>
    <row r="48" spans="1:19" ht="17.25" customHeight="1" thickBot="1">
      <c r="A48" s="111" t="s">
        <v>118</v>
      </c>
      <c r="B48" s="112">
        <v>7.23</v>
      </c>
      <c r="C48" s="71">
        <v>1.6877637099999999E-2</v>
      </c>
      <c r="D48" s="20">
        <v>7.03</v>
      </c>
      <c r="E48" s="21">
        <f t="shared" si="14"/>
        <v>-2.7662517289073329E-2</v>
      </c>
      <c r="F48" s="22">
        <f>IF(ISNUMBER(D48), $B64 * E48, "")</f>
        <v>-4149.3775933609995</v>
      </c>
      <c r="G48" s="30">
        <v>7.03</v>
      </c>
      <c r="H48" s="21">
        <f t="shared" si="15"/>
        <v>-2.7662517289073329E-2</v>
      </c>
      <c r="I48" s="95">
        <f>IF(ISNUMBER(G48), $B64 * H48, "")</f>
        <v>-4149.3775933609995</v>
      </c>
      <c r="J48" s="20">
        <v>7</v>
      </c>
      <c r="K48" s="21">
        <f t="shared" si="16"/>
        <v>-3.1811894882434362E-2</v>
      </c>
      <c r="L48" s="22">
        <f>IF(ISNUMBER(J48), $B64 * K48, "")</f>
        <v>-4771.7842323651539</v>
      </c>
      <c r="M48" s="30">
        <v>7.06</v>
      </c>
      <c r="N48" s="21">
        <f t="shared" si="17"/>
        <v>-2.3513139695712421E-2</v>
      </c>
      <c r="O48" s="22">
        <f>IF(ISNUMBER(M48), $B64 * N48, "")</f>
        <v>-3526.9709543568629</v>
      </c>
      <c r="Q48" s="161"/>
      <c r="R48" s="161"/>
      <c r="S48" s="161"/>
    </row>
    <row r="49" spans="1:19" ht="17.25" customHeight="1" thickBot="1">
      <c r="A49" s="109" t="s">
        <v>141</v>
      </c>
      <c r="B49" s="113">
        <v>3.58</v>
      </c>
      <c r="C49" s="73">
        <v>1.1299435E-2</v>
      </c>
      <c r="D49" s="96">
        <v>3.51</v>
      </c>
      <c r="E49" s="97">
        <f>IF(ISNUMBER(D49), (D49 - $B49) / $B49, "")</f>
        <v>-1.9553072625698404E-2</v>
      </c>
      <c r="F49" s="98">
        <f>IF(ISNUMBER(D49), $B64 * E49, "")</f>
        <v>-2932.9608938547608</v>
      </c>
      <c r="G49" s="99">
        <v>3.5</v>
      </c>
      <c r="H49" s="97">
        <f>IF(ISNUMBER(G49), (G49 - $B49) / $B49, "")</f>
        <v>-2.2346368715083817E-2</v>
      </c>
      <c r="I49" s="100">
        <f>IF(ISNUMBER(G49), $B64 * H49, "")</f>
        <v>-3351.9553072625727</v>
      </c>
      <c r="J49" s="96">
        <v>3.5</v>
      </c>
      <c r="K49" s="97">
        <f>IF(ISNUMBER(J49), (J49 - $B49) / $B49, "")</f>
        <v>-2.2346368715083817E-2</v>
      </c>
      <c r="L49" s="98">
        <f>IF(ISNUMBER(J49), $B64 * K49, "")</f>
        <v>-3351.9553072625727</v>
      </c>
      <c r="M49" s="99">
        <v>3.5</v>
      </c>
      <c r="N49" s="97">
        <f>IF(ISNUMBER(M49), (M49 - $B49) / $B49, "")</f>
        <v>-2.2346368715083817E-2</v>
      </c>
      <c r="O49" s="98">
        <f>IF(ISNUMBER(M49), $B64 * N49, "")</f>
        <v>-3351.9553072625727</v>
      </c>
      <c r="Q49" s="161"/>
      <c r="R49" s="161"/>
      <c r="S49" s="161"/>
    </row>
    <row r="50" spans="1:19" ht="17.25" customHeight="1" thickBot="1">
      <c r="A50" s="109" t="s">
        <v>338</v>
      </c>
      <c r="B50" s="110">
        <v>5.16</v>
      </c>
      <c r="C50" s="70">
        <v>9.7847357999999995E-3</v>
      </c>
      <c r="D50" s="15">
        <v>5.13</v>
      </c>
      <c r="E50" s="32">
        <f t="shared" ref="E50:E53" si="18">IF(ISNUMBER(D50), (D50 - $B50) / $B50, "")</f>
        <v>-5.8139534883721406E-3</v>
      </c>
      <c r="F50" s="18">
        <f>IF(ISNUMBER(D50), $B64 * E50, "")</f>
        <v>-872.09302325582109</v>
      </c>
      <c r="G50" s="31">
        <v>5.1100000000000003</v>
      </c>
      <c r="H50" s="32">
        <f t="shared" ref="H50:H53" si="19">IF(ISNUMBER(G50), (G50 - $B50) / $B50, "")</f>
        <v>-9.6899224806201202E-3</v>
      </c>
      <c r="I50" s="91">
        <f>IF(ISNUMBER(G50), $B64 * H50, "")</f>
        <v>-1453.4883720930181</v>
      </c>
      <c r="J50" s="15">
        <v>5.09</v>
      </c>
      <c r="K50" s="32">
        <f t="shared" ref="K50:K53" si="20">IF(ISNUMBER(J50), (J50 - $B50) / $B50, "")</f>
        <v>-1.3565891472868272E-2</v>
      </c>
      <c r="L50" s="18">
        <f>IF(ISNUMBER(J50), $B64 * K50, "")</f>
        <v>-2034.8837209302408</v>
      </c>
      <c r="M50" s="31">
        <v>5.09</v>
      </c>
      <c r="N50" s="32">
        <f t="shared" ref="N50:N53" si="21">IF(ISNUMBER(M50), (M50 - $B50) / $B50, "")</f>
        <v>-1.3565891472868272E-2</v>
      </c>
      <c r="O50" s="18">
        <f>IF(ISNUMBER(M50), $B64 * N50, "")</f>
        <v>-2034.8837209302408</v>
      </c>
      <c r="Q50" s="161"/>
      <c r="R50" s="161"/>
      <c r="S50" s="161"/>
    </row>
    <row r="51" spans="1:19" ht="17.25" customHeight="1" thickBot="1">
      <c r="A51" s="109" t="s">
        <v>143</v>
      </c>
      <c r="B51" s="110">
        <v>4.16</v>
      </c>
      <c r="C51" s="70">
        <v>9.7087379000000001E-3</v>
      </c>
      <c r="D51" s="15">
        <v>4.13</v>
      </c>
      <c r="E51" s="32">
        <f t="shared" si="18"/>
        <v>-7.2115384615385209E-3</v>
      </c>
      <c r="F51" s="18">
        <f>IF(ISNUMBER(D51), $B64 * E51, "")</f>
        <v>-1081.7307692307782</v>
      </c>
      <c r="G51" s="31">
        <v>4.1399999999999997</v>
      </c>
      <c r="H51" s="32">
        <f t="shared" si="19"/>
        <v>-4.807692307692419E-3</v>
      </c>
      <c r="I51" s="91">
        <f>IF(ISNUMBER(G51), $B64 * H51, "")</f>
        <v>-721.1538461538629</v>
      </c>
      <c r="J51" s="15">
        <v>4.1399999999999997</v>
      </c>
      <c r="K51" s="32">
        <f t="shared" si="20"/>
        <v>-4.807692307692419E-3</v>
      </c>
      <c r="L51" s="18">
        <f>IF(ISNUMBER(J51), $B64 * K51, "")</f>
        <v>-721.1538461538629</v>
      </c>
      <c r="M51" s="31">
        <v>4.1399999999999997</v>
      </c>
      <c r="N51" s="32">
        <f t="shared" si="21"/>
        <v>-4.807692307692419E-3</v>
      </c>
      <c r="O51" s="18">
        <f>IF(ISNUMBER(M51), $B64 * N51, "")</f>
        <v>-721.1538461538629</v>
      </c>
      <c r="Q51" s="161"/>
      <c r="R51" s="161"/>
      <c r="S51" s="161"/>
    </row>
    <row r="52" spans="1:19" ht="17.25" customHeight="1" thickBot="1">
      <c r="A52" s="109" t="s">
        <v>71</v>
      </c>
      <c r="B52" s="110">
        <v>12.2</v>
      </c>
      <c r="C52" s="70">
        <v>8.2644628000000005E-3</v>
      </c>
      <c r="D52" s="15">
        <v>12</v>
      </c>
      <c r="E52" s="32">
        <f t="shared" si="18"/>
        <v>-1.6393442622950762E-2</v>
      </c>
      <c r="F52" s="18">
        <f>IF(ISNUMBER(D52), $B64 * E52, "")</f>
        <v>-2459.0163934426141</v>
      </c>
      <c r="G52" s="31">
        <v>12.2</v>
      </c>
      <c r="H52" s="32">
        <f t="shared" si="19"/>
        <v>0</v>
      </c>
      <c r="I52" s="91">
        <f>IF(ISNUMBER(G52), $B64 * H52, "")</f>
        <v>0</v>
      </c>
      <c r="J52" s="15">
        <v>12.2</v>
      </c>
      <c r="K52" s="32">
        <f t="shared" si="20"/>
        <v>0</v>
      </c>
      <c r="L52" s="18">
        <f>IF(ISNUMBER(J52), $B64 * K52, "")</f>
        <v>0</v>
      </c>
      <c r="M52" s="31">
        <v>12.1</v>
      </c>
      <c r="N52" s="32">
        <f t="shared" si="21"/>
        <v>-8.1967213114753808E-3</v>
      </c>
      <c r="O52" s="18">
        <f>IF(ISNUMBER(M52), $B64 * N52, "")</f>
        <v>-1229.5081967213071</v>
      </c>
      <c r="Q52" s="33"/>
      <c r="R52" s="33"/>
    </row>
    <row r="53" spans="1:19" ht="17.25" customHeight="1" thickBot="1">
      <c r="A53" s="114" t="s">
        <v>122</v>
      </c>
      <c r="B53" s="115">
        <v>26.2</v>
      </c>
      <c r="C53" s="72">
        <v>7.6923076999999996E-3</v>
      </c>
      <c r="D53" s="24">
        <v>26</v>
      </c>
      <c r="E53" s="25">
        <f t="shared" si="18"/>
        <v>-7.6335877862595148E-3</v>
      </c>
      <c r="F53" s="94">
        <f>IF(ISNUMBER(D53), $B64 * E53, "")</f>
        <v>-1145.0381679389272</v>
      </c>
      <c r="G53" s="92">
        <v>25.8</v>
      </c>
      <c r="H53" s="25">
        <f t="shared" si="19"/>
        <v>-1.526717557251903E-2</v>
      </c>
      <c r="I53" s="93">
        <f>IF(ISNUMBER(G53), $B64 * H53, "")</f>
        <v>-2290.0763358778545</v>
      </c>
      <c r="J53" s="24">
        <v>25.7</v>
      </c>
      <c r="K53" s="25">
        <f t="shared" si="20"/>
        <v>-1.9083969465648856E-2</v>
      </c>
      <c r="L53" s="94">
        <f>IF(ISNUMBER(J53), $B64 * K53, "")</f>
        <v>-2862.5954198473282</v>
      </c>
      <c r="M53" s="92">
        <v>25.8</v>
      </c>
      <c r="N53" s="25">
        <f t="shared" si="21"/>
        <v>-1.526717557251903E-2</v>
      </c>
      <c r="O53" s="94">
        <f>IF(ISNUMBER(M53), $B64 * N53, "")</f>
        <v>-2290.0763358778545</v>
      </c>
      <c r="Q53" s="170"/>
      <c r="R53" s="171"/>
      <c r="S53" s="172"/>
    </row>
    <row r="54" spans="1:19" ht="17.25" customHeight="1">
      <c r="A54" s="107" t="s">
        <v>56</v>
      </c>
      <c r="B54" s="108">
        <v>44.3</v>
      </c>
      <c r="C54" s="69">
        <v>2.2624434E-3</v>
      </c>
      <c r="D54" s="13">
        <v>44</v>
      </c>
      <c r="E54" s="14">
        <f>IF(ISNUMBER(D54), (D54 - $B54) / $B54, "")</f>
        <v>-6.772009029345309E-3</v>
      </c>
      <c r="F54" s="16">
        <f>IF(ISNUMBER(D54), $B64 * E54, "")</f>
        <v>-1015.8013544017964</v>
      </c>
      <c r="G54" s="29">
        <v>43.8</v>
      </c>
      <c r="H54" s="14">
        <f>IF(ISNUMBER(G54), (G54 - $B54) / $B54, "")</f>
        <v>-1.1286681715575621E-2</v>
      </c>
      <c r="I54" s="90">
        <f>IF(ISNUMBER(G54), $B64 * H54, "")</f>
        <v>-1693.0022573363431</v>
      </c>
      <c r="J54" s="13">
        <v>43.8</v>
      </c>
      <c r="K54" s="14">
        <f>IF(ISNUMBER(J54), (J54 - $B54) / $B54, "")</f>
        <v>-1.1286681715575621E-2</v>
      </c>
      <c r="L54" s="16">
        <f>IF(ISNUMBER(J54), $B64 * K54, "")</f>
        <v>-1693.0022573363431</v>
      </c>
      <c r="M54" s="29">
        <v>44</v>
      </c>
      <c r="N54" s="14">
        <f>IF(ISNUMBER(M54), (M54 - $B54) / $B54, "")</f>
        <v>-6.772009029345309E-3</v>
      </c>
      <c r="O54" s="16">
        <f>IF(ISNUMBER(M54), $B64 * N54, "")</f>
        <v>-1015.8013544017964</v>
      </c>
      <c r="Q54" s="173"/>
      <c r="R54" s="174"/>
      <c r="S54" s="175"/>
    </row>
    <row r="55" spans="1:19" ht="17.25" customHeight="1" thickBot="1">
      <c r="A55" s="109" t="s">
        <v>350</v>
      </c>
      <c r="B55" s="110">
        <v>8.6300000000000008</v>
      </c>
      <c r="C55" s="70">
        <v>0</v>
      </c>
      <c r="D55" s="15">
        <v>8.42</v>
      </c>
      <c r="E55" s="32">
        <f t="shared" ref="E55:E58" si="22">IF(ISNUMBER(D55), (D55 - $B55) / $B55, "")</f>
        <v>-2.4333719582850619E-2</v>
      </c>
      <c r="F55" s="18">
        <f>IF(ISNUMBER(D55), $B64 * E55, "")</f>
        <v>-3650.0579374275926</v>
      </c>
      <c r="G55" s="31">
        <v>8.5</v>
      </c>
      <c r="H55" s="32">
        <f t="shared" ref="H55:H58" si="23">IF(ISNUMBER(G55), (G55 - $B55) / $B55, "")</f>
        <v>-1.5063731170336126E-2</v>
      </c>
      <c r="I55" s="91">
        <f>IF(ISNUMBER(G55), $B64 * H55, "")</f>
        <v>-2259.5596755504189</v>
      </c>
      <c r="J55" s="15">
        <v>8.44</v>
      </c>
      <c r="K55" s="32">
        <f t="shared" ref="K55:K58" si="24">IF(ISNUMBER(J55), (J55 - $B55) / $B55, "")</f>
        <v>-2.2016222479722045E-2</v>
      </c>
      <c r="L55" s="18">
        <f>IF(ISNUMBER(J55), $B64 * K55, "")</f>
        <v>-3302.4333719583069</v>
      </c>
      <c r="M55" s="31">
        <v>8.48</v>
      </c>
      <c r="N55" s="32">
        <f t="shared" ref="N55:N58" si="25">IF(ISNUMBER(M55), (M55 - $B55) / $B55, "")</f>
        <v>-1.7381228273464697E-2</v>
      </c>
      <c r="O55" s="18">
        <f>IF(ISNUMBER(M55), $B64 * N55, "")</f>
        <v>-2607.1842410197046</v>
      </c>
      <c r="Q55" s="176"/>
      <c r="R55" s="177"/>
      <c r="S55" s="178"/>
    </row>
    <row r="56" spans="1:19" ht="17.25" customHeight="1" thickBot="1">
      <c r="A56" s="109" t="s">
        <v>97</v>
      </c>
      <c r="B56" s="110">
        <v>8.9999999999999998E-4</v>
      </c>
      <c r="C56" s="70">
        <v>0</v>
      </c>
      <c r="D56" s="15">
        <v>8.9999999999999998E-4</v>
      </c>
      <c r="E56" s="32">
        <f t="shared" si="22"/>
        <v>0</v>
      </c>
      <c r="F56" s="18">
        <f>IF(ISNUMBER(D56), $B64 * E56, "")</f>
        <v>0</v>
      </c>
      <c r="G56" s="31">
        <v>1E-3</v>
      </c>
      <c r="H56" s="32">
        <f t="shared" si="23"/>
        <v>0.11111111111111116</v>
      </c>
      <c r="I56" s="91">
        <f>IF(ISNUMBER(G56), $B64 * H56, "")</f>
        <v>16666.666666666675</v>
      </c>
      <c r="J56" s="15">
        <v>8.9999999999999998E-4</v>
      </c>
      <c r="K56" s="32">
        <f t="shared" si="24"/>
        <v>0</v>
      </c>
      <c r="L56" s="18">
        <f>IF(ISNUMBER(J56), $B64 * K56, "")</f>
        <v>0</v>
      </c>
      <c r="M56" s="31">
        <v>1E-3</v>
      </c>
      <c r="N56" s="32">
        <f t="shared" si="25"/>
        <v>0.11111111111111116</v>
      </c>
      <c r="O56" s="18">
        <f>IF(ISNUMBER(M56), $B64 * N56, "")</f>
        <v>16666.666666666675</v>
      </c>
      <c r="Q56" s="161"/>
      <c r="R56" s="161"/>
      <c r="S56" s="161"/>
    </row>
    <row r="57" spans="1:19" ht="17.25" customHeight="1" thickBot="1">
      <c r="A57" s="109" t="s">
        <v>193</v>
      </c>
      <c r="B57" s="110">
        <v>20.2</v>
      </c>
      <c r="C57" s="70">
        <v>0</v>
      </c>
      <c r="D57" s="15">
        <v>20</v>
      </c>
      <c r="E57" s="32">
        <f t="shared" si="22"/>
        <v>-9.9009900990098664E-3</v>
      </c>
      <c r="F57" s="18">
        <f>IF(ISNUMBER(D57), $B64 * E57, "")</f>
        <v>-1485.1485148514801</v>
      </c>
      <c r="G57" s="31">
        <v>20</v>
      </c>
      <c r="H57" s="32">
        <f t="shared" si="23"/>
        <v>-9.9009900990098664E-3</v>
      </c>
      <c r="I57" s="91">
        <f>IF(ISNUMBER(G57), $B64 * H57, "")</f>
        <v>-1485.1485148514801</v>
      </c>
      <c r="J57" s="15">
        <v>20</v>
      </c>
      <c r="K57" s="32">
        <f t="shared" si="24"/>
        <v>-9.9009900990098664E-3</v>
      </c>
      <c r="L57" s="18">
        <f>IF(ISNUMBER(J57), $B64 * K57, "")</f>
        <v>-1485.1485148514801</v>
      </c>
      <c r="M57" s="31">
        <v>20.100000000000001</v>
      </c>
      <c r="N57" s="32">
        <f t="shared" si="25"/>
        <v>-4.9504950495048447E-3</v>
      </c>
      <c r="O57" s="18">
        <f>IF(ISNUMBER(M57), $B64 * N57, "")</f>
        <v>-742.57425742572673</v>
      </c>
      <c r="Q57" s="156"/>
      <c r="R57" s="156"/>
      <c r="S57" s="156"/>
    </row>
    <row r="58" spans="1:19" ht="17.25" customHeight="1" thickBot="1">
      <c r="A58" s="111" t="s">
        <v>335</v>
      </c>
      <c r="B58" s="112">
        <v>3.9699999999999999E-2</v>
      </c>
      <c r="C58" s="71">
        <v>0</v>
      </c>
      <c r="D58" s="20">
        <v>3.95E-2</v>
      </c>
      <c r="E58" s="21">
        <f t="shared" si="22"/>
        <v>-5.037783375314831E-3</v>
      </c>
      <c r="F58" s="22">
        <f>IF(ISNUMBER(D58), $B64 * E58, "")</f>
        <v>-755.66750629722469</v>
      </c>
      <c r="G58" s="30">
        <v>3.9300000000000002E-2</v>
      </c>
      <c r="H58" s="21">
        <f t="shared" si="23"/>
        <v>-1.0075566750629662E-2</v>
      </c>
      <c r="I58" s="95">
        <f>IF(ISNUMBER(G58), $B64 * H58, "")</f>
        <v>-1511.3350125944494</v>
      </c>
      <c r="J58" s="20">
        <v>3.9199999999999999E-2</v>
      </c>
      <c r="K58" s="21">
        <f t="shared" si="24"/>
        <v>-1.2594458438287165E-2</v>
      </c>
      <c r="L58" s="22">
        <f>IF(ISNUMBER(J58), $B64 * K58, "")</f>
        <v>-1889.1687657430748</v>
      </c>
      <c r="M58" s="30">
        <v>3.9399999999999998E-2</v>
      </c>
      <c r="N58" s="21">
        <f t="shared" si="25"/>
        <v>-7.5566750629723336E-3</v>
      </c>
      <c r="O58" s="22">
        <f>IF(ISNUMBER(M58), $B64 * N58, "")</f>
        <v>-1133.5012594458501</v>
      </c>
      <c r="Q58" s="156"/>
      <c r="R58" s="156"/>
      <c r="S58" s="156"/>
    </row>
    <row r="59" spans="1:19" ht="17.25" customHeight="1" thickBot="1">
      <c r="A59" s="109" t="s">
        <v>326</v>
      </c>
      <c r="B59" s="113">
        <v>24.7</v>
      </c>
      <c r="C59" s="73">
        <v>0</v>
      </c>
      <c r="D59" s="96">
        <v>24.8</v>
      </c>
      <c r="E59" s="97">
        <f>IF(ISNUMBER(D59), (D59 - $B59) / $B59, "")</f>
        <v>4.0485829959514743E-3</v>
      </c>
      <c r="F59" s="98">
        <f>IF(ISNUMBER(D59), $B64 * E59, "")</f>
        <v>607.2874493927211</v>
      </c>
      <c r="G59" s="99">
        <v>24.7</v>
      </c>
      <c r="H59" s="97">
        <f>IF(ISNUMBER(G59), (G59 - $B59) / $B59, "")</f>
        <v>0</v>
      </c>
      <c r="I59" s="100">
        <f>IF(ISNUMBER(G59), $B64 * H59, "")</f>
        <v>0</v>
      </c>
      <c r="J59" s="96">
        <v>24.4</v>
      </c>
      <c r="K59" s="97">
        <f>IF(ISNUMBER(J59), (J59 - $B59) / $B59, "")</f>
        <v>-1.2145748987854281E-2</v>
      </c>
      <c r="L59" s="98">
        <f>IF(ISNUMBER(J59), $B64 * K59, "")</f>
        <v>-1821.8623481781422</v>
      </c>
      <c r="M59" s="99">
        <v>24.6</v>
      </c>
      <c r="N59" s="97">
        <f>IF(ISNUMBER(M59), (M59 - $B59) / $B59, "")</f>
        <v>-4.0485829959513312E-3</v>
      </c>
      <c r="O59" s="98">
        <f>IF(ISNUMBER(M59), $B64 * N59, "")</f>
        <v>-607.28744939269973</v>
      </c>
      <c r="Q59" s="161"/>
      <c r="R59" s="161"/>
      <c r="S59" s="161"/>
    </row>
    <row r="60" spans="1:19" ht="17.25" customHeight="1" thickBot="1">
      <c r="A60" s="109" t="s">
        <v>336</v>
      </c>
      <c r="B60" s="110">
        <v>86.8</v>
      </c>
      <c r="C60" s="70">
        <v>-1.150748E-3</v>
      </c>
      <c r="D60" s="15">
        <v>86.4</v>
      </c>
      <c r="E60" s="32">
        <f t="shared" ref="E60:E63" si="26">IF(ISNUMBER(D60), (D60 - $B60) / $B60, "")</f>
        <v>-4.608294930875478E-3</v>
      </c>
      <c r="F60" s="18">
        <f>IF(ISNUMBER(D60), $B64 * E60, "")</f>
        <v>-691.24423963132165</v>
      </c>
      <c r="G60" s="31">
        <v>86</v>
      </c>
      <c r="H60" s="32">
        <f t="shared" ref="H60:H63" si="27">IF(ISNUMBER(G60), (G60 - $B60) / $B60, "")</f>
        <v>-9.2165898617511191E-3</v>
      </c>
      <c r="I60" s="91">
        <f>IF(ISNUMBER(G60), $B64 * H60, "")</f>
        <v>-1382.4884792626679</v>
      </c>
      <c r="J60" s="15">
        <v>85.8</v>
      </c>
      <c r="K60" s="32">
        <f t="shared" ref="K60:K63" si="28">IF(ISNUMBER(J60), (J60 - $B60) / $B60, "")</f>
        <v>-1.1520737327188941E-2</v>
      </c>
      <c r="L60" s="18">
        <f>IF(ISNUMBER(J60), $B64 * K60, "")</f>
        <v>-1728.110599078341</v>
      </c>
      <c r="M60" s="31">
        <v>85.9</v>
      </c>
      <c r="N60" s="32">
        <f t="shared" ref="N60:N63" si="29">IF(ISNUMBER(M60), (M60 - $B60) / $B60, "")</f>
        <v>-1.0368663594469947E-2</v>
      </c>
      <c r="O60" s="18">
        <f>IF(ISNUMBER(M60), $B64 * N60, "")</f>
        <v>-1555.2995391704922</v>
      </c>
      <c r="Q60" s="161"/>
      <c r="R60" s="161"/>
      <c r="S60" s="161"/>
    </row>
    <row r="61" spans="1:19" ht="17.25" customHeight="1" thickBot="1">
      <c r="A61" s="109" t="s">
        <v>145</v>
      </c>
      <c r="B61" s="110">
        <v>72.8</v>
      </c>
      <c r="C61" s="70">
        <v>-2.7397260000000001E-3</v>
      </c>
      <c r="D61" s="15">
        <v>72.3</v>
      </c>
      <c r="E61" s="32">
        <f t="shared" si="26"/>
        <v>-6.868131868131868E-3</v>
      </c>
      <c r="F61" s="18">
        <f>IF(ISNUMBER(D61), $B64 * E61, "")</f>
        <v>-1030.2197802197802</v>
      </c>
      <c r="G61" s="31">
        <v>71.599999999999994</v>
      </c>
      <c r="H61" s="32">
        <f t="shared" si="27"/>
        <v>-1.6483516483516522E-2</v>
      </c>
      <c r="I61" s="91">
        <f>IF(ISNUMBER(G61), $B64 * H61, "")</f>
        <v>-2472.5274725274785</v>
      </c>
      <c r="J61" s="15">
        <v>71.5</v>
      </c>
      <c r="K61" s="32">
        <f t="shared" si="28"/>
        <v>-1.7857142857142818E-2</v>
      </c>
      <c r="L61" s="18">
        <f>IF(ISNUMBER(J61), $B64 * K61, "")</f>
        <v>-2678.5714285714225</v>
      </c>
      <c r="M61" s="31">
        <v>71.400000000000006</v>
      </c>
      <c r="N61" s="32">
        <f t="shared" si="29"/>
        <v>-1.9230769230769114E-2</v>
      </c>
      <c r="O61" s="18">
        <f>IF(ISNUMBER(M61), $B64 * N61, "")</f>
        <v>-2884.615384615367</v>
      </c>
      <c r="Q61" s="161"/>
      <c r="R61" s="161"/>
      <c r="S61" s="161"/>
    </row>
    <row r="62" spans="1:19" ht="17.25" customHeight="1">
      <c r="A62" s="109" t="s">
        <v>155</v>
      </c>
      <c r="B62" s="110">
        <v>31</v>
      </c>
      <c r="C62" s="70">
        <v>-3.2154341000000001E-3</v>
      </c>
      <c r="D62" s="15">
        <v>30.9</v>
      </c>
      <c r="E62" s="32">
        <f t="shared" si="26"/>
        <v>-3.2258064516129492E-3</v>
      </c>
      <c r="F62" s="18">
        <f>IF(ISNUMBER(D62), $B64 * E62, "")</f>
        <v>-483.87096774194237</v>
      </c>
      <c r="G62" s="31">
        <v>30.9</v>
      </c>
      <c r="H62" s="32">
        <f t="shared" si="27"/>
        <v>-3.2258064516129492E-3</v>
      </c>
      <c r="I62" s="91">
        <f>IF(ISNUMBER(G62), $B64 * H62, "")</f>
        <v>-483.87096774194237</v>
      </c>
      <c r="J62" s="15">
        <v>30.8</v>
      </c>
      <c r="K62" s="32">
        <f t="shared" si="28"/>
        <v>-6.4516129032257839E-3</v>
      </c>
      <c r="L62" s="18">
        <f>IF(ISNUMBER(J62), $B64 * K62, "")</f>
        <v>-967.74193548386756</v>
      </c>
      <c r="M62" s="31">
        <v>30.8</v>
      </c>
      <c r="N62" s="32">
        <f t="shared" si="29"/>
        <v>-6.4516129032257839E-3</v>
      </c>
      <c r="O62" s="18">
        <f>IF(ISNUMBER(M62), $B64 * N62, "")</f>
        <v>-967.74193548386756</v>
      </c>
      <c r="Q62" s="183"/>
      <c r="R62" s="184"/>
      <c r="S62" s="185"/>
    </row>
    <row r="63" spans="1:19" ht="17.25" customHeight="1" thickBot="1">
      <c r="A63" s="114" t="s">
        <v>126</v>
      </c>
      <c r="B63" s="115">
        <v>30.9</v>
      </c>
      <c r="C63" s="72">
        <v>-3.2258065000000001E-3</v>
      </c>
      <c r="D63" s="24">
        <v>30.7</v>
      </c>
      <c r="E63" s="25">
        <f t="shared" si="26"/>
        <v>-6.4724919093850902E-3</v>
      </c>
      <c r="F63" s="94">
        <f>IF(ISNUMBER(D63), $B64 * E63, "")</f>
        <v>-970.87378640776353</v>
      </c>
      <c r="G63" s="92">
        <v>30.6</v>
      </c>
      <c r="H63" s="25">
        <f t="shared" si="27"/>
        <v>-9.7087378640775789E-3</v>
      </c>
      <c r="I63" s="93">
        <f>IF(ISNUMBER(G63), $B64 * H63, "")</f>
        <v>-1456.3106796116367</v>
      </c>
      <c r="J63" s="24">
        <v>30.4</v>
      </c>
      <c r="K63" s="25">
        <f t="shared" si="28"/>
        <v>-1.6181229773462785E-2</v>
      </c>
      <c r="L63" s="94">
        <f>IF(ISNUMBER(J63), $B64 * K63, "")</f>
        <v>-2427.1844660194179</v>
      </c>
      <c r="M63" s="92">
        <v>30.6</v>
      </c>
      <c r="N63" s="25">
        <f t="shared" si="29"/>
        <v>-9.7087378640775789E-3</v>
      </c>
      <c r="O63" s="94">
        <f>IF(ISNUMBER(M63), $B64 * N63, "")</f>
        <v>-1456.3106796116367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-1.1441233896265283E-2</v>
      </c>
      <c r="F64" s="28">
        <f>SUM(F44:F63)</f>
        <v>-34323.701688795845</v>
      </c>
      <c r="G64" s="26" t="s">
        <v>261</v>
      </c>
      <c r="H64" s="27">
        <f>IF(COUNT(H44:H63), SUM(H44:H63) / COUNT(H44:H63), 0)</f>
        <v>-3.9008573149635259E-3</v>
      </c>
      <c r="I64" s="28">
        <f>SUM(I44:I63)</f>
        <v>-11702.571944890578</v>
      </c>
      <c r="J64" s="26" t="s">
        <v>261</v>
      </c>
      <c r="K64" s="27">
        <f>IF(COUNT(K44:K63), SUM(K44:K63) / COUNT(K44:K63), 0)</f>
        <v>-1.3834992065913798E-2</v>
      </c>
      <c r="L64" s="28">
        <f>SUM(L44:L63)</f>
        <v>-41504.976197741387</v>
      </c>
      <c r="M64" s="26" t="s">
        <v>261</v>
      </c>
      <c r="N64" s="27">
        <f>IF(COUNT(N44:N63), SUM(N44:N63) / COUNT(N44:N63), 0)</f>
        <v>-7.2981720620873599E-3</v>
      </c>
      <c r="O64" s="28">
        <f>SUM(O44:O63)</f>
        <v>-21894.516186262077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2022-12-04(일) 오전 00:00</v>
      </c>
      <c r="C69" s="199"/>
      <c r="D69" s="158" t="str">
        <f>TEXT($G$1, "[$-ko-KR]yyyy-mm-dd(ddd) ") &amp; "오후 14:00"</f>
        <v>2022-12-04(일) 오후 14:00</v>
      </c>
      <c r="E69" s="159"/>
      <c r="F69" s="160"/>
      <c r="G69" s="158" t="str">
        <f>TEXT($G$1, "[$-ko-KR]yyyy-mm-dd(ddd) ") &amp; "오후 19:00"</f>
        <v>2022-12-04(일) 오후 19:00</v>
      </c>
      <c r="H69" s="159"/>
      <c r="I69" s="160"/>
      <c r="J69" s="158" t="str">
        <f>TEXT($G$1, "[$-ko-KR]yyyy-mm-dd(ddd) ") &amp; "오후 21:00"</f>
        <v>2022-12-04(일) 오후 21:00</v>
      </c>
      <c r="K69" s="159"/>
      <c r="L69" s="160"/>
      <c r="M69" s="158" t="str">
        <f>TEXT($G$1+1, "[$-ko-KR]yyyy-mm-dd(ddd) ") &amp; "오전 00:00"</f>
        <v>2022-12-05(월)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218</v>
      </c>
      <c r="B71" s="108">
        <v>369</v>
      </c>
      <c r="C71" s="69">
        <v>4.5325778999999997E-2</v>
      </c>
      <c r="D71" s="13">
        <v>358</v>
      </c>
      <c r="E71" s="14">
        <f>IF(ISNUMBER(D71), (D71 - $B71) / $B71, "")</f>
        <v>-2.9810298102981029E-2</v>
      </c>
      <c r="F71" s="16">
        <f>IF(ISNUMBER(D71), $B91 * E71, "")</f>
        <v>-4471.544715447154</v>
      </c>
      <c r="G71" s="29">
        <v>359</v>
      </c>
      <c r="H71" s="14">
        <f>IF(ISNUMBER(G71), (G71 - $B71) / $B71, "")</f>
        <v>-2.7100271002710029E-2</v>
      </c>
      <c r="I71" s="90">
        <f>IF(ISNUMBER(G71), $B91 * H71, "")</f>
        <v>-4065.0406504065045</v>
      </c>
      <c r="J71" s="13">
        <v>359</v>
      </c>
      <c r="K71" s="14">
        <f>IF(ISNUMBER(J71), (J71 - $B71) / $B71, "")</f>
        <v>-2.7100271002710029E-2</v>
      </c>
      <c r="L71" s="16">
        <f>IF(ISNUMBER(J71), $B91 * K71, "")</f>
        <v>-4065.0406504065045</v>
      </c>
      <c r="M71" s="29">
        <v>358</v>
      </c>
      <c r="N71" s="14">
        <f>IF(ISNUMBER(M71), (M71 - $B71) / $B71, "")</f>
        <v>-2.9810298102981029E-2</v>
      </c>
      <c r="O71" s="16">
        <f>IF(ISNUMBER(M71), $B91 * N71, "")</f>
        <v>-4471.544715447154</v>
      </c>
      <c r="Q71" s="156"/>
      <c r="R71" s="156"/>
      <c r="S71" s="156"/>
    </row>
    <row r="72" spans="1:19" ht="17.25" thickBot="1">
      <c r="A72" s="109" t="s">
        <v>81</v>
      </c>
      <c r="B72" s="110">
        <v>438</v>
      </c>
      <c r="C72" s="70">
        <v>2.5761124100000001E-2</v>
      </c>
      <c r="D72" s="15">
        <v>433</v>
      </c>
      <c r="E72" s="32">
        <f t="shared" ref="E72:E75" si="30">IF(ISNUMBER(D72), (D72 - $B72) / $B72, "")</f>
        <v>-1.1415525114155251E-2</v>
      </c>
      <c r="F72" s="18">
        <f>IF(ISNUMBER(D72), $B91 * E72, "")</f>
        <v>-1712.3287671232877</v>
      </c>
      <c r="G72" s="31">
        <v>431</v>
      </c>
      <c r="H72" s="32">
        <f t="shared" ref="H72:H75" si="31">IF(ISNUMBER(G72), (G72 - $B72) / $B72, "")</f>
        <v>-1.5981735159817351E-2</v>
      </c>
      <c r="I72" s="91">
        <f>IF(ISNUMBER(G72), $B91 * H72, "")</f>
        <v>-2397.2602739726026</v>
      </c>
      <c r="J72" s="15">
        <v>430</v>
      </c>
      <c r="K72" s="32">
        <f t="shared" ref="K72:K75" si="32">IF(ISNUMBER(J72), (J72 - $B72) / $B72, "")</f>
        <v>-1.8264840182648401E-2</v>
      </c>
      <c r="L72" s="18">
        <f>IF(ISNUMBER(J72), $B91 * K72, "")</f>
        <v>-2739.7260273972602</v>
      </c>
      <c r="M72" s="31">
        <v>431</v>
      </c>
      <c r="N72" s="32">
        <f t="shared" ref="N72:N75" si="33">IF(ISNUMBER(M72), (M72 - $B72) / $B72, "")</f>
        <v>-1.5981735159817351E-2</v>
      </c>
      <c r="O72" s="18">
        <f>IF(ISNUMBER(M72), $B91 * N72, "")</f>
        <v>-2397.2602739726026</v>
      </c>
      <c r="Q72" s="156"/>
      <c r="R72" s="156"/>
      <c r="S72" s="156"/>
    </row>
    <row r="73" spans="1:19" ht="17.25" thickBot="1">
      <c r="A73" s="109" t="s">
        <v>161</v>
      </c>
      <c r="B73" s="110">
        <v>334</v>
      </c>
      <c r="C73" s="70">
        <v>1.2121212100000001E-2</v>
      </c>
      <c r="D73" s="15">
        <v>332</v>
      </c>
      <c r="E73" s="32">
        <f t="shared" si="30"/>
        <v>-5.9880239520958087E-3</v>
      </c>
      <c r="F73" s="18">
        <f>IF(ISNUMBER(D73), $B91 * E73, "")</f>
        <v>-898.20359281437129</v>
      </c>
      <c r="G73" s="31">
        <v>332</v>
      </c>
      <c r="H73" s="32">
        <f t="shared" si="31"/>
        <v>-5.9880239520958087E-3</v>
      </c>
      <c r="I73" s="91">
        <f>IF(ISNUMBER(G73), $B91 * H73, "")</f>
        <v>-898.20359281437129</v>
      </c>
      <c r="J73" s="15">
        <v>331</v>
      </c>
      <c r="K73" s="32">
        <f t="shared" si="32"/>
        <v>-8.9820359281437123E-3</v>
      </c>
      <c r="L73" s="18">
        <f>IF(ISNUMBER(J73), $B91 * K73, "")</f>
        <v>-1347.3053892215569</v>
      </c>
      <c r="M73" s="31">
        <v>334</v>
      </c>
      <c r="N73" s="32">
        <f t="shared" si="33"/>
        <v>0</v>
      </c>
      <c r="O73" s="18">
        <f>IF(ISNUMBER(M73), $B91 * N73, "")</f>
        <v>0</v>
      </c>
      <c r="Q73" s="161"/>
      <c r="R73" s="161"/>
      <c r="S73" s="161"/>
    </row>
    <row r="74" spans="1:19" ht="17.25" thickBot="1">
      <c r="A74" s="109" t="s">
        <v>346</v>
      </c>
      <c r="B74" s="110">
        <v>530</v>
      </c>
      <c r="C74" s="70">
        <v>9.5238094999999991E-3</v>
      </c>
      <c r="D74" s="15">
        <v>529</v>
      </c>
      <c r="E74" s="32">
        <f t="shared" si="30"/>
        <v>-1.8867924528301887E-3</v>
      </c>
      <c r="F74" s="18">
        <f>IF(ISNUMBER(D74), $B91 * E74, "")</f>
        <v>-283.01886792452831</v>
      </c>
      <c r="G74" s="31">
        <v>525</v>
      </c>
      <c r="H74" s="32">
        <f t="shared" si="31"/>
        <v>-9.433962264150943E-3</v>
      </c>
      <c r="I74" s="91">
        <f>IF(ISNUMBER(G74), $B91 * H74, "")</f>
        <v>-1415.0943396226414</v>
      </c>
      <c r="J74" s="15">
        <v>524</v>
      </c>
      <c r="K74" s="32">
        <f t="shared" si="32"/>
        <v>-1.1320754716981131E-2</v>
      </c>
      <c r="L74" s="18">
        <f>IF(ISNUMBER(J74), $B91 * K74, "")</f>
        <v>-1698.1132075471696</v>
      </c>
      <c r="M74" s="31">
        <v>524</v>
      </c>
      <c r="N74" s="32">
        <f t="shared" si="33"/>
        <v>-1.1320754716981131E-2</v>
      </c>
      <c r="O74" s="18">
        <f>IF(ISNUMBER(M74), $B91 * N74, "")</f>
        <v>-1698.1132075471696</v>
      </c>
      <c r="Q74" s="161"/>
      <c r="R74" s="161"/>
      <c r="S74" s="161"/>
    </row>
    <row r="75" spans="1:19" ht="17.25" thickBot="1">
      <c r="A75" s="111" t="s">
        <v>51</v>
      </c>
      <c r="B75" s="112">
        <v>119</v>
      </c>
      <c r="C75" s="71">
        <v>8.4745762999999998E-3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118</v>
      </c>
      <c r="H75" s="21">
        <f t="shared" si="31"/>
        <v>-8.4033613445378148E-3</v>
      </c>
      <c r="I75" s="95">
        <f>IF(ISNUMBER(G75), $B91 * H75, "")</f>
        <v>-1260.5042016806722</v>
      </c>
      <c r="J75" s="20">
        <v>117</v>
      </c>
      <c r="K75" s="21">
        <f t="shared" si="32"/>
        <v>-1.680672268907563E-2</v>
      </c>
      <c r="L75" s="22">
        <f>IF(ISNUMBER(J75), $B91 * K75, "")</f>
        <v>-2521.0084033613443</v>
      </c>
      <c r="M75" s="30">
        <v>117</v>
      </c>
      <c r="N75" s="21">
        <f t="shared" si="33"/>
        <v>-1.680672268907563E-2</v>
      </c>
      <c r="O75" s="22">
        <f>IF(ISNUMBER(M75), $B91 * N75, "")</f>
        <v>-2521.0084033613443</v>
      </c>
      <c r="Q75" s="161"/>
      <c r="R75" s="161"/>
      <c r="S75" s="161"/>
    </row>
    <row r="76" spans="1:19" ht="17.25" thickBot="1">
      <c r="A76" s="109" t="s">
        <v>120</v>
      </c>
      <c r="B76" s="113">
        <v>140</v>
      </c>
      <c r="C76" s="73">
        <v>7.1942446E-3</v>
      </c>
      <c r="D76" s="96">
        <v>138</v>
      </c>
      <c r="E76" s="97">
        <f>IF(ISNUMBER(D76), (D76 - $B76) / $B76, "")</f>
        <v>-1.4285714285714285E-2</v>
      </c>
      <c r="F76" s="98">
        <f>IF(ISNUMBER(D76), $B91 * E76, "")</f>
        <v>-2142.8571428571427</v>
      </c>
      <c r="G76" s="99">
        <v>138</v>
      </c>
      <c r="H76" s="97">
        <f>IF(ISNUMBER(G76), (G76 - $B76) / $B76, "")</f>
        <v>-1.4285714285714285E-2</v>
      </c>
      <c r="I76" s="100">
        <f>IF(ISNUMBER(G76), $B91 * H76, "")</f>
        <v>-2142.8571428571427</v>
      </c>
      <c r="J76" s="96">
        <v>137</v>
      </c>
      <c r="K76" s="97">
        <f>IF(ISNUMBER(J76), (J76 - $B76) / $B76, "")</f>
        <v>-2.1428571428571429E-2</v>
      </c>
      <c r="L76" s="98">
        <f>IF(ISNUMBER(J76), $B91 * K76, "")</f>
        <v>-3214.2857142857142</v>
      </c>
      <c r="M76" s="99">
        <v>137</v>
      </c>
      <c r="N76" s="97">
        <f>IF(ISNUMBER(M76), (M76 - $B76) / $B76, "")</f>
        <v>-2.1428571428571429E-2</v>
      </c>
      <c r="O76" s="98">
        <f>IF(ISNUMBER(M76), $B91 * N76, "")</f>
        <v>-3214.2857142857142</v>
      </c>
      <c r="Q76" s="161"/>
      <c r="R76" s="161"/>
      <c r="S76" s="161"/>
    </row>
    <row r="77" spans="1:19" ht="17.25" thickBot="1">
      <c r="A77" s="109" t="s">
        <v>66</v>
      </c>
      <c r="B77" s="110">
        <v>740</v>
      </c>
      <c r="C77" s="70">
        <v>5.4347826000000002E-3</v>
      </c>
      <c r="D77" s="15">
        <v>784</v>
      </c>
      <c r="E77" s="32">
        <f t="shared" ref="E77:E80" si="34">IF(ISNUMBER(D77), (D77 - $B77) / $B77, "")</f>
        <v>5.9459459459459463E-2</v>
      </c>
      <c r="F77" s="18">
        <f>IF(ISNUMBER(D77), $B91 * E77, "")</f>
        <v>8918.9189189189201</v>
      </c>
      <c r="G77" s="31">
        <v>792</v>
      </c>
      <c r="H77" s="32">
        <f t="shared" ref="H77:H80" si="35">IF(ISNUMBER(G77), (G77 - $B77) / $B77, "")</f>
        <v>7.0270270270270274E-2</v>
      </c>
      <c r="I77" s="91">
        <f>IF(ISNUMBER(G77), $B91 * H77, "")</f>
        <v>10540.540540540542</v>
      </c>
      <c r="J77" s="15">
        <v>795</v>
      </c>
      <c r="K77" s="32">
        <f t="shared" ref="K77:K80" si="36">IF(ISNUMBER(J77), (J77 - $B77) / $B77, "")</f>
        <v>7.4324324324324328E-2</v>
      </c>
      <c r="L77" s="18">
        <f>IF(ISNUMBER(J77), $B91 * K77, "")</f>
        <v>11148.64864864865</v>
      </c>
      <c r="M77" s="31">
        <v>786</v>
      </c>
      <c r="N77" s="32">
        <f t="shared" ref="N77:N80" si="37">IF(ISNUMBER(M77), (M77 - $B77) / $B77, "")</f>
        <v>6.2162162162162166E-2</v>
      </c>
      <c r="O77" s="18">
        <f>IF(ISNUMBER(M77), $B91 * N77, "")</f>
        <v>9324.3243243243251</v>
      </c>
      <c r="Q77" s="161"/>
      <c r="R77" s="161"/>
      <c r="S77" s="161"/>
    </row>
    <row r="78" spans="1:19" ht="17.25" thickBot="1">
      <c r="A78" s="109" t="s">
        <v>222</v>
      </c>
      <c r="B78" s="110">
        <v>488</v>
      </c>
      <c r="C78" s="70">
        <v>4.1152263000000001E-3</v>
      </c>
      <c r="D78" s="15">
        <v>485</v>
      </c>
      <c r="E78" s="32">
        <f t="shared" si="34"/>
        <v>-6.1475409836065573E-3</v>
      </c>
      <c r="F78" s="18">
        <f>IF(ISNUMBER(D78), $B91 * E78, "")</f>
        <v>-922.13114754098353</v>
      </c>
      <c r="G78" s="31">
        <v>486</v>
      </c>
      <c r="H78" s="32">
        <f t="shared" si="35"/>
        <v>-4.0983606557377051E-3</v>
      </c>
      <c r="I78" s="91">
        <f>IF(ISNUMBER(G78), $B91 * H78, "")</f>
        <v>-614.7540983606558</v>
      </c>
      <c r="J78" s="15">
        <v>482</v>
      </c>
      <c r="K78" s="32">
        <f t="shared" si="36"/>
        <v>-1.2295081967213115E-2</v>
      </c>
      <c r="L78" s="18">
        <f>IF(ISNUMBER(J78), $B91 * K78, "")</f>
        <v>-1844.2622950819671</v>
      </c>
      <c r="M78" s="31">
        <v>484</v>
      </c>
      <c r="N78" s="32">
        <f t="shared" si="37"/>
        <v>-8.1967213114754103E-3</v>
      </c>
      <c r="O78" s="18">
        <f>IF(ISNUMBER(M78), $B91 * N78, "")</f>
        <v>-1229.5081967213116</v>
      </c>
      <c r="Q78" s="161"/>
      <c r="R78" s="161"/>
      <c r="S78" s="161"/>
    </row>
    <row r="79" spans="1:19" ht="17.25" thickBot="1">
      <c r="A79" s="109" t="s">
        <v>103</v>
      </c>
      <c r="B79" s="110">
        <v>258</v>
      </c>
      <c r="C79" s="70">
        <v>3.8910505999999998E-3</v>
      </c>
      <c r="D79" s="15">
        <v>260</v>
      </c>
      <c r="E79" s="32">
        <f t="shared" si="34"/>
        <v>7.7519379844961239E-3</v>
      </c>
      <c r="F79" s="18">
        <f>IF(ISNUMBER(D79), $B91 * E79, "")</f>
        <v>1162.7906976744187</v>
      </c>
      <c r="G79" s="31">
        <v>262</v>
      </c>
      <c r="H79" s="32">
        <f t="shared" si="35"/>
        <v>1.5503875968992248E-2</v>
      </c>
      <c r="I79" s="91">
        <f>IF(ISNUMBER(G79), $B91 * H79, "")</f>
        <v>2325.5813953488373</v>
      </c>
      <c r="J79" s="15">
        <v>260</v>
      </c>
      <c r="K79" s="32">
        <f t="shared" si="36"/>
        <v>7.7519379844961239E-3</v>
      </c>
      <c r="L79" s="18">
        <f>IF(ISNUMBER(J79), $B91 * K79, "")</f>
        <v>1162.7906976744187</v>
      </c>
      <c r="M79" s="31">
        <v>262</v>
      </c>
      <c r="N79" s="32">
        <f t="shared" si="37"/>
        <v>1.5503875968992248E-2</v>
      </c>
      <c r="O79" s="18">
        <f>IF(ISNUMBER(M79), $B91 * N79, "")</f>
        <v>2325.5813953488373</v>
      </c>
      <c r="Q79" s="33"/>
      <c r="R79" s="33"/>
    </row>
    <row r="80" spans="1:19" ht="17.25" thickBot="1">
      <c r="A80" s="114" t="s">
        <v>89</v>
      </c>
      <c r="B80" s="115">
        <v>532</v>
      </c>
      <c r="C80" s="72">
        <v>3.7735848999999998E-3</v>
      </c>
      <c r="D80" s="24">
        <v>526</v>
      </c>
      <c r="E80" s="25">
        <f t="shared" si="34"/>
        <v>-1.1278195488721804E-2</v>
      </c>
      <c r="F80" s="94">
        <f>IF(ISNUMBER(D80), $B91 * E80, "")</f>
        <v>-1691.7293233082705</v>
      </c>
      <c r="G80" s="92">
        <v>525</v>
      </c>
      <c r="H80" s="25">
        <f t="shared" si="35"/>
        <v>-1.3157894736842105E-2</v>
      </c>
      <c r="I80" s="93">
        <f>IF(ISNUMBER(G80), $B91 * H80, "")</f>
        <v>-1973.6842105263156</v>
      </c>
      <c r="J80" s="24">
        <v>523</v>
      </c>
      <c r="K80" s="25">
        <f t="shared" si="36"/>
        <v>-1.6917293233082706E-2</v>
      </c>
      <c r="L80" s="94">
        <f>IF(ISNUMBER(J80), $B91 * K80, "")</f>
        <v>-2537.593984962406</v>
      </c>
      <c r="M80" s="92">
        <v>524</v>
      </c>
      <c r="N80" s="25">
        <f t="shared" si="37"/>
        <v>-1.5037593984962405E-2</v>
      </c>
      <c r="O80" s="94">
        <f>IF(ISNUMBER(M80), $B91 * N80, "")</f>
        <v>-2255.6390977443607</v>
      </c>
      <c r="Q80" s="170"/>
      <c r="R80" s="171"/>
      <c r="S80" s="172"/>
    </row>
    <row r="81" spans="1:19">
      <c r="A81" s="107" t="s">
        <v>169</v>
      </c>
      <c r="B81" s="108">
        <v>288</v>
      </c>
      <c r="C81" s="69">
        <v>3.4843206000000002E-3</v>
      </c>
      <c r="D81" s="13">
        <v>286</v>
      </c>
      <c r="E81" s="14">
        <f>IF(ISNUMBER(D81), (D81 - $B81) / $B81, "")</f>
        <v>-6.9444444444444441E-3</v>
      </c>
      <c r="F81" s="16">
        <f>IF(ISNUMBER(D81), $B91 * E81, "")</f>
        <v>-1041.6666666666665</v>
      </c>
      <c r="G81" s="29">
        <v>284</v>
      </c>
      <c r="H81" s="14">
        <f>IF(ISNUMBER(G81), (G81 - $B81) / $B81, "")</f>
        <v>-1.3888888888888888E-2</v>
      </c>
      <c r="I81" s="90">
        <f>IF(ISNUMBER(G81), $B91 * H81, "")</f>
        <v>-2083.333333333333</v>
      </c>
      <c r="J81" s="13">
        <v>283</v>
      </c>
      <c r="K81" s="14">
        <f>IF(ISNUMBER(J81), (J81 - $B81) / $B81, "")</f>
        <v>-1.7361111111111112E-2</v>
      </c>
      <c r="L81" s="16">
        <f>IF(ISNUMBER(J81), $B91 * K81, "")</f>
        <v>-2604.166666666667</v>
      </c>
      <c r="M81" s="29">
        <v>284</v>
      </c>
      <c r="N81" s="14">
        <f>IF(ISNUMBER(M81), (M81 - $B81) / $B81, "")</f>
        <v>-1.3888888888888888E-2</v>
      </c>
      <c r="O81" s="16">
        <f>IF(ISNUMBER(M81), $B91 * N81, "")</f>
        <v>-2083.333333333333</v>
      </c>
      <c r="Q81" s="173"/>
      <c r="R81" s="174"/>
      <c r="S81" s="175"/>
    </row>
    <row r="82" spans="1:19" ht="17.25" thickBot="1">
      <c r="A82" s="109" t="s">
        <v>226</v>
      </c>
      <c r="B82" s="110">
        <v>238</v>
      </c>
      <c r="C82" s="70">
        <v>0</v>
      </c>
      <c r="D82" s="15">
        <v>240</v>
      </c>
      <c r="E82" s="32">
        <f t="shared" ref="E82:E85" si="38">IF(ISNUMBER(D82), (D82 - $B82) / $B82, "")</f>
        <v>8.4033613445378148E-3</v>
      </c>
      <c r="F82" s="18">
        <f>IF(ISNUMBER(D82), $B91 * E82, "")</f>
        <v>1260.5042016806722</v>
      </c>
      <c r="G82" s="31">
        <v>238</v>
      </c>
      <c r="H82" s="32">
        <f t="shared" ref="H82:H85" si="39">IF(ISNUMBER(G82), (G82 - $B82) / $B82, "")</f>
        <v>0</v>
      </c>
      <c r="I82" s="91">
        <f>IF(ISNUMBER(G82), $B91 * H82, "")</f>
        <v>0</v>
      </c>
      <c r="J82" s="15">
        <v>237</v>
      </c>
      <c r="K82" s="32">
        <f t="shared" ref="K82:K85" si="40">IF(ISNUMBER(J82), (J82 - $B82) / $B82, "")</f>
        <v>-4.2016806722689074E-3</v>
      </c>
      <c r="L82" s="18">
        <f>IF(ISNUMBER(J82), $B91 * K82, "")</f>
        <v>-630.25210084033608</v>
      </c>
      <c r="M82" s="31">
        <v>238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176"/>
      <c r="R82" s="177"/>
      <c r="S82" s="178"/>
    </row>
    <row r="83" spans="1:19" ht="17.25" thickBot="1">
      <c r="A83" s="109" t="s">
        <v>244</v>
      </c>
      <c r="B83" s="110">
        <v>105</v>
      </c>
      <c r="C83" s="70">
        <v>0</v>
      </c>
      <c r="D83" s="15">
        <v>105</v>
      </c>
      <c r="E83" s="32">
        <f t="shared" si="38"/>
        <v>0</v>
      </c>
      <c r="F83" s="18">
        <f>IF(ISNUMBER(D83), $B91 * E83, "")</f>
        <v>0</v>
      </c>
      <c r="G83" s="31">
        <v>104</v>
      </c>
      <c r="H83" s="32">
        <f t="shared" si="39"/>
        <v>-9.5238095238095247E-3</v>
      </c>
      <c r="I83" s="91">
        <f>IF(ISNUMBER(G83), $B91 * H83, "")</f>
        <v>-1428.5714285714287</v>
      </c>
      <c r="J83" s="15">
        <v>103</v>
      </c>
      <c r="K83" s="32">
        <f t="shared" si="40"/>
        <v>-1.9047619047619049E-2</v>
      </c>
      <c r="L83" s="18">
        <f>IF(ISNUMBER(J83), $B91 * K83, "")</f>
        <v>-2857.1428571428573</v>
      </c>
      <c r="M83" s="31">
        <v>104</v>
      </c>
      <c r="N83" s="32">
        <f t="shared" si="41"/>
        <v>-9.5238095238095247E-3</v>
      </c>
      <c r="O83" s="18">
        <f>IF(ISNUMBER(M83), $B91 * N83, "")</f>
        <v>-1428.5714285714287</v>
      </c>
      <c r="Q83" s="161"/>
      <c r="R83" s="161"/>
      <c r="S83" s="161"/>
    </row>
    <row r="84" spans="1:19" ht="17.25" thickBot="1">
      <c r="A84" s="109" t="s">
        <v>157</v>
      </c>
      <c r="B84" s="110">
        <v>162</v>
      </c>
      <c r="C84" s="70">
        <v>0</v>
      </c>
      <c r="D84" s="15">
        <v>161</v>
      </c>
      <c r="E84" s="32">
        <f t="shared" si="38"/>
        <v>-6.1728395061728392E-3</v>
      </c>
      <c r="F84" s="18">
        <f>IF(ISNUMBER(D84), $B91 * E84, "")</f>
        <v>-925.92592592592587</v>
      </c>
      <c r="G84" s="31">
        <v>160</v>
      </c>
      <c r="H84" s="32">
        <f t="shared" si="39"/>
        <v>-1.2345679012345678E-2</v>
      </c>
      <c r="I84" s="91">
        <f>IF(ISNUMBER(G84), $B91 * H84, "")</f>
        <v>-1851.8518518518517</v>
      </c>
      <c r="J84" s="15">
        <v>161</v>
      </c>
      <c r="K84" s="32">
        <f t="shared" si="40"/>
        <v>-6.1728395061728392E-3</v>
      </c>
      <c r="L84" s="18">
        <f>IF(ISNUMBER(J84), $B91 * K84, "")</f>
        <v>-925.92592592592587</v>
      </c>
      <c r="M84" s="31">
        <v>161</v>
      </c>
      <c r="N84" s="32">
        <f t="shared" si="41"/>
        <v>-6.1728395061728392E-3</v>
      </c>
      <c r="O84" s="18">
        <f>IF(ISNUMBER(M84), $B91 * N84, "")</f>
        <v>-925.92592592592587</v>
      </c>
      <c r="Q84" s="156"/>
      <c r="R84" s="156"/>
      <c r="S84" s="156"/>
    </row>
    <row r="85" spans="1:19" ht="17.25" thickBot="1">
      <c r="A85" s="111" t="s">
        <v>183</v>
      </c>
      <c r="B85" s="112">
        <v>154</v>
      </c>
      <c r="C85" s="71">
        <v>0</v>
      </c>
      <c r="D85" s="20">
        <v>152</v>
      </c>
      <c r="E85" s="21">
        <f t="shared" si="38"/>
        <v>-1.2987012987012988E-2</v>
      </c>
      <c r="F85" s="22">
        <f>IF(ISNUMBER(D85), $B91 * E85, "")</f>
        <v>-1948.0519480519481</v>
      </c>
      <c r="G85" s="30">
        <v>151</v>
      </c>
      <c r="H85" s="21">
        <f t="shared" si="39"/>
        <v>-1.948051948051948E-2</v>
      </c>
      <c r="I85" s="95">
        <f>IF(ISNUMBER(G85), $B91 * H85, "")</f>
        <v>-2922.0779220779218</v>
      </c>
      <c r="J85" s="20">
        <v>152</v>
      </c>
      <c r="K85" s="21">
        <f t="shared" si="40"/>
        <v>-1.2987012987012988E-2</v>
      </c>
      <c r="L85" s="22">
        <f>IF(ISNUMBER(J85), $B91 * K85, "")</f>
        <v>-1948.0519480519481</v>
      </c>
      <c r="M85" s="30">
        <v>152</v>
      </c>
      <c r="N85" s="21">
        <f t="shared" si="41"/>
        <v>-1.2987012987012988E-2</v>
      </c>
      <c r="O85" s="22">
        <f>IF(ISNUMBER(M85), $B91 * N85, "")</f>
        <v>-1948.0519480519481</v>
      </c>
      <c r="Q85" s="156"/>
      <c r="R85" s="156"/>
      <c r="S85" s="156"/>
    </row>
    <row r="86" spans="1:19" ht="17.25" thickBot="1">
      <c r="A86" s="109" t="s">
        <v>202</v>
      </c>
      <c r="B86" s="113">
        <v>366</v>
      </c>
      <c r="C86" s="73">
        <v>0</v>
      </c>
      <c r="D86" s="96">
        <v>365</v>
      </c>
      <c r="E86" s="97">
        <f>IF(ISNUMBER(D86), (D86 - $B86) / $B86, "")</f>
        <v>-2.7322404371584699E-3</v>
      </c>
      <c r="F86" s="98">
        <f>IF(ISNUMBER(D86), $B91 * E86, "")</f>
        <v>-409.8360655737705</v>
      </c>
      <c r="G86" s="99">
        <v>363</v>
      </c>
      <c r="H86" s="97">
        <f>IF(ISNUMBER(G86), (G86 - $B86) / $B86, "")</f>
        <v>-8.1967213114754103E-3</v>
      </c>
      <c r="I86" s="100">
        <f>IF(ISNUMBER(G86), $B91 * H86, "")</f>
        <v>-1229.5081967213116</v>
      </c>
      <c r="J86" s="96">
        <v>364</v>
      </c>
      <c r="K86" s="97">
        <f>IF(ISNUMBER(J86), (J86 - $B86) / $B86, "")</f>
        <v>-5.4644808743169399E-3</v>
      </c>
      <c r="L86" s="98">
        <f>IF(ISNUMBER(J86), $B91 * K86, "")</f>
        <v>-819.67213114754099</v>
      </c>
      <c r="M86" s="99">
        <v>364</v>
      </c>
      <c r="N86" s="97">
        <f>IF(ISNUMBER(M86), (M86 - $B86) / $B86, "")</f>
        <v>-5.4644808743169399E-3</v>
      </c>
      <c r="O86" s="98">
        <f>IF(ISNUMBER(M86), $B91 * N86, "")</f>
        <v>-819.67213114754099</v>
      </c>
      <c r="Q86" s="161"/>
      <c r="R86" s="161"/>
      <c r="S86" s="161"/>
    </row>
    <row r="87" spans="1:19" ht="17.25" thickBot="1">
      <c r="A87" s="109" t="s">
        <v>159</v>
      </c>
      <c r="B87" s="110">
        <v>210</v>
      </c>
      <c r="C87" s="70">
        <v>0</v>
      </c>
      <c r="D87" s="15">
        <v>209</v>
      </c>
      <c r="E87" s="32">
        <f t="shared" ref="E87:E90" si="42">IF(ISNUMBER(D87), (D87 - $B87) / $B87, "")</f>
        <v>-4.7619047619047623E-3</v>
      </c>
      <c r="F87" s="18">
        <f>IF(ISNUMBER(D87), $B91 * E87, "")</f>
        <v>-714.28571428571433</v>
      </c>
      <c r="G87" s="31">
        <v>209</v>
      </c>
      <c r="H87" s="32">
        <f t="shared" ref="H87:H90" si="43">IF(ISNUMBER(G87), (G87 - $B87) / $B87, "")</f>
        <v>-4.7619047619047623E-3</v>
      </c>
      <c r="I87" s="91">
        <f>IF(ISNUMBER(G87), $B91 * H87, "")</f>
        <v>-714.28571428571433</v>
      </c>
      <c r="J87" s="15">
        <v>208</v>
      </c>
      <c r="K87" s="32">
        <f t="shared" ref="K87:K90" si="44">IF(ISNUMBER(J87), (J87 - $B87) / $B87, "")</f>
        <v>-9.5238095238095247E-3</v>
      </c>
      <c r="L87" s="18">
        <f>IF(ISNUMBER(J87), $B91 * K87, "")</f>
        <v>-1428.5714285714287</v>
      </c>
      <c r="M87" s="31">
        <v>208</v>
      </c>
      <c r="N87" s="32">
        <f t="shared" ref="N87:N90" si="45">IF(ISNUMBER(M87), (M87 - $B87) / $B87, "")</f>
        <v>-9.5238095238095247E-3</v>
      </c>
      <c r="O87" s="18">
        <f>IF(ISNUMBER(M87), $B91 * N87, "")</f>
        <v>-1428.5714285714287</v>
      </c>
      <c r="Q87" s="161"/>
      <c r="R87" s="161"/>
      <c r="S87" s="161"/>
    </row>
    <row r="88" spans="1:19" ht="17.25" thickBot="1">
      <c r="A88" s="109" t="s">
        <v>337</v>
      </c>
      <c r="B88" s="110">
        <v>342</v>
      </c>
      <c r="C88" s="70">
        <v>0</v>
      </c>
      <c r="D88" s="15">
        <v>337</v>
      </c>
      <c r="E88" s="32">
        <f t="shared" si="42"/>
        <v>-1.4619883040935672E-2</v>
      </c>
      <c r="F88" s="18">
        <f>IF(ISNUMBER(D88), $B91 * E88, "")</f>
        <v>-2192.9824561403507</v>
      </c>
      <c r="G88" s="31">
        <v>331</v>
      </c>
      <c r="H88" s="32">
        <f t="shared" si="43"/>
        <v>-3.2163742690058478E-2</v>
      </c>
      <c r="I88" s="91">
        <f>IF(ISNUMBER(G88), $B91 * H88, "")</f>
        <v>-4824.5614035087719</v>
      </c>
      <c r="J88" s="15">
        <v>331</v>
      </c>
      <c r="K88" s="32">
        <f t="shared" si="44"/>
        <v>-3.2163742690058478E-2</v>
      </c>
      <c r="L88" s="18">
        <f>IF(ISNUMBER(J88), $B91 * K88, "")</f>
        <v>-4824.5614035087719</v>
      </c>
      <c r="M88" s="31">
        <v>333</v>
      </c>
      <c r="N88" s="32">
        <f t="shared" si="45"/>
        <v>-2.6315789473684209E-2</v>
      </c>
      <c r="O88" s="18">
        <f>IF(ISNUMBER(M88), $B91 * N88, "")</f>
        <v>-3947.3684210526312</v>
      </c>
      <c r="Q88" s="161"/>
      <c r="R88" s="161"/>
      <c r="S88" s="161"/>
    </row>
    <row r="89" spans="1:19">
      <c r="A89" s="109" t="s">
        <v>208</v>
      </c>
      <c r="B89" s="110">
        <v>114</v>
      </c>
      <c r="C89" s="70">
        <v>0</v>
      </c>
      <c r="D89" s="15">
        <v>114</v>
      </c>
      <c r="E89" s="32">
        <f t="shared" si="42"/>
        <v>0</v>
      </c>
      <c r="F89" s="18">
        <f>IF(ISNUMBER(D89), $B91 * E89, "")</f>
        <v>0</v>
      </c>
      <c r="G89" s="31">
        <v>112</v>
      </c>
      <c r="H89" s="32">
        <f t="shared" si="43"/>
        <v>-1.7543859649122806E-2</v>
      </c>
      <c r="I89" s="91">
        <f>IF(ISNUMBER(G89), $B91 * H89, "")</f>
        <v>-2631.5789473684208</v>
      </c>
      <c r="J89" s="15">
        <v>113</v>
      </c>
      <c r="K89" s="32">
        <f t="shared" si="44"/>
        <v>-8.771929824561403E-3</v>
      </c>
      <c r="L89" s="18">
        <f>IF(ISNUMBER(J89), $B91 * K89, "")</f>
        <v>-1315.7894736842104</v>
      </c>
      <c r="M89" s="31">
        <v>113</v>
      </c>
      <c r="N89" s="32">
        <f t="shared" si="45"/>
        <v>-8.771929824561403E-3</v>
      </c>
      <c r="O89" s="18">
        <f>IF(ISNUMBER(M89), $B91 * N89, "")</f>
        <v>-1315.7894736842104</v>
      </c>
      <c r="Q89" s="183"/>
      <c r="R89" s="184"/>
      <c r="S89" s="185"/>
    </row>
    <row r="90" spans="1:19" ht="17.25" thickBot="1">
      <c r="A90" s="114" t="s">
        <v>256</v>
      </c>
      <c r="B90" s="115">
        <v>137</v>
      </c>
      <c r="C90" s="72">
        <v>0</v>
      </c>
      <c r="D90" s="24">
        <v>139</v>
      </c>
      <c r="E90" s="25">
        <f t="shared" si="42"/>
        <v>1.4598540145985401E-2</v>
      </c>
      <c r="F90" s="94">
        <f>IF(ISNUMBER(D90), $B91 * E90, "")</f>
        <v>2189.7810218978102</v>
      </c>
      <c r="G90" s="92">
        <v>140</v>
      </c>
      <c r="H90" s="25">
        <f t="shared" si="43"/>
        <v>2.1897810218978103E-2</v>
      </c>
      <c r="I90" s="93">
        <f>IF(ISNUMBER(G90), $B91 * H90, "")</f>
        <v>3284.6715328467153</v>
      </c>
      <c r="J90" s="24">
        <v>138</v>
      </c>
      <c r="K90" s="25">
        <f t="shared" si="44"/>
        <v>7.2992700729927005E-3</v>
      </c>
      <c r="L90" s="94">
        <f>IF(ISNUMBER(J90), $B91 * K90, "")</f>
        <v>1094.8905109489051</v>
      </c>
      <c r="M90" s="92">
        <v>139</v>
      </c>
      <c r="N90" s="25">
        <f t="shared" si="45"/>
        <v>1.4598540145985401E-2</v>
      </c>
      <c r="O90" s="94">
        <f>IF(ISNUMBER(M90), $B91 * N90, "")</f>
        <v>2189.7810218978102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-2.3610238983896555E-3</v>
      </c>
      <c r="F91" s="28">
        <f>SUM(F71:F90)</f>
        <v>-7083.0716951689665</v>
      </c>
      <c r="G91" s="26" t="s">
        <v>261</v>
      </c>
      <c r="H91" s="27">
        <f>IF(COUNT(H71:H90), SUM(H71:H90) / COUNT(H71:H90), 0)</f>
        <v>-5.434124613074522E-3</v>
      </c>
      <c r="I91" s="28">
        <f>SUM(I71:I90)</f>
        <v>-16302.373839223568</v>
      </c>
      <c r="J91" s="26" t="s">
        <v>261</v>
      </c>
      <c r="K91" s="27">
        <f>IF(COUNT(K71:K90), SUM(K71:K90) / COUNT(K71:K90), 0)</f>
        <v>-7.9717132501772123E-3</v>
      </c>
      <c r="L91" s="28">
        <f>SUM(L71:L90)</f>
        <v>-23915.139750531631</v>
      </c>
      <c r="M91" s="26" t="s">
        <v>261</v>
      </c>
      <c r="N91" s="27">
        <f>IF(COUNT(N71:N90), SUM(N71:N90) / COUNT(N71:N90), 0)</f>
        <v>-5.9483189859490448E-3</v>
      </c>
      <c r="O91" s="28">
        <f>SUM(O71:O90)</f>
        <v>-17844.956957847127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2022-12-04(일) 오전 00:00</v>
      </c>
      <c r="C96" s="199"/>
      <c r="D96" s="158" t="str">
        <f>TEXT($G$1, "[$-ko-KR]yyyy-mm-dd(ddd) ") &amp; "오후 14:00"</f>
        <v>2022-12-04(일) 오후 14:00</v>
      </c>
      <c r="E96" s="159"/>
      <c r="F96" s="160"/>
      <c r="G96" s="158" t="str">
        <f>TEXT($G$1, "[$-ko-KR]yyyy-mm-dd(ddd) ") &amp; "오후 19:00"</f>
        <v>2022-12-04(일) 오후 19:00</v>
      </c>
      <c r="H96" s="159"/>
      <c r="I96" s="160"/>
      <c r="J96" s="158" t="str">
        <f>TEXT($G$1, "[$-ko-KR]yyyy-mm-dd(ddd) ") &amp; "오후 21:00"</f>
        <v>2022-12-04(일) 오후 21:00</v>
      </c>
      <c r="K96" s="159"/>
      <c r="L96" s="160"/>
      <c r="M96" s="158" t="str">
        <f>TEXT($G$1+1, "[$-ko-KR]yyyy-mm-dd(ddd) ") &amp; "오전 00:00"</f>
        <v>2022-12-05(월)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347</v>
      </c>
      <c r="B98" s="108">
        <v>1145</v>
      </c>
      <c r="C98" s="69">
        <v>0.14499999999999999</v>
      </c>
      <c r="D98" s="13">
        <v>1390</v>
      </c>
      <c r="E98" s="14">
        <f>IF(ISNUMBER(D98), (D98 - $B98) / $B98, "")</f>
        <v>0.21397379912663755</v>
      </c>
      <c r="F98" s="16">
        <f>IF(ISNUMBER(D98), $B118 * E98, "")</f>
        <v>32096.069868995633</v>
      </c>
      <c r="G98" s="29">
        <v>1355</v>
      </c>
      <c r="H98" s="14">
        <f>IF(ISNUMBER(G98), (G98 - $B98) / $B98, "")</f>
        <v>0.18340611353711792</v>
      </c>
      <c r="I98" s="90">
        <f>IF(ISNUMBER(G98), $B118 * H98, "")</f>
        <v>27510.917030567689</v>
      </c>
      <c r="J98" s="13">
        <v>1405</v>
      </c>
      <c r="K98" s="14">
        <f>IF(ISNUMBER(J98), (J98 - $B98) / $B98, "")</f>
        <v>0.22707423580786026</v>
      </c>
      <c r="L98" s="16">
        <f>IF(ISNUMBER(J98), $B118 * K98, "")</f>
        <v>34061.135371179036</v>
      </c>
      <c r="M98" s="29">
        <v>1400</v>
      </c>
      <c r="N98" s="14">
        <f>IF(ISNUMBER(M98), (M98 - $B98) / $B98, "")</f>
        <v>0.22270742358078602</v>
      </c>
      <c r="O98" s="16">
        <f>IF(ISNUMBER(M98), $B118 * N98, "")</f>
        <v>33406.113537117904</v>
      </c>
      <c r="Q98" s="156"/>
      <c r="R98" s="156"/>
      <c r="S98" s="156"/>
    </row>
    <row r="99" spans="1:19" ht="17.25" thickBot="1">
      <c r="A99" s="109" t="s">
        <v>198</v>
      </c>
      <c r="B99" s="110">
        <v>9.2799999999999994</v>
      </c>
      <c r="C99" s="70">
        <v>8.4112149499999997E-2</v>
      </c>
      <c r="D99" s="15">
        <v>9.26</v>
      </c>
      <c r="E99" s="32">
        <f t="shared" ref="E99:E102" si="46">IF(ISNUMBER(D99), (D99 - $B99) / $B99, "")</f>
        <v>-2.1551724137930574E-3</v>
      </c>
      <c r="F99" s="18">
        <f>IF(ISNUMBER(D99), $B118 * E99, "")</f>
        <v>-323.27586206895865</v>
      </c>
      <c r="G99" s="31">
        <v>9.61</v>
      </c>
      <c r="H99" s="32">
        <f t="shared" ref="H99:H102" si="47">IF(ISNUMBER(G99), (G99 - $B99) / $B99, "")</f>
        <v>3.5560344827586216E-2</v>
      </c>
      <c r="I99" s="91">
        <f>IF(ISNUMBER(G99), $B118 * H99, "")</f>
        <v>5334.0517241379321</v>
      </c>
      <c r="J99" s="15">
        <v>9.4</v>
      </c>
      <c r="K99" s="32">
        <f t="shared" ref="K99:K102" si="48">IF(ISNUMBER(J99), (J99 - $B99) / $B99, "")</f>
        <v>1.2931034482758728E-2</v>
      </c>
      <c r="L99" s="18">
        <f>IF(ISNUMBER(J99), $B118 * K99, "")</f>
        <v>1939.6551724138092</v>
      </c>
      <c r="M99" s="31">
        <v>9.26</v>
      </c>
      <c r="N99" s="32">
        <f t="shared" ref="N99:N102" si="49">IF(ISNUMBER(M99), (M99 - $B99) / $B99, "")</f>
        <v>-2.1551724137930574E-3</v>
      </c>
      <c r="O99" s="18">
        <f>IF(ISNUMBER(M99), $B118 * N99, "")</f>
        <v>-323.27586206895865</v>
      </c>
      <c r="Q99" s="156"/>
      <c r="R99" s="156"/>
      <c r="S99" s="156"/>
    </row>
    <row r="100" spans="1:19" ht="17.25" thickBot="1">
      <c r="A100" s="109" t="s">
        <v>344</v>
      </c>
      <c r="B100" s="110">
        <v>6900</v>
      </c>
      <c r="C100" s="70">
        <v>5.2631578900000003E-2</v>
      </c>
      <c r="D100" s="15">
        <v>7205</v>
      </c>
      <c r="E100" s="32">
        <f t="shared" si="46"/>
        <v>4.4202898550724637E-2</v>
      </c>
      <c r="F100" s="18">
        <f>IF(ISNUMBER(D100), $B118 * E100, "")</f>
        <v>6630.434782608696</v>
      </c>
      <c r="G100" s="31">
        <v>7040</v>
      </c>
      <c r="H100" s="32">
        <f t="shared" si="47"/>
        <v>2.0289855072463767E-2</v>
      </c>
      <c r="I100" s="91">
        <f>IF(ISNUMBER(G100), $B118 * H100, "")</f>
        <v>3043.478260869565</v>
      </c>
      <c r="J100" s="15">
        <v>7000</v>
      </c>
      <c r="K100" s="32">
        <f t="shared" si="48"/>
        <v>1.4492753623188406E-2</v>
      </c>
      <c r="L100" s="18">
        <f>IF(ISNUMBER(J100), $B118 * K100, "")</f>
        <v>2173.913043478261</v>
      </c>
      <c r="M100" s="31">
        <v>6880</v>
      </c>
      <c r="N100" s="32">
        <f t="shared" si="49"/>
        <v>-2.8985507246376812E-3</v>
      </c>
      <c r="O100" s="18">
        <f>IF(ISNUMBER(M100), $B118 * N100, "")</f>
        <v>-434.78260869565219</v>
      </c>
      <c r="Q100" s="161"/>
      <c r="R100" s="161"/>
      <c r="S100" s="161"/>
    </row>
    <row r="101" spans="1:19" ht="17.25" thickBot="1">
      <c r="A101" s="109" t="s">
        <v>218</v>
      </c>
      <c r="B101" s="110">
        <v>369</v>
      </c>
      <c r="C101" s="70">
        <v>4.5325778999999997E-2</v>
      </c>
      <c r="D101" s="15">
        <v>358</v>
      </c>
      <c r="E101" s="32">
        <f t="shared" si="46"/>
        <v>-2.9810298102981029E-2</v>
      </c>
      <c r="F101" s="18">
        <f>IF(ISNUMBER(D101), $B118 * E101, "")</f>
        <v>-4471.544715447154</v>
      </c>
      <c r="G101" s="31">
        <v>359</v>
      </c>
      <c r="H101" s="32">
        <f t="shared" si="47"/>
        <v>-2.7100271002710029E-2</v>
      </c>
      <c r="I101" s="91">
        <f>IF(ISNUMBER(G101), $B118 * H101, "")</f>
        <v>-4065.0406504065045</v>
      </c>
      <c r="J101" s="15">
        <v>359</v>
      </c>
      <c r="K101" s="32">
        <f t="shared" si="48"/>
        <v>-2.7100271002710029E-2</v>
      </c>
      <c r="L101" s="18">
        <f>IF(ISNUMBER(J101), $B118 * K101, "")</f>
        <v>-4065.0406504065045</v>
      </c>
      <c r="M101" s="31">
        <v>358</v>
      </c>
      <c r="N101" s="32">
        <f t="shared" si="49"/>
        <v>-2.9810298102981029E-2</v>
      </c>
      <c r="O101" s="18">
        <f>IF(ISNUMBER(M101), $B118 * N101, "")</f>
        <v>-4471.544715447154</v>
      </c>
      <c r="Q101" s="161"/>
      <c r="R101" s="161"/>
      <c r="S101" s="161"/>
    </row>
    <row r="102" spans="1:19" ht="17.25" thickBot="1">
      <c r="A102" s="111" t="s">
        <v>81</v>
      </c>
      <c r="B102" s="112">
        <v>438</v>
      </c>
      <c r="C102" s="71">
        <v>2.5761124100000001E-2</v>
      </c>
      <c r="D102" s="20">
        <v>433</v>
      </c>
      <c r="E102" s="21">
        <f t="shared" si="46"/>
        <v>-1.1415525114155251E-2</v>
      </c>
      <c r="F102" s="22">
        <f>IF(ISNUMBER(D102), $B118 * E102, "")</f>
        <v>-1712.3287671232877</v>
      </c>
      <c r="G102" s="30">
        <v>431</v>
      </c>
      <c r="H102" s="21">
        <f t="shared" si="47"/>
        <v>-1.5981735159817351E-2</v>
      </c>
      <c r="I102" s="95">
        <f>IF(ISNUMBER(G102), $B118 * H102, "")</f>
        <v>-2397.2602739726026</v>
      </c>
      <c r="J102" s="20">
        <v>430</v>
      </c>
      <c r="K102" s="21">
        <f t="shared" si="48"/>
        <v>-1.8264840182648401E-2</v>
      </c>
      <c r="L102" s="22">
        <f>IF(ISNUMBER(J102), $B118 * K102, "")</f>
        <v>-2739.7260273972602</v>
      </c>
      <c r="M102" s="30">
        <v>431</v>
      </c>
      <c r="N102" s="21">
        <f t="shared" si="49"/>
        <v>-1.5981735159817351E-2</v>
      </c>
      <c r="O102" s="22">
        <f>IF(ISNUMBER(M102), $B118 * N102, "")</f>
        <v>-2397.2602739726026</v>
      </c>
      <c r="Q102" s="161"/>
      <c r="R102" s="161"/>
      <c r="S102" s="161"/>
    </row>
    <row r="103" spans="1:19" ht="17.25" thickBot="1">
      <c r="A103" s="109" t="s">
        <v>206</v>
      </c>
      <c r="B103" s="113">
        <v>3.66</v>
      </c>
      <c r="C103" s="73">
        <v>2.5210084000000001E-2</v>
      </c>
      <c r="D103" s="96">
        <v>3.57</v>
      </c>
      <c r="E103" s="97">
        <f>IF(ISNUMBER(D103), (D103 - $B103) / $B103, "")</f>
        <v>-2.4590163934426312E-2</v>
      </c>
      <c r="F103" s="98">
        <f>IF(ISNUMBER(D103), $B118 * E103, "")</f>
        <v>-3688.5245901639469</v>
      </c>
      <c r="G103" s="99">
        <v>3.6</v>
      </c>
      <c r="H103" s="97">
        <f>IF(ISNUMBER(G103), (G103 - $B103) / $B103, "")</f>
        <v>-1.6393442622950834E-2</v>
      </c>
      <c r="I103" s="100">
        <f>IF(ISNUMBER(G103), $B118 * H103, "")</f>
        <v>-2459.016393442625</v>
      </c>
      <c r="J103" s="96">
        <v>3.58</v>
      </c>
      <c r="K103" s="97">
        <f>IF(ISNUMBER(J103), (J103 - $B103) / $B103, "")</f>
        <v>-2.1857923497267777E-2</v>
      </c>
      <c r="L103" s="98">
        <f>IF(ISNUMBER(J103), $B118 * K103, "")</f>
        <v>-3278.6885245901667</v>
      </c>
      <c r="M103" s="99">
        <v>3.58</v>
      </c>
      <c r="N103" s="97">
        <f>IF(ISNUMBER(M103), (M103 - $B103) / $B103, "")</f>
        <v>-2.1857923497267777E-2</v>
      </c>
      <c r="O103" s="98">
        <f>IF(ISNUMBER(M103), $B118 * N103, "")</f>
        <v>-3278.6885245901667</v>
      </c>
      <c r="Q103" s="161"/>
      <c r="R103" s="161"/>
      <c r="S103" s="161"/>
    </row>
    <row r="104" spans="1:19" ht="17.25" thickBot="1">
      <c r="A104" s="109" t="s">
        <v>200</v>
      </c>
      <c r="B104" s="110">
        <v>7.26</v>
      </c>
      <c r="C104" s="70">
        <v>1.96629213E-2</v>
      </c>
      <c r="D104" s="15">
        <v>7.02</v>
      </c>
      <c r="E104" s="32">
        <f t="shared" ref="E104:E107" si="50">IF(ISNUMBER(D104), (D104 - $B104) / $B104, "")</f>
        <v>-3.305785123966945E-2</v>
      </c>
      <c r="F104" s="18">
        <f>IF(ISNUMBER(D104), $B118 * E104, "")</f>
        <v>-4958.6776859504171</v>
      </c>
      <c r="G104" s="31">
        <v>7.09</v>
      </c>
      <c r="H104" s="32">
        <f t="shared" ref="H104:H107" si="51">IF(ISNUMBER(G104), (G104 - $B104) / $B104, "")</f>
        <v>-2.3415977961432497E-2</v>
      </c>
      <c r="I104" s="91">
        <f>IF(ISNUMBER(G104), $B118 * H104, "")</f>
        <v>-3512.3966942148745</v>
      </c>
      <c r="J104" s="15">
        <v>7.04</v>
      </c>
      <c r="K104" s="32">
        <f t="shared" ref="K104:K107" si="52">IF(ISNUMBER(J104), (J104 - $B104) / $B104, "")</f>
        <v>-3.0303030303030269E-2</v>
      </c>
      <c r="L104" s="18">
        <f>IF(ISNUMBER(J104), $B118 * K104, "")</f>
        <v>-4545.4545454545405</v>
      </c>
      <c r="M104" s="31">
        <v>7.01</v>
      </c>
      <c r="N104" s="32">
        <f t="shared" ref="N104:N107" si="53">IF(ISNUMBER(M104), (M104 - $B104) / $B104, "")</f>
        <v>-3.4435261707988982E-2</v>
      </c>
      <c r="O104" s="18">
        <f>IF(ISNUMBER(M104), $B118 * N104, "")</f>
        <v>-5165.2892561983472</v>
      </c>
      <c r="Q104" s="161"/>
      <c r="R104" s="161"/>
      <c r="S104" s="161"/>
    </row>
    <row r="105" spans="1:19" ht="17.25" thickBot="1">
      <c r="A105" s="109" t="s">
        <v>195</v>
      </c>
      <c r="B105" s="110">
        <v>6.95</v>
      </c>
      <c r="C105" s="70">
        <v>1.75695461E-2</v>
      </c>
      <c r="D105" s="15">
        <v>6.8</v>
      </c>
      <c r="E105" s="32">
        <f t="shared" si="50"/>
        <v>-2.158273381294969E-2</v>
      </c>
      <c r="F105" s="18">
        <f>IF(ISNUMBER(D105), $B118 * E105, "")</f>
        <v>-3237.4100719424537</v>
      </c>
      <c r="G105" s="31">
        <v>6.81</v>
      </c>
      <c r="H105" s="32">
        <f t="shared" si="51"/>
        <v>-2.0143884892086412E-2</v>
      </c>
      <c r="I105" s="91">
        <f>IF(ISNUMBER(G105), $B118 * H105, "")</f>
        <v>-3021.582733812962</v>
      </c>
      <c r="J105" s="15">
        <v>6.77</v>
      </c>
      <c r="K105" s="32">
        <f t="shared" si="52"/>
        <v>-2.5899280575539654E-2</v>
      </c>
      <c r="L105" s="18">
        <f>IF(ISNUMBER(J105), $B118 * K105, "")</f>
        <v>-3884.8920863309481</v>
      </c>
      <c r="M105" s="31">
        <v>6.78</v>
      </c>
      <c r="N105" s="32">
        <f t="shared" si="53"/>
        <v>-2.4460431654676248E-2</v>
      </c>
      <c r="O105" s="18">
        <f>IF(ISNUMBER(M105), $B118 * N105, "")</f>
        <v>-3669.0647482014374</v>
      </c>
      <c r="Q105" s="161"/>
      <c r="R105" s="161"/>
      <c r="S105" s="161"/>
    </row>
    <row r="106" spans="1:19" ht="17.25" thickBot="1">
      <c r="A106" s="109" t="s">
        <v>118</v>
      </c>
      <c r="B106" s="110">
        <v>7.23</v>
      </c>
      <c r="C106" s="70">
        <v>1.6877637099999999E-2</v>
      </c>
      <c r="D106" s="15">
        <v>7.03</v>
      </c>
      <c r="E106" s="32">
        <f t="shared" si="50"/>
        <v>-2.7662517289073329E-2</v>
      </c>
      <c r="F106" s="18">
        <f>IF(ISNUMBER(D106), $B118 * E106, "")</f>
        <v>-4149.3775933609995</v>
      </c>
      <c r="G106" s="31">
        <v>7.03</v>
      </c>
      <c r="H106" s="32">
        <f t="shared" si="51"/>
        <v>-2.7662517289073329E-2</v>
      </c>
      <c r="I106" s="91">
        <f>IF(ISNUMBER(G106), $B118 * H106, "")</f>
        <v>-4149.3775933609995</v>
      </c>
      <c r="J106" s="15">
        <v>7</v>
      </c>
      <c r="K106" s="32">
        <f t="shared" si="52"/>
        <v>-3.1811894882434362E-2</v>
      </c>
      <c r="L106" s="18">
        <f>IF(ISNUMBER(J106), $B118 * K106, "")</f>
        <v>-4771.7842323651539</v>
      </c>
      <c r="M106" s="31">
        <v>7.06</v>
      </c>
      <c r="N106" s="32">
        <f t="shared" si="53"/>
        <v>-2.3513139695712421E-2</v>
      </c>
      <c r="O106" s="18">
        <f>IF(ISNUMBER(M106), $B118 * N106, "")</f>
        <v>-3526.9709543568629</v>
      </c>
      <c r="Q106" s="33"/>
      <c r="R106" s="33"/>
    </row>
    <row r="107" spans="1:19" ht="17.25" thickBot="1">
      <c r="A107" s="114" t="s">
        <v>214</v>
      </c>
      <c r="B107" s="115">
        <v>1170</v>
      </c>
      <c r="C107" s="72">
        <v>1.2987013E-2</v>
      </c>
      <c r="D107" s="24">
        <v>1155</v>
      </c>
      <c r="E107" s="25">
        <f t="shared" si="50"/>
        <v>-1.282051282051282E-2</v>
      </c>
      <c r="F107" s="94">
        <f>IF(ISNUMBER(D107), $B118 * E107, "")</f>
        <v>-1923.0769230769231</v>
      </c>
      <c r="G107" s="92">
        <v>1145</v>
      </c>
      <c r="H107" s="25">
        <f t="shared" si="51"/>
        <v>-2.1367521367521368E-2</v>
      </c>
      <c r="I107" s="93">
        <f>IF(ISNUMBER(G107), $B118 * H107, "")</f>
        <v>-3205.1282051282051</v>
      </c>
      <c r="J107" s="24">
        <v>1155</v>
      </c>
      <c r="K107" s="25">
        <f t="shared" si="52"/>
        <v>-1.282051282051282E-2</v>
      </c>
      <c r="L107" s="94">
        <f>IF(ISNUMBER(J107), $B118 * K107, "")</f>
        <v>-1923.0769230769231</v>
      </c>
      <c r="M107" s="92">
        <v>1145</v>
      </c>
      <c r="N107" s="25">
        <f t="shared" si="53"/>
        <v>-2.1367521367521368E-2</v>
      </c>
      <c r="O107" s="94">
        <f>IF(ISNUMBER(M107), $B118 * N107, "")</f>
        <v>-3205.1282051282051</v>
      </c>
      <c r="Q107" s="170"/>
      <c r="R107" s="171"/>
      <c r="S107" s="172"/>
    </row>
    <row r="108" spans="1:19">
      <c r="A108" s="107" t="s">
        <v>161</v>
      </c>
      <c r="B108" s="108">
        <v>334</v>
      </c>
      <c r="C108" s="69">
        <v>1.2121212100000001E-2</v>
      </c>
      <c r="D108" s="13">
        <v>332</v>
      </c>
      <c r="E108" s="14">
        <f>IF(ISNUMBER(D108), (D108 - $B108) / $B108, "")</f>
        <v>-5.9880239520958087E-3</v>
      </c>
      <c r="F108" s="16">
        <f>IF(ISNUMBER(D108), $B118 * E108, "")</f>
        <v>-898.20359281437129</v>
      </c>
      <c r="G108" s="29">
        <v>332</v>
      </c>
      <c r="H108" s="14">
        <f>IF(ISNUMBER(G108), (G108 - $B108) / $B108, "")</f>
        <v>-5.9880239520958087E-3</v>
      </c>
      <c r="I108" s="90">
        <f>IF(ISNUMBER(G108), $B118 * H108, "")</f>
        <v>-898.20359281437129</v>
      </c>
      <c r="J108" s="13">
        <v>331</v>
      </c>
      <c r="K108" s="14">
        <f>IF(ISNUMBER(J108), (J108 - $B108) / $B108, "")</f>
        <v>-8.9820359281437123E-3</v>
      </c>
      <c r="L108" s="16">
        <f>IF(ISNUMBER(J108), $B118 * K108, "")</f>
        <v>-1347.3053892215569</v>
      </c>
      <c r="M108" s="29">
        <v>334</v>
      </c>
      <c r="N108" s="14">
        <f>IF(ISNUMBER(M108), (M108 - $B108) / $B108, "")</f>
        <v>0</v>
      </c>
      <c r="O108" s="16">
        <f>IF(ISNUMBER(M108), $B118 * N108, "")</f>
        <v>0</v>
      </c>
      <c r="Q108" s="173"/>
      <c r="R108" s="174"/>
      <c r="S108" s="175"/>
    </row>
    <row r="109" spans="1:19" ht="17.25" thickBot="1">
      <c r="A109" s="109" t="s">
        <v>141</v>
      </c>
      <c r="B109" s="110">
        <v>3.58</v>
      </c>
      <c r="C109" s="70">
        <v>1.1299435E-2</v>
      </c>
      <c r="D109" s="15">
        <v>3.51</v>
      </c>
      <c r="E109" s="32">
        <f t="shared" ref="E109:E112" si="54">IF(ISNUMBER(D109), (D109 - $B109) / $B109, "")</f>
        <v>-1.9553072625698404E-2</v>
      </c>
      <c r="F109" s="18">
        <f>IF(ISNUMBER(D109), $B118 * E109, "")</f>
        <v>-2932.9608938547608</v>
      </c>
      <c r="G109" s="31">
        <v>3.5</v>
      </c>
      <c r="H109" s="32">
        <f t="shared" ref="H109:H112" si="55">IF(ISNUMBER(G109), (G109 - $B109) / $B109, "")</f>
        <v>-2.2346368715083817E-2</v>
      </c>
      <c r="I109" s="91">
        <f>IF(ISNUMBER(G109), $B118 * H109, "")</f>
        <v>-3351.9553072625727</v>
      </c>
      <c r="J109" s="15">
        <v>3.5</v>
      </c>
      <c r="K109" s="32">
        <f t="shared" ref="K109:K112" si="56">IF(ISNUMBER(J109), (J109 - $B109) / $B109, "")</f>
        <v>-2.2346368715083817E-2</v>
      </c>
      <c r="L109" s="18">
        <f>IF(ISNUMBER(J109), $B118 * K109, "")</f>
        <v>-3351.9553072625727</v>
      </c>
      <c r="M109" s="31">
        <v>3.5</v>
      </c>
      <c r="N109" s="32">
        <f t="shared" ref="N109:N112" si="57">IF(ISNUMBER(M109), (M109 - $B109) / $B109, "")</f>
        <v>-2.2346368715083817E-2</v>
      </c>
      <c r="O109" s="18">
        <f>IF(ISNUMBER(M109), $B118 * N109, "")</f>
        <v>-3351.9553072625727</v>
      </c>
      <c r="Q109" s="176"/>
      <c r="R109" s="177"/>
      <c r="S109" s="178"/>
    </row>
    <row r="110" spans="1:19" ht="17.25" thickBot="1">
      <c r="A110" s="109" t="s">
        <v>338</v>
      </c>
      <c r="B110" s="110">
        <v>5.16</v>
      </c>
      <c r="C110" s="70">
        <v>9.7847357999999995E-3</v>
      </c>
      <c r="D110" s="15">
        <v>5.13</v>
      </c>
      <c r="E110" s="32">
        <f t="shared" si="54"/>
        <v>-5.8139534883721406E-3</v>
      </c>
      <c r="F110" s="18">
        <f>IF(ISNUMBER(D110), $B118 * E110, "")</f>
        <v>-872.09302325582109</v>
      </c>
      <c r="G110" s="31">
        <v>5.1100000000000003</v>
      </c>
      <c r="H110" s="32">
        <f t="shared" si="55"/>
        <v>-9.6899224806201202E-3</v>
      </c>
      <c r="I110" s="91">
        <f>IF(ISNUMBER(G110), $B118 * H110, "")</f>
        <v>-1453.4883720930181</v>
      </c>
      <c r="J110" s="15">
        <v>5.09</v>
      </c>
      <c r="K110" s="32">
        <f t="shared" si="56"/>
        <v>-1.3565891472868272E-2</v>
      </c>
      <c r="L110" s="18">
        <f>IF(ISNUMBER(J110), $B118 * K110, "")</f>
        <v>-2034.8837209302408</v>
      </c>
      <c r="M110" s="31">
        <v>5.09</v>
      </c>
      <c r="N110" s="32">
        <f t="shared" si="57"/>
        <v>-1.3565891472868272E-2</v>
      </c>
      <c r="O110" s="18">
        <f>IF(ISNUMBER(M110), $B118 * N110, "")</f>
        <v>-2034.8837209302408</v>
      </c>
      <c r="Q110" s="161"/>
      <c r="R110" s="161"/>
      <c r="S110" s="161"/>
    </row>
    <row r="111" spans="1:19" ht="17.25" thickBot="1">
      <c r="A111" s="109" t="s">
        <v>143</v>
      </c>
      <c r="B111" s="110">
        <v>4.16</v>
      </c>
      <c r="C111" s="70">
        <v>9.7087379000000001E-3</v>
      </c>
      <c r="D111" s="15">
        <v>4.13</v>
      </c>
      <c r="E111" s="32">
        <f t="shared" si="54"/>
        <v>-7.2115384615385209E-3</v>
      </c>
      <c r="F111" s="18">
        <f>IF(ISNUMBER(D111), $B118 * E111, "")</f>
        <v>-1081.7307692307782</v>
      </c>
      <c r="G111" s="31">
        <v>4.1399999999999997</v>
      </c>
      <c r="H111" s="32">
        <f t="shared" si="55"/>
        <v>-4.807692307692419E-3</v>
      </c>
      <c r="I111" s="91">
        <f>IF(ISNUMBER(G111), $B118 * H111, "")</f>
        <v>-721.1538461538629</v>
      </c>
      <c r="J111" s="15">
        <v>4.1399999999999997</v>
      </c>
      <c r="K111" s="32">
        <f t="shared" si="56"/>
        <v>-4.807692307692419E-3</v>
      </c>
      <c r="L111" s="18">
        <f>IF(ISNUMBER(J111), $B118 * K111, "")</f>
        <v>-721.1538461538629</v>
      </c>
      <c r="M111" s="31">
        <v>4.1399999999999997</v>
      </c>
      <c r="N111" s="32">
        <f t="shared" si="57"/>
        <v>-4.807692307692419E-3</v>
      </c>
      <c r="O111" s="18">
        <f>IF(ISNUMBER(M111), $B118 * N111, "")</f>
        <v>-721.1538461538629</v>
      </c>
      <c r="Q111" s="156"/>
      <c r="R111" s="156"/>
      <c r="S111" s="156"/>
    </row>
    <row r="112" spans="1:19" ht="17.25" thickBot="1">
      <c r="A112" s="111" t="s">
        <v>346</v>
      </c>
      <c r="B112" s="112">
        <v>530</v>
      </c>
      <c r="C112" s="71">
        <v>9.5238094999999991E-3</v>
      </c>
      <c r="D112" s="20">
        <v>529</v>
      </c>
      <c r="E112" s="21">
        <f t="shared" si="54"/>
        <v>-1.8867924528301887E-3</v>
      </c>
      <c r="F112" s="22">
        <f>IF(ISNUMBER(D112), $B118 * E112, "")</f>
        <v>-283.01886792452831</v>
      </c>
      <c r="G112" s="30">
        <v>525</v>
      </c>
      <c r="H112" s="21">
        <f t="shared" si="55"/>
        <v>-9.433962264150943E-3</v>
      </c>
      <c r="I112" s="95">
        <f>IF(ISNUMBER(G112), $B118 * H112, "")</f>
        <v>-1415.0943396226414</v>
      </c>
      <c r="J112" s="20">
        <v>524</v>
      </c>
      <c r="K112" s="21">
        <f t="shared" si="56"/>
        <v>-1.1320754716981131E-2</v>
      </c>
      <c r="L112" s="22">
        <f>IF(ISNUMBER(J112), $B118 * K112, "")</f>
        <v>-1698.1132075471696</v>
      </c>
      <c r="M112" s="30">
        <v>524</v>
      </c>
      <c r="N112" s="21">
        <f t="shared" si="57"/>
        <v>-1.1320754716981131E-2</v>
      </c>
      <c r="O112" s="22">
        <f>IF(ISNUMBER(M112), $B118 * N112, "")</f>
        <v>-1698.1132075471696</v>
      </c>
      <c r="Q112" s="156"/>
      <c r="R112" s="156"/>
      <c r="S112" s="156"/>
    </row>
    <row r="113" spans="1:19" ht="17.25" thickBot="1">
      <c r="A113" s="109" t="s">
        <v>51</v>
      </c>
      <c r="B113" s="113">
        <v>119</v>
      </c>
      <c r="C113" s="73">
        <v>8.4745762999999998E-3</v>
      </c>
      <c r="D113" s="96">
        <v>118</v>
      </c>
      <c r="E113" s="97">
        <f>IF(ISNUMBER(D113), (D113 - $B113) / $B113, "")</f>
        <v>-8.4033613445378148E-3</v>
      </c>
      <c r="F113" s="98">
        <f>IF(ISNUMBER(D113), $B118 * E113, "")</f>
        <v>-1260.5042016806722</v>
      </c>
      <c r="G113" s="99">
        <v>118</v>
      </c>
      <c r="H113" s="97">
        <f>IF(ISNUMBER(G113), (G113 - $B113) / $B113, "")</f>
        <v>-8.4033613445378148E-3</v>
      </c>
      <c r="I113" s="100">
        <f>IF(ISNUMBER(G113), $B118 * H113, "")</f>
        <v>-1260.5042016806722</v>
      </c>
      <c r="J113" s="96">
        <v>117</v>
      </c>
      <c r="K113" s="97">
        <f>IF(ISNUMBER(J113), (J113 - $B113) / $B113, "")</f>
        <v>-1.680672268907563E-2</v>
      </c>
      <c r="L113" s="98">
        <f>IF(ISNUMBER(J113), $B118 * K113, "")</f>
        <v>-2521.0084033613443</v>
      </c>
      <c r="M113" s="99">
        <v>117</v>
      </c>
      <c r="N113" s="97">
        <f>IF(ISNUMBER(M113), (M113 - $B113) / $B113, "")</f>
        <v>-1.680672268907563E-2</v>
      </c>
      <c r="O113" s="98">
        <f>IF(ISNUMBER(M113), $B118 * N113, "")</f>
        <v>-2521.0084033613443</v>
      </c>
      <c r="Q113" s="161"/>
      <c r="R113" s="161"/>
      <c r="S113" s="161"/>
    </row>
    <row r="114" spans="1:19" ht="17.25" thickBot="1">
      <c r="A114" s="109" t="s">
        <v>71</v>
      </c>
      <c r="B114" s="110">
        <v>12.2</v>
      </c>
      <c r="C114" s="70">
        <v>8.2644628000000005E-3</v>
      </c>
      <c r="D114" s="15">
        <v>12</v>
      </c>
      <c r="E114" s="32">
        <f t="shared" ref="E114:E117" si="58">IF(ISNUMBER(D114), (D114 - $B114) / $B114, "")</f>
        <v>-1.6393442622950762E-2</v>
      </c>
      <c r="F114" s="18">
        <f>IF(ISNUMBER(D114), $B118 * E114, "")</f>
        <v>-2459.0163934426141</v>
      </c>
      <c r="G114" s="31">
        <v>12.2</v>
      </c>
      <c r="H114" s="32">
        <f t="shared" ref="H114:H117" si="59">IF(ISNUMBER(G114), (G114 - $B114) / $B114, "")</f>
        <v>0</v>
      </c>
      <c r="I114" s="91">
        <f>IF(ISNUMBER(G114), $B118 * H114, "")</f>
        <v>0</v>
      </c>
      <c r="J114" s="15">
        <v>12.2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12.1</v>
      </c>
      <c r="N114" s="32">
        <f t="shared" ref="N114:N117" si="61">IF(ISNUMBER(M114), (M114 - $B114) / $B114, "")</f>
        <v>-8.1967213114753808E-3</v>
      </c>
      <c r="O114" s="18">
        <f>IF(ISNUMBER(M114), $B118 * N114, "")</f>
        <v>-1229.5081967213071</v>
      </c>
      <c r="Q114" s="161"/>
      <c r="R114" s="161"/>
      <c r="S114" s="161"/>
    </row>
    <row r="115" spans="1:19" ht="17.25" thickBot="1">
      <c r="A115" s="109" t="s">
        <v>122</v>
      </c>
      <c r="B115" s="110">
        <v>26.2</v>
      </c>
      <c r="C115" s="70">
        <v>7.6923076999999996E-3</v>
      </c>
      <c r="D115" s="15">
        <v>26</v>
      </c>
      <c r="E115" s="32">
        <f t="shared" si="58"/>
        <v>-7.6335877862595148E-3</v>
      </c>
      <c r="F115" s="18">
        <f>IF(ISNUMBER(D115), $B118 * E115, "")</f>
        <v>-1145.0381679389272</v>
      </c>
      <c r="G115" s="31">
        <v>25.8</v>
      </c>
      <c r="H115" s="32">
        <f t="shared" si="59"/>
        <v>-1.526717557251903E-2</v>
      </c>
      <c r="I115" s="91">
        <f>IF(ISNUMBER(G115), $B118 * H115, "")</f>
        <v>-2290.0763358778545</v>
      </c>
      <c r="J115" s="15">
        <v>25.7</v>
      </c>
      <c r="K115" s="32">
        <f t="shared" si="60"/>
        <v>-1.9083969465648856E-2</v>
      </c>
      <c r="L115" s="18">
        <f>IF(ISNUMBER(J115), $B118 * K115, "")</f>
        <v>-2862.5954198473282</v>
      </c>
      <c r="M115" s="31">
        <v>25.8</v>
      </c>
      <c r="N115" s="32">
        <f t="shared" si="61"/>
        <v>-1.526717557251903E-2</v>
      </c>
      <c r="O115" s="18">
        <f>IF(ISNUMBER(M115), $B118 * N115, "")</f>
        <v>-2290.0763358778545</v>
      </c>
      <c r="Q115" s="161"/>
      <c r="R115" s="161"/>
      <c r="S115" s="161"/>
    </row>
    <row r="116" spans="1:19">
      <c r="A116" s="109" t="s">
        <v>120</v>
      </c>
      <c r="B116" s="110">
        <v>140</v>
      </c>
      <c r="C116" s="70">
        <v>7.1942446E-3</v>
      </c>
      <c r="D116" s="15">
        <v>138</v>
      </c>
      <c r="E116" s="32">
        <f t="shared" si="58"/>
        <v>-1.4285714285714285E-2</v>
      </c>
      <c r="F116" s="18">
        <f>IF(ISNUMBER(D116), $B118 * E116, "")</f>
        <v>-2142.8571428571427</v>
      </c>
      <c r="G116" s="31">
        <v>138</v>
      </c>
      <c r="H116" s="32">
        <f t="shared" si="59"/>
        <v>-1.4285714285714285E-2</v>
      </c>
      <c r="I116" s="91">
        <f>IF(ISNUMBER(G116), $B118 * H116, "")</f>
        <v>-2142.8571428571427</v>
      </c>
      <c r="J116" s="15">
        <v>137</v>
      </c>
      <c r="K116" s="32">
        <f t="shared" si="60"/>
        <v>-2.1428571428571429E-2</v>
      </c>
      <c r="L116" s="18">
        <f>IF(ISNUMBER(J116), $B118 * K116, "")</f>
        <v>-3214.2857142857142</v>
      </c>
      <c r="M116" s="31">
        <v>137</v>
      </c>
      <c r="N116" s="32">
        <f t="shared" si="61"/>
        <v>-2.1428571428571429E-2</v>
      </c>
      <c r="O116" s="18">
        <f>IF(ISNUMBER(M116), $B118 * N116, "")</f>
        <v>-3214.2857142857142</v>
      </c>
      <c r="Q116" s="183"/>
      <c r="R116" s="184"/>
      <c r="S116" s="185"/>
    </row>
    <row r="117" spans="1:19" ht="17.25" thickBot="1">
      <c r="A117" s="114" t="s">
        <v>66</v>
      </c>
      <c r="B117" s="115">
        <v>740</v>
      </c>
      <c r="C117" s="72">
        <v>5.4347826000000002E-3</v>
      </c>
      <c r="D117" s="24">
        <v>784</v>
      </c>
      <c r="E117" s="25">
        <f t="shared" si="58"/>
        <v>5.9459459459459463E-2</v>
      </c>
      <c r="F117" s="94">
        <f>IF(ISNUMBER(D117), $B118 * E117, "")</f>
        <v>8918.9189189189201</v>
      </c>
      <c r="G117" s="92">
        <v>792</v>
      </c>
      <c r="H117" s="25">
        <f t="shared" si="59"/>
        <v>7.0270270270270274E-2</v>
      </c>
      <c r="I117" s="93">
        <f>IF(ISNUMBER(G117), $B118 * H117, "")</f>
        <v>10540.540540540542</v>
      </c>
      <c r="J117" s="24">
        <v>795</v>
      </c>
      <c r="K117" s="25">
        <f t="shared" si="60"/>
        <v>7.4324324324324328E-2</v>
      </c>
      <c r="L117" s="94">
        <f>IF(ISNUMBER(J117), $B118 * K117, "")</f>
        <v>11148.64864864865</v>
      </c>
      <c r="M117" s="92">
        <v>786</v>
      </c>
      <c r="N117" s="25">
        <f t="shared" si="61"/>
        <v>6.2162162162162166E-2</v>
      </c>
      <c r="O117" s="94">
        <f>IF(ISNUMBER(M117), $B118 * N117, "")</f>
        <v>9324.3243243243251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3.3685947694631637E-3</v>
      </c>
      <c r="F118" s="28">
        <f>SUM(F98:F117)</f>
        <v>10105.784308389491</v>
      </c>
      <c r="G118" s="26" t="s">
        <v>261</v>
      </c>
      <c r="H118" s="27">
        <f>IF(COUNT(H98:H117), SUM(H98:H117) / COUNT(H98:H117), 0)</f>
        <v>3.3619506244716066E-3</v>
      </c>
      <c r="I118" s="28">
        <f>SUM(I98:I117)</f>
        <v>10085.851873414831</v>
      </c>
      <c r="J118" s="26" t="s">
        <v>261</v>
      </c>
      <c r="K118" s="27">
        <f>IF(COUNT(K98:K117), SUM(K98:K117) / COUNT(K98:K117), 0)</f>
        <v>2.1211294124961555E-3</v>
      </c>
      <c r="L118" s="28">
        <f>SUM(L98:L117)</f>
        <v>6363.3882374884743</v>
      </c>
      <c r="M118" s="26" t="s">
        <v>261</v>
      </c>
      <c r="N118" s="27">
        <f>IF(COUNT(N98:N117), SUM(N98:N117) / COUNT(N98:N117), 0)</f>
        <v>-2.6751733978574305E-4</v>
      </c>
      <c r="O118" s="28">
        <f>SUM(O98:O117)</f>
        <v>-802.55201935721743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2022-12-04(일) 오전 00:00</v>
      </c>
      <c r="C123" s="199"/>
      <c r="D123" s="158" t="str">
        <f>TEXT($G$1, "[$-ko-KR]yyyy-mm-dd(ddd) ") &amp; "오후 14:00"</f>
        <v>2022-12-04(일) 오후 14:00</v>
      </c>
      <c r="E123" s="159"/>
      <c r="F123" s="160"/>
      <c r="G123" s="158" t="str">
        <f>TEXT($G$1, "[$-ko-KR]yyyy-mm-dd(ddd) ") &amp; "오후 19:00"</f>
        <v>2022-12-04(일) 오후 19:00</v>
      </c>
      <c r="H123" s="159"/>
      <c r="I123" s="160"/>
      <c r="J123" s="158" t="str">
        <f>TEXT($G$1, "[$-ko-KR]yyyy-mm-dd(ddd) ") &amp; "오후 21:00"</f>
        <v>2022-12-04(일) 오후 21:00</v>
      </c>
      <c r="K123" s="159"/>
      <c r="L123" s="160"/>
      <c r="M123" s="158" t="str">
        <f>TEXT($G$1+1, "[$-ko-KR]yyyy-mm-dd(ddd) ") &amp; "오전 00:00"</f>
        <v>2022-12-05(월)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336</v>
      </c>
      <c r="B125" s="108">
        <v>86.8</v>
      </c>
      <c r="C125" s="69">
        <v>-1.150748E-3</v>
      </c>
      <c r="D125" s="13">
        <v>86.4</v>
      </c>
      <c r="E125" s="14">
        <f>IF(ISNUMBER(D125), (D125 - $B125) / $B125, "")</f>
        <v>-4.608294930875478E-3</v>
      </c>
      <c r="F125" s="16">
        <f>IF(ISNUMBER(D125), $B145 * E125, "")</f>
        <v>-691.24423963132165</v>
      </c>
      <c r="G125" s="29">
        <v>86</v>
      </c>
      <c r="H125" s="14">
        <f>IF(ISNUMBER(G125), (G125 - $B125) / $B125, "")</f>
        <v>-9.2165898617511191E-3</v>
      </c>
      <c r="I125" s="90">
        <f>IF(ISNUMBER(G125), $B145 * H125, "")</f>
        <v>-1382.4884792626679</v>
      </c>
      <c r="J125" s="13">
        <v>85.8</v>
      </c>
      <c r="K125" s="14">
        <f>IF(ISNUMBER(J125), (J125 - $B125) / $B125, "")</f>
        <v>-1.1520737327188941E-2</v>
      </c>
      <c r="L125" s="16">
        <f>IF(ISNUMBER(J125), $B145 * K125, "")</f>
        <v>-1728.110599078341</v>
      </c>
      <c r="M125" s="29">
        <v>85.9</v>
      </c>
      <c r="N125" s="14">
        <f>IF(ISNUMBER(M125), (M125 - $B125) / $B125, "")</f>
        <v>-1.0368663594469947E-2</v>
      </c>
      <c r="O125" s="16">
        <f>IF(ISNUMBER(M125), $B145 * N125, "")</f>
        <v>-1555.2995391704922</v>
      </c>
      <c r="Q125" s="156"/>
      <c r="R125" s="156"/>
      <c r="S125" s="156"/>
    </row>
    <row r="126" spans="1:19" ht="17.25" thickBot="1">
      <c r="A126" s="109" t="s">
        <v>145</v>
      </c>
      <c r="B126" s="110">
        <v>72.8</v>
      </c>
      <c r="C126" s="70">
        <v>-2.7397260000000001E-3</v>
      </c>
      <c r="D126" s="15">
        <v>72.3</v>
      </c>
      <c r="E126" s="32">
        <f t="shared" ref="E126:E129" si="62">IF(ISNUMBER(D126), (D126 - $B126) / $B126, "")</f>
        <v>-6.868131868131868E-3</v>
      </c>
      <c r="F126" s="18">
        <f>IF(ISNUMBER(D126), $B145 * E126, "")</f>
        <v>-1030.2197802197802</v>
      </c>
      <c r="G126" s="31">
        <v>71.599999999999994</v>
      </c>
      <c r="H126" s="32">
        <f t="shared" ref="H126:H129" si="63">IF(ISNUMBER(G126), (G126 - $B126) / $B126, "")</f>
        <v>-1.6483516483516522E-2</v>
      </c>
      <c r="I126" s="91">
        <f>IF(ISNUMBER(G126), $B145 * H126, "")</f>
        <v>-2472.5274725274785</v>
      </c>
      <c r="J126" s="15">
        <v>71.5</v>
      </c>
      <c r="K126" s="32">
        <f t="shared" ref="K126:K129" si="64">IF(ISNUMBER(J126), (J126 - $B126) / $B126, "")</f>
        <v>-1.7857142857142818E-2</v>
      </c>
      <c r="L126" s="18">
        <f>IF(ISNUMBER(J126), $B145 * K126, "")</f>
        <v>-2678.5714285714225</v>
      </c>
      <c r="M126" s="31">
        <v>71.400000000000006</v>
      </c>
      <c r="N126" s="32">
        <f t="shared" ref="N126:N129" si="65">IF(ISNUMBER(M126), (M126 - $B126) / $B126, "")</f>
        <v>-1.9230769230769114E-2</v>
      </c>
      <c r="O126" s="18">
        <f>IF(ISNUMBER(M126), $B145 * N126, "")</f>
        <v>-2884.615384615367</v>
      </c>
      <c r="Q126" s="156"/>
      <c r="R126" s="156"/>
      <c r="S126" s="156"/>
    </row>
    <row r="127" spans="1:19" ht="17.25" thickBot="1">
      <c r="A127" s="109" t="s">
        <v>155</v>
      </c>
      <c r="B127" s="110">
        <v>31</v>
      </c>
      <c r="C127" s="70">
        <v>-3.2154341000000001E-3</v>
      </c>
      <c r="D127" s="15">
        <v>30.9</v>
      </c>
      <c r="E127" s="32">
        <f t="shared" si="62"/>
        <v>-3.2258064516129492E-3</v>
      </c>
      <c r="F127" s="18">
        <f>IF(ISNUMBER(D127), $B145 * E127, "")</f>
        <v>-483.87096774194237</v>
      </c>
      <c r="G127" s="31">
        <v>30.9</v>
      </c>
      <c r="H127" s="32">
        <f t="shared" si="63"/>
        <v>-3.2258064516129492E-3</v>
      </c>
      <c r="I127" s="91">
        <f>IF(ISNUMBER(G127), $B145 * H127, "")</f>
        <v>-483.87096774194237</v>
      </c>
      <c r="J127" s="15">
        <v>30.8</v>
      </c>
      <c r="K127" s="32">
        <f t="shared" si="64"/>
        <v>-6.4516129032257839E-3</v>
      </c>
      <c r="L127" s="18">
        <f>IF(ISNUMBER(J127), $B145 * K127, "")</f>
        <v>-967.74193548386756</v>
      </c>
      <c r="M127" s="31">
        <v>30.8</v>
      </c>
      <c r="N127" s="32">
        <f t="shared" si="65"/>
        <v>-6.4516129032257839E-3</v>
      </c>
      <c r="O127" s="18">
        <f>IF(ISNUMBER(M127), $B145 * N127, "")</f>
        <v>-967.74193548386756</v>
      </c>
      <c r="Q127" s="161"/>
      <c r="R127" s="161"/>
      <c r="S127" s="161"/>
    </row>
    <row r="128" spans="1:19" ht="17.25" thickBot="1">
      <c r="A128" s="109" t="s">
        <v>126</v>
      </c>
      <c r="B128" s="110">
        <v>30.9</v>
      </c>
      <c r="C128" s="70">
        <v>-3.2258065000000001E-3</v>
      </c>
      <c r="D128" s="15">
        <v>30.7</v>
      </c>
      <c r="E128" s="32">
        <f t="shared" si="62"/>
        <v>-6.4724919093850902E-3</v>
      </c>
      <c r="F128" s="18">
        <f>IF(ISNUMBER(D128), $B145 * E128, "")</f>
        <v>-970.87378640776353</v>
      </c>
      <c r="G128" s="31">
        <v>30.6</v>
      </c>
      <c r="H128" s="32">
        <f t="shared" si="63"/>
        <v>-9.7087378640775789E-3</v>
      </c>
      <c r="I128" s="91">
        <f>IF(ISNUMBER(G128), $B145 * H128, "")</f>
        <v>-1456.3106796116367</v>
      </c>
      <c r="J128" s="15">
        <v>30.4</v>
      </c>
      <c r="K128" s="32">
        <f t="shared" si="64"/>
        <v>-1.6181229773462785E-2</v>
      </c>
      <c r="L128" s="18">
        <f>IF(ISNUMBER(J128), $B145 * K128, "")</f>
        <v>-2427.1844660194179</v>
      </c>
      <c r="M128" s="31">
        <v>30.6</v>
      </c>
      <c r="N128" s="32">
        <f t="shared" si="65"/>
        <v>-9.7087378640775789E-3</v>
      </c>
      <c r="O128" s="18">
        <f>IF(ISNUMBER(M128), $B145 * N128, "")</f>
        <v>-1456.3106796116367</v>
      </c>
      <c r="Q128" s="161"/>
      <c r="R128" s="161"/>
      <c r="S128" s="161"/>
    </row>
    <row r="129" spans="1:19" ht="17.25" thickBot="1">
      <c r="A129" s="111" t="s">
        <v>138</v>
      </c>
      <c r="B129" s="112">
        <v>29.4</v>
      </c>
      <c r="C129" s="71">
        <v>-3.3898305000000001E-3</v>
      </c>
      <c r="D129" s="20">
        <v>28.9</v>
      </c>
      <c r="E129" s="21">
        <f t="shared" si="62"/>
        <v>-1.7006802721088437E-2</v>
      </c>
      <c r="F129" s="22">
        <f>IF(ISNUMBER(D129), $B145 * E129, "")</f>
        <v>-2551.0204081632655</v>
      </c>
      <c r="G129" s="30">
        <v>29</v>
      </c>
      <c r="H129" s="21">
        <f t="shared" si="63"/>
        <v>-1.3605442176870701E-2</v>
      </c>
      <c r="I129" s="95">
        <f>IF(ISNUMBER(G129), $B145 * H129, "")</f>
        <v>-2040.8163265306052</v>
      </c>
      <c r="J129" s="20">
        <v>29</v>
      </c>
      <c r="K129" s="21">
        <f t="shared" si="64"/>
        <v>-1.3605442176870701E-2</v>
      </c>
      <c r="L129" s="22">
        <f>IF(ISNUMBER(J129), $B145 * K129, "")</f>
        <v>-2040.8163265306052</v>
      </c>
      <c r="M129" s="30">
        <v>28.8</v>
      </c>
      <c r="N129" s="21">
        <f t="shared" si="65"/>
        <v>-2.0408163265306051E-2</v>
      </c>
      <c r="O129" s="22">
        <f>IF(ISNUMBER(M129), $B145 * N129, "")</f>
        <v>-3061.2244897959076</v>
      </c>
      <c r="Q129" s="161"/>
      <c r="R129" s="161"/>
      <c r="S129" s="161"/>
    </row>
    <row r="130" spans="1:19" ht="17.25" thickBot="1">
      <c r="A130" s="109" t="s">
        <v>181</v>
      </c>
      <c r="B130" s="113">
        <v>4.5999999999999996</v>
      </c>
      <c r="C130" s="73">
        <v>-4.3290042999999997E-3</v>
      </c>
      <c r="D130" s="96">
        <v>4.53</v>
      </c>
      <c r="E130" s="97">
        <f>IF(ISNUMBER(D130), (D130 - $B130) / $B130, "")</f>
        <v>-1.5217391304347697E-2</v>
      </c>
      <c r="F130" s="98">
        <f>IF(ISNUMBER(D130), $B145 * E130, "")</f>
        <v>-2282.6086956521544</v>
      </c>
      <c r="G130" s="99">
        <v>4.54</v>
      </c>
      <c r="H130" s="97">
        <f>IF(ISNUMBER(G130), (G130 - $B130) / $B130, "")</f>
        <v>-1.3043478260869481E-2</v>
      </c>
      <c r="I130" s="100">
        <f>IF(ISNUMBER(G130), $B145 * H130, "")</f>
        <v>-1956.5217391304222</v>
      </c>
      <c r="J130" s="96">
        <v>4.5199999999999996</v>
      </c>
      <c r="K130" s="97">
        <f>IF(ISNUMBER(J130), (J130 - $B130) / $B130, "")</f>
        <v>-1.7391304347826105E-2</v>
      </c>
      <c r="L130" s="98">
        <f>IF(ISNUMBER(J130), $B145 * K130, "")</f>
        <v>-2608.6956521739157</v>
      </c>
      <c r="M130" s="99">
        <v>4.51</v>
      </c>
      <c r="N130" s="97">
        <f>IF(ISNUMBER(M130), (M130 - $B130) / $B130, "")</f>
        <v>-1.9565217391304318E-2</v>
      </c>
      <c r="O130" s="98">
        <f>IF(ISNUMBER(M130), $B145 * N130, "")</f>
        <v>-2934.7826086956479</v>
      </c>
      <c r="Q130" s="161"/>
      <c r="R130" s="161"/>
      <c r="S130" s="161"/>
    </row>
    <row r="131" spans="1:19" ht="17.25" thickBot="1">
      <c r="A131" s="109" t="s">
        <v>212</v>
      </c>
      <c r="B131" s="110">
        <v>89.1</v>
      </c>
      <c r="C131" s="70">
        <v>-4.4692737E-3</v>
      </c>
      <c r="D131" s="15">
        <v>88.9</v>
      </c>
      <c r="E131" s="32">
        <f t="shared" ref="E131:E134" si="66">IF(ISNUMBER(D131), (D131 - $B131) / $B131, "")</f>
        <v>-2.2446689113354507E-3</v>
      </c>
      <c r="F131" s="18">
        <f>IF(ISNUMBER(D131), $B145 * E131, "")</f>
        <v>-336.70033670031762</v>
      </c>
      <c r="G131" s="31">
        <v>88.4</v>
      </c>
      <c r="H131" s="32">
        <f t="shared" ref="H131:H134" si="67">IF(ISNUMBER(G131), (G131 - $B131) / $B131, "")</f>
        <v>-7.8563411896743953E-3</v>
      </c>
      <c r="I131" s="91">
        <f>IF(ISNUMBER(G131), $B145 * H131, "")</f>
        <v>-1178.4511784511592</v>
      </c>
      <c r="J131" s="15">
        <v>87.9</v>
      </c>
      <c r="K131" s="32">
        <f t="shared" ref="K131:K134" si="68">IF(ISNUMBER(J131), (J131 - $B131) / $B131, "")</f>
        <v>-1.3468013468013341E-2</v>
      </c>
      <c r="L131" s="18">
        <f>IF(ISNUMBER(J131), $B145 * K131, "")</f>
        <v>-2020.2020202020012</v>
      </c>
      <c r="M131" s="31">
        <v>87.9</v>
      </c>
      <c r="N131" s="32">
        <f t="shared" ref="N131:N134" si="69">IF(ISNUMBER(M131), (M131 - $B131) / $B131, "")</f>
        <v>-1.3468013468013341E-2</v>
      </c>
      <c r="O131" s="18">
        <f>IF(ISNUMBER(M131), $B145 * N131, "")</f>
        <v>-2020.2020202020012</v>
      </c>
      <c r="Q131" s="161"/>
      <c r="R131" s="161"/>
      <c r="S131" s="161"/>
    </row>
    <row r="132" spans="1:19" ht="17.25" thickBot="1">
      <c r="A132" s="109" t="s">
        <v>132</v>
      </c>
      <c r="B132" s="110">
        <v>61.6</v>
      </c>
      <c r="C132" s="70">
        <v>-6.4516128999999997E-3</v>
      </c>
      <c r="D132" s="15">
        <v>60.9</v>
      </c>
      <c r="E132" s="32">
        <f t="shared" si="66"/>
        <v>-1.1363636363636409E-2</v>
      </c>
      <c r="F132" s="18">
        <f>IF(ISNUMBER(D132), $B145 * E132, "")</f>
        <v>-1704.5454545454613</v>
      </c>
      <c r="G132" s="31">
        <v>60.9</v>
      </c>
      <c r="H132" s="32">
        <f t="shared" si="67"/>
        <v>-1.1363636363636409E-2</v>
      </c>
      <c r="I132" s="91">
        <f>IF(ISNUMBER(G132), $B145 * H132, "")</f>
        <v>-1704.5454545454613</v>
      </c>
      <c r="J132" s="15">
        <v>60.8</v>
      </c>
      <c r="K132" s="32">
        <f t="shared" si="68"/>
        <v>-1.2987012987013056E-2</v>
      </c>
      <c r="L132" s="18">
        <f>IF(ISNUMBER(J132), $B145 * K132, "")</f>
        <v>-1948.0519480519583</v>
      </c>
      <c r="M132" s="31">
        <v>60.7</v>
      </c>
      <c r="N132" s="32">
        <f t="shared" si="69"/>
        <v>-1.4610389610389588E-2</v>
      </c>
      <c r="O132" s="18">
        <f>IF(ISNUMBER(M132), $B145 * N132, "")</f>
        <v>-2191.5584415584381</v>
      </c>
      <c r="Q132" s="161"/>
      <c r="R132" s="161"/>
      <c r="S132" s="161"/>
    </row>
    <row r="133" spans="1:19" ht="17.25" thickBot="1">
      <c r="A133" s="109" t="s">
        <v>210</v>
      </c>
      <c r="B133" s="110">
        <v>66.8</v>
      </c>
      <c r="C133" s="70">
        <v>-7.4294204999999997E-3</v>
      </c>
      <c r="D133" s="15">
        <v>66.8</v>
      </c>
      <c r="E133" s="32">
        <f t="shared" si="66"/>
        <v>0</v>
      </c>
      <c r="F133" s="18">
        <f>IF(ISNUMBER(D133), $B145 * E133, "")</f>
        <v>0</v>
      </c>
      <c r="G133" s="31">
        <v>66.7</v>
      </c>
      <c r="H133" s="32">
        <f t="shared" si="67"/>
        <v>-1.497005988023867E-3</v>
      </c>
      <c r="I133" s="91">
        <f>IF(ISNUMBER(G133), $B145 * H133, "")</f>
        <v>-224.55089820358003</v>
      </c>
      <c r="J133" s="15">
        <v>66.599999999999994</v>
      </c>
      <c r="K133" s="32">
        <f t="shared" si="68"/>
        <v>-2.9940119760479469E-3</v>
      </c>
      <c r="L133" s="18">
        <f>IF(ISNUMBER(J133), $B145 * K133, "")</f>
        <v>-449.10179640719201</v>
      </c>
      <c r="M133" s="31">
        <v>66.8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64</v>
      </c>
      <c r="B134" s="115">
        <v>11.7</v>
      </c>
      <c r="C134" s="72">
        <v>-8.4745762999999998E-3</v>
      </c>
      <c r="D134" s="24">
        <v>11.6</v>
      </c>
      <c r="E134" s="25">
        <f t="shared" si="66"/>
        <v>-8.5470085470085166E-3</v>
      </c>
      <c r="F134" s="94">
        <f>IF(ISNUMBER(D134), $B145 * E134, "")</f>
        <v>-1282.0512820512774</v>
      </c>
      <c r="G134" s="92">
        <v>11.6</v>
      </c>
      <c r="H134" s="25">
        <f t="shared" si="67"/>
        <v>-8.5470085470085166E-3</v>
      </c>
      <c r="I134" s="93">
        <f>IF(ISNUMBER(G134), $B145 * H134, "")</f>
        <v>-1282.0512820512774</v>
      </c>
      <c r="J134" s="24">
        <v>11.5</v>
      </c>
      <c r="K134" s="25">
        <f t="shared" si="68"/>
        <v>-1.7094017094017033E-2</v>
      </c>
      <c r="L134" s="94">
        <f>IF(ISNUMBER(J134), $B145 * K134, "")</f>
        <v>-2564.1025641025549</v>
      </c>
      <c r="M134" s="92">
        <v>11.5</v>
      </c>
      <c r="N134" s="25">
        <f t="shared" si="69"/>
        <v>-1.7094017094017033E-2</v>
      </c>
      <c r="O134" s="94">
        <f>IF(ISNUMBER(M134), $B145 * N134, "")</f>
        <v>-2564.1025641025549</v>
      </c>
      <c r="Q134" s="170"/>
      <c r="R134" s="171"/>
      <c r="S134" s="172"/>
    </row>
    <row r="135" spans="1:19">
      <c r="A135" s="107" t="s">
        <v>191</v>
      </c>
      <c r="B135" s="108">
        <v>52.9</v>
      </c>
      <c r="C135" s="69">
        <v>-9.3632959000000005E-3</v>
      </c>
      <c r="D135" s="13">
        <v>52.9</v>
      </c>
      <c r="E135" s="14">
        <f>IF(ISNUMBER(D135), (D135 - $B135) / $B135, "")</f>
        <v>0</v>
      </c>
      <c r="F135" s="16">
        <f>IF(ISNUMBER(D135), $B145 * E135, "")</f>
        <v>0</v>
      </c>
      <c r="G135" s="29">
        <v>53</v>
      </c>
      <c r="H135" s="14">
        <f>IF(ISNUMBER(G135), (G135 - $B135) / $B135, "")</f>
        <v>1.8903591682419929E-3</v>
      </c>
      <c r="I135" s="90">
        <f>IF(ISNUMBER(G135), $B145 * H135, "")</f>
        <v>283.55387523629895</v>
      </c>
      <c r="J135" s="13">
        <v>52.8</v>
      </c>
      <c r="K135" s="14">
        <f>IF(ISNUMBER(J135), (J135 - $B135) / $B135, "")</f>
        <v>-1.8903591682419929E-3</v>
      </c>
      <c r="L135" s="16">
        <f>IF(ISNUMBER(J135), $B145 * K135, "")</f>
        <v>-283.55387523629895</v>
      </c>
      <c r="M135" s="29">
        <v>52.9</v>
      </c>
      <c r="N135" s="14">
        <f>IF(ISNUMBER(M135), (M135 - $B135) / $B135, "")</f>
        <v>0</v>
      </c>
      <c r="O135" s="16">
        <f>IF(ISNUMBER(M135), $B145 * N135, "")</f>
        <v>0</v>
      </c>
      <c r="Q135" s="173"/>
      <c r="R135" s="174"/>
      <c r="S135" s="175"/>
    </row>
    <row r="136" spans="1:19" ht="17.25" thickBot="1">
      <c r="A136" s="109" t="s">
        <v>240</v>
      </c>
      <c r="B136" s="110">
        <v>30</v>
      </c>
      <c r="C136" s="70">
        <v>-9.9009900999999997E-3</v>
      </c>
      <c r="D136" s="15">
        <v>30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30</v>
      </c>
      <c r="H136" s="32">
        <f t="shared" ref="H136:H139" si="71">IF(ISNUMBER(G136), (G136 - $B136) / $B136, "")</f>
        <v>0</v>
      </c>
      <c r="I136" s="91">
        <f>IF(ISNUMBER(G136), $B145 * H136, "")</f>
        <v>0</v>
      </c>
      <c r="J136" s="15">
        <v>29.8</v>
      </c>
      <c r="K136" s="32">
        <f t="shared" ref="K136:K139" si="72">IF(ISNUMBER(J136), (J136 - $B136) / $B136, "")</f>
        <v>-6.6666666666666428E-3</v>
      </c>
      <c r="L136" s="18">
        <f>IF(ISNUMBER(J136), $B145 * K136, "")</f>
        <v>-999.99999999999648</v>
      </c>
      <c r="M136" s="31">
        <v>29.7</v>
      </c>
      <c r="N136" s="32">
        <f t="shared" ref="N136:N139" si="73">IF(ISNUMBER(M136), (M136 - $B136) / $B136, "")</f>
        <v>-1.0000000000000024E-2</v>
      </c>
      <c r="O136" s="18">
        <f>IF(ISNUMBER(M136), $B145 * N136, "")</f>
        <v>-1500.0000000000036</v>
      </c>
      <c r="Q136" s="176"/>
      <c r="R136" s="177"/>
      <c r="S136" s="178"/>
    </row>
    <row r="137" spans="1:19" ht="17.25" thickBot="1">
      <c r="A137" s="109" t="s">
        <v>124</v>
      </c>
      <c r="B137" s="110">
        <v>34.299999999999997</v>
      </c>
      <c r="C137" s="70">
        <v>-1.15273775E-2</v>
      </c>
      <c r="D137" s="15">
        <v>34.1</v>
      </c>
      <c r="E137" s="32">
        <f t="shared" si="70"/>
        <v>-5.8309037900873394E-3</v>
      </c>
      <c r="F137" s="18">
        <f>IF(ISNUMBER(D137), $B145 * E137, "")</f>
        <v>-874.63556851310091</v>
      </c>
      <c r="G137" s="31">
        <v>34.299999999999997</v>
      </c>
      <c r="H137" s="32">
        <f t="shared" si="71"/>
        <v>0</v>
      </c>
      <c r="I137" s="91">
        <f>IF(ISNUMBER(G137), $B145 * H137, "")</f>
        <v>0</v>
      </c>
      <c r="J137" s="15">
        <v>34.200000000000003</v>
      </c>
      <c r="K137" s="32">
        <f t="shared" si="72"/>
        <v>-2.9154518950435665E-3</v>
      </c>
      <c r="L137" s="18">
        <f>IF(ISNUMBER(J137), $B145 * K137, "")</f>
        <v>-437.31778425653499</v>
      </c>
      <c r="M137" s="31">
        <v>34.299999999999997</v>
      </c>
      <c r="N137" s="32">
        <f t="shared" si="73"/>
        <v>0</v>
      </c>
      <c r="O137" s="18">
        <f>IF(ISNUMBER(M137), $B145 * N137, "")</f>
        <v>0</v>
      </c>
      <c r="Q137" s="161"/>
      <c r="R137" s="161"/>
      <c r="S137" s="161"/>
    </row>
    <row r="138" spans="1:19" ht="17.25" thickBot="1">
      <c r="A138" s="109" t="s">
        <v>230</v>
      </c>
      <c r="B138" s="110">
        <v>42.4</v>
      </c>
      <c r="C138" s="70">
        <v>-1.1655011700000001E-2</v>
      </c>
      <c r="D138" s="15">
        <v>42.3</v>
      </c>
      <c r="E138" s="32">
        <f t="shared" si="70"/>
        <v>-2.3584905660377696E-3</v>
      </c>
      <c r="F138" s="18">
        <f>IF(ISNUMBER(D138), $B145 * E138, "")</f>
        <v>-353.77358490566542</v>
      </c>
      <c r="G138" s="31">
        <v>42.2</v>
      </c>
      <c r="H138" s="32">
        <f t="shared" si="71"/>
        <v>-4.7169811320753709E-3</v>
      </c>
      <c r="I138" s="91">
        <f>IF(ISNUMBER(G138), $B145 * H138, "")</f>
        <v>-707.54716981130559</v>
      </c>
      <c r="J138" s="15">
        <v>42.3</v>
      </c>
      <c r="K138" s="32">
        <f t="shared" si="72"/>
        <v>-2.3584905660377696E-3</v>
      </c>
      <c r="L138" s="18">
        <f>IF(ISNUMBER(J138), $B145 * K138, "")</f>
        <v>-353.77358490566542</v>
      </c>
      <c r="M138" s="31">
        <v>42.2</v>
      </c>
      <c r="N138" s="32">
        <f t="shared" si="73"/>
        <v>-4.7169811320753709E-3</v>
      </c>
      <c r="O138" s="18">
        <f>IF(ISNUMBER(M138), $B145 * N138, "")</f>
        <v>-707.54716981130559</v>
      </c>
      <c r="Q138" s="156"/>
      <c r="R138" s="156"/>
      <c r="S138" s="156"/>
    </row>
    <row r="139" spans="1:19" ht="17.25" thickBot="1">
      <c r="A139" s="111" t="s">
        <v>185</v>
      </c>
      <c r="B139" s="112">
        <v>33.6</v>
      </c>
      <c r="C139" s="71">
        <v>-1.17647059E-2</v>
      </c>
      <c r="D139" s="20">
        <v>33.700000000000003</v>
      </c>
      <c r="E139" s="21">
        <f t="shared" si="70"/>
        <v>2.9761904761905185E-3</v>
      </c>
      <c r="F139" s="22">
        <f>IF(ISNUMBER(D139), $B145 * E139, "")</f>
        <v>446.42857142857775</v>
      </c>
      <c r="G139" s="30">
        <v>33.5</v>
      </c>
      <c r="H139" s="21">
        <f t="shared" si="71"/>
        <v>-2.9761904761905185E-3</v>
      </c>
      <c r="I139" s="95">
        <f>IF(ISNUMBER(G139), $B145 * H139, "")</f>
        <v>-446.42857142857775</v>
      </c>
      <c r="J139" s="20">
        <v>33.5</v>
      </c>
      <c r="K139" s="21">
        <f t="shared" si="72"/>
        <v>-2.9761904761905185E-3</v>
      </c>
      <c r="L139" s="22">
        <f>IF(ISNUMBER(J139), $B145 * K139, "")</f>
        <v>-446.42857142857775</v>
      </c>
      <c r="M139" s="30">
        <v>33.6</v>
      </c>
      <c r="N139" s="21">
        <f t="shared" si="73"/>
        <v>0</v>
      </c>
      <c r="O139" s="22">
        <f>IF(ISNUMBER(M139), $B145 * N139, "")</f>
        <v>0</v>
      </c>
      <c r="Q139" s="156"/>
      <c r="R139" s="156"/>
      <c r="S139" s="156"/>
    </row>
    <row r="140" spans="1:19" ht="17.25" thickBot="1">
      <c r="A140" s="109" t="s">
        <v>333</v>
      </c>
      <c r="B140" s="113">
        <v>64.7</v>
      </c>
      <c r="C140" s="73">
        <v>-1.22137405E-2</v>
      </c>
      <c r="D140" s="96">
        <v>64.5</v>
      </c>
      <c r="E140" s="97">
        <f>IF(ISNUMBER(D140), (D140 - $B140) / $B140, "")</f>
        <v>-3.0911901081916975E-3</v>
      </c>
      <c r="F140" s="98">
        <f>IF(ISNUMBER(D140), $B145 * E140, "")</f>
        <v>-463.67851622875463</v>
      </c>
      <c r="G140" s="99">
        <v>63.8</v>
      </c>
      <c r="H140" s="97">
        <f>IF(ISNUMBER(G140), (G140 - $B140) / $B140, "")</f>
        <v>-1.3910355486862529E-2</v>
      </c>
      <c r="I140" s="100">
        <f>IF(ISNUMBER(G140), $B145 * H140, "")</f>
        <v>-2086.5533230293795</v>
      </c>
      <c r="J140" s="96">
        <v>64</v>
      </c>
      <c r="K140" s="97">
        <f>IF(ISNUMBER(J140), (J140 - $B140) / $B140, "")</f>
        <v>-1.0819165378670831E-2</v>
      </c>
      <c r="L140" s="98">
        <f>IF(ISNUMBER(J140), $B145 * K140, "")</f>
        <v>-1622.8748068006246</v>
      </c>
      <c r="M140" s="99">
        <v>63.8</v>
      </c>
      <c r="N140" s="97">
        <f>IF(ISNUMBER(M140), (M140 - $B140) / $B140, "")</f>
        <v>-1.3910355486862529E-2</v>
      </c>
      <c r="O140" s="98">
        <f>IF(ISNUMBER(M140), $B145 * N140, "")</f>
        <v>-2086.5533230293795</v>
      </c>
      <c r="Q140" s="161"/>
      <c r="R140" s="161"/>
      <c r="S140" s="161"/>
    </row>
    <row r="141" spans="1:19" ht="17.25" thickBot="1">
      <c r="A141" s="109" t="s">
        <v>220</v>
      </c>
      <c r="B141" s="110">
        <v>80.2</v>
      </c>
      <c r="C141" s="70">
        <v>-1.59509202E-2</v>
      </c>
      <c r="D141" s="15">
        <v>80</v>
      </c>
      <c r="E141" s="32">
        <f t="shared" ref="E141:E144" si="74">IF(ISNUMBER(D141), (D141 - $B141) / $B141, "")</f>
        <v>-2.4937655860349482E-3</v>
      </c>
      <c r="F141" s="18">
        <f>IF(ISNUMBER(D141), $B145 * E141, "")</f>
        <v>-374.06483790524226</v>
      </c>
      <c r="G141" s="31">
        <v>79.8</v>
      </c>
      <c r="H141" s="32">
        <f t="shared" ref="H141:H144" si="75">IF(ISNUMBER(G141), (G141 - $B141) / $B141, "")</f>
        <v>-4.9875311720698964E-3</v>
      </c>
      <c r="I141" s="91">
        <f>IF(ISNUMBER(G141), $B145 * H141, "")</f>
        <v>-748.12967581048451</v>
      </c>
      <c r="J141" s="15">
        <v>79.599999999999994</v>
      </c>
      <c r="K141" s="32">
        <f t="shared" ref="K141:K144" si="76">IF(ISNUMBER(J141), (J141 - $B141) / $B141, "")</f>
        <v>-7.4812967581048438E-3</v>
      </c>
      <c r="L141" s="18">
        <f>IF(ISNUMBER(J141), $B145 * K141, "")</f>
        <v>-1122.1945137157265</v>
      </c>
      <c r="M141" s="31">
        <v>79.8</v>
      </c>
      <c r="N141" s="32">
        <f t="shared" ref="N141:N144" si="77">IF(ISNUMBER(M141), (M141 - $B141) / $B141, "")</f>
        <v>-4.9875311720698964E-3</v>
      </c>
      <c r="O141" s="18">
        <f>IF(ISNUMBER(M141), $B145 * N141, "")</f>
        <v>-748.12967581048451</v>
      </c>
      <c r="Q141" s="161"/>
      <c r="R141" s="161"/>
      <c r="S141" s="161"/>
    </row>
    <row r="142" spans="1:19" ht="17.25" thickBot="1">
      <c r="A142" s="109" t="s">
        <v>228</v>
      </c>
      <c r="B142" s="110">
        <v>67.099999999999994</v>
      </c>
      <c r="C142" s="70">
        <v>-1.6129032299999999E-2</v>
      </c>
      <c r="D142" s="15">
        <v>66.599999999999994</v>
      </c>
      <c r="E142" s="32">
        <f t="shared" si="74"/>
        <v>-7.4515648286140098E-3</v>
      </c>
      <c r="F142" s="18">
        <f>IF(ISNUMBER(D142), $B145 * E142, "")</f>
        <v>-1117.7347242921014</v>
      </c>
      <c r="G142" s="31">
        <v>66.599999999999994</v>
      </c>
      <c r="H142" s="32">
        <f t="shared" si="75"/>
        <v>-7.4515648286140098E-3</v>
      </c>
      <c r="I142" s="91">
        <f>IF(ISNUMBER(G142), $B145 * H142, "")</f>
        <v>-1117.7347242921014</v>
      </c>
      <c r="J142" s="15">
        <v>66.5</v>
      </c>
      <c r="K142" s="32">
        <f t="shared" si="76"/>
        <v>-8.9418777943367275E-3</v>
      </c>
      <c r="L142" s="18">
        <f>IF(ISNUMBER(J142), $B145 * K142, "")</f>
        <v>-1341.2816691505091</v>
      </c>
      <c r="M142" s="31">
        <v>66.3</v>
      </c>
      <c r="N142" s="32">
        <f t="shared" si="77"/>
        <v>-1.1922503725782373E-2</v>
      </c>
      <c r="O142" s="18">
        <f>IF(ISNUMBER(M142), $B145 * N142, "")</f>
        <v>-1788.3755588673559</v>
      </c>
      <c r="Q142" s="161"/>
      <c r="R142" s="161"/>
      <c r="S142" s="161"/>
    </row>
    <row r="143" spans="1:19">
      <c r="A143" s="109" t="s">
        <v>224</v>
      </c>
      <c r="B143" s="110">
        <v>22.2</v>
      </c>
      <c r="C143" s="70">
        <v>-1.7699115000000001E-2</v>
      </c>
      <c r="D143" s="15">
        <v>22</v>
      </c>
      <c r="E143" s="32">
        <f t="shared" si="74"/>
        <v>-9.0090090090089777E-3</v>
      </c>
      <c r="F143" s="18">
        <f>IF(ISNUMBER(D143), $B145 * E143, "")</f>
        <v>-1351.3513513513467</v>
      </c>
      <c r="G143" s="31">
        <v>22.1</v>
      </c>
      <c r="H143" s="32">
        <f t="shared" si="75"/>
        <v>-4.5045045045044091E-3</v>
      </c>
      <c r="I143" s="91">
        <f>IF(ISNUMBER(G143), $B145 * H143, "")</f>
        <v>-675.67567567566141</v>
      </c>
      <c r="J143" s="15">
        <v>22.1</v>
      </c>
      <c r="K143" s="32">
        <f t="shared" si="76"/>
        <v>-4.5045045045044091E-3</v>
      </c>
      <c r="L143" s="18">
        <f>IF(ISNUMBER(J143), $B145 * K143, "")</f>
        <v>-675.67567567566141</v>
      </c>
      <c r="M143" s="31">
        <v>22.2</v>
      </c>
      <c r="N143" s="32">
        <f t="shared" si="77"/>
        <v>0</v>
      </c>
      <c r="O143" s="18">
        <f>IF(ISNUMBER(M143), $B145 * N143, "")</f>
        <v>0</v>
      </c>
      <c r="Q143" s="183"/>
      <c r="R143" s="184"/>
      <c r="S143" s="185"/>
    </row>
    <row r="144" spans="1:19" ht="17.25" thickBot="1">
      <c r="A144" s="114" t="s">
        <v>107</v>
      </c>
      <c r="B144" s="115">
        <v>44.8</v>
      </c>
      <c r="C144" s="72">
        <v>-2.6086956500000001E-2</v>
      </c>
      <c r="D144" s="24">
        <v>43.9</v>
      </c>
      <c r="E144" s="25">
        <f t="shared" si="74"/>
        <v>-2.0089285714285685E-2</v>
      </c>
      <c r="F144" s="94">
        <f>IF(ISNUMBER(D144), $B145 * E144, "")</f>
        <v>-3013.3928571428528</v>
      </c>
      <c r="G144" s="92">
        <v>44.2</v>
      </c>
      <c r="H144" s="25">
        <f t="shared" si="75"/>
        <v>-1.3392857142857017E-2</v>
      </c>
      <c r="I144" s="93">
        <f>IF(ISNUMBER(G144), $B145 * H144, "")</f>
        <v>-2008.9285714285527</v>
      </c>
      <c r="J144" s="24">
        <v>44.2</v>
      </c>
      <c r="K144" s="25">
        <f t="shared" si="76"/>
        <v>-1.3392857142857017E-2</v>
      </c>
      <c r="L144" s="94">
        <f>IF(ISNUMBER(J144), $B145 * K144, "")</f>
        <v>-2008.9285714285527</v>
      </c>
      <c r="M144" s="92">
        <v>44.3</v>
      </c>
      <c r="N144" s="25">
        <f t="shared" si="77"/>
        <v>-1.1160714285714286E-2</v>
      </c>
      <c r="O144" s="94">
        <f>IF(ISNUMBER(M144), $B145 * N144, "")</f>
        <v>-1674.1071428571429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-6.1451126066745894E-3</v>
      </c>
      <c r="F145" s="28">
        <f>SUM(F125:F144)</f>
        <v>-18435.337820023768</v>
      </c>
      <c r="G145" s="26" t="s">
        <v>261</v>
      </c>
      <c r="H145" s="27">
        <f>IF(COUNT(H125:H144), SUM(H125:H144) / COUNT(H125:H144), 0)</f>
        <v>-7.2298594380986641E-3</v>
      </c>
      <c r="I145" s="28">
        <f>SUM(I125:I144)</f>
        <v>-21689.578314295999</v>
      </c>
      <c r="J145" s="26" t="s">
        <v>261</v>
      </c>
      <c r="K145" s="27">
        <f>IF(COUNT(K125:K144), SUM(K125:K144) / COUNT(K125:K144), 0)</f>
        <v>-9.5748692630731394E-3</v>
      </c>
      <c r="L145" s="28">
        <f>SUM(L125:L144)</f>
        <v>-28724.607789219426</v>
      </c>
      <c r="M145" s="26" t="s">
        <v>261</v>
      </c>
      <c r="N145" s="27">
        <f>IF(COUNT(N125:N144), SUM(N125:N144) / COUNT(N125:N144), 0)</f>
        <v>-9.3801835112038608E-3</v>
      </c>
      <c r="O145" s="28">
        <f>SUM(O125:O144)</f>
        <v>-28140.550533611586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2022-12-04(일) 오전 00:00</v>
      </c>
      <c r="C150" s="199"/>
      <c r="D150" s="158" t="str">
        <f>TEXT($G$1, "[$-ko-KR]yyyy-mm-dd(ddd) ") &amp; "오후 14:00"</f>
        <v>2022-12-04(일) 오후 14:00</v>
      </c>
      <c r="E150" s="159"/>
      <c r="F150" s="160"/>
      <c r="G150" s="158" t="str">
        <f>TEXT($G$1, "[$-ko-KR]yyyy-mm-dd(ddd) ") &amp; "오후 19:00"</f>
        <v>2022-12-04(일) 오후 19:00</v>
      </c>
      <c r="H150" s="159"/>
      <c r="I150" s="160"/>
      <c r="J150" s="158" t="str">
        <f>TEXT($G$1, "[$-ko-KR]yyyy-mm-dd(ddd) ") &amp; "오후 21:00"</f>
        <v>2022-12-04(일) 오후 21:00</v>
      </c>
      <c r="K150" s="159"/>
      <c r="L150" s="160"/>
      <c r="M150" s="158" t="str">
        <f>TEXT($G$1+1, "[$-ko-KR]yyyy-mm-dd(ddd) ") &amp; "오전 00:00"</f>
        <v>2022-12-05(월)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105</v>
      </c>
      <c r="B152" s="108">
        <v>250</v>
      </c>
      <c r="C152" s="69">
        <v>-3.9840637000000002E-3</v>
      </c>
      <c r="D152" s="13">
        <v>244</v>
      </c>
      <c r="E152" s="14">
        <f>IF(ISNUMBER(D152), (D152 - $B152) / $B152, "")</f>
        <v>-2.4E-2</v>
      </c>
      <c r="F152" s="16">
        <f>IF(ISNUMBER(D152), $B172 * E152, "")</f>
        <v>-3600</v>
      </c>
      <c r="G152" s="29">
        <v>242</v>
      </c>
      <c r="H152" s="14">
        <f>IF(ISNUMBER(G152), (G152 - $B152) / $B152, "")</f>
        <v>-3.2000000000000001E-2</v>
      </c>
      <c r="I152" s="90">
        <f>IF(ISNUMBER(G152), $B172 * H152, "")</f>
        <v>-4800</v>
      </c>
      <c r="J152" s="13">
        <v>241</v>
      </c>
      <c r="K152" s="14">
        <f>IF(ISNUMBER(J152), (J152 - $B152) / $B152, "")</f>
        <v>-3.5999999999999997E-2</v>
      </c>
      <c r="L152" s="16">
        <f>IF(ISNUMBER(J152), $B172 * K152, "")</f>
        <v>-5400</v>
      </c>
      <c r="M152" s="29">
        <v>241</v>
      </c>
      <c r="N152" s="14">
        <f>IF(ISNUMBER(M152), (M152 - $B152) / $B152, "")</f>
        <v>-3.5999999999999997E-2</v>
      </c>
      <c r="O152" s="16">
        <f>IF(ISNUMBER(M152), $B172 * N152, "")</f>
        <v>-5400</v>
      </c>
      <c r="Q152" s="156"/>
      <c r="R152" s="156"/>
      <c r="S152" s="156"/>
    </row>
    <row r="153" spans="1:19" ht="17.25" thickBot="1">
      <c r="A153" s="109" t="s">
        <v>242</v>
      </c>
      <c r="B153" s="110">
        <v>477</v>
      </c>
      <c r="C153" s="70">
        <v>-4.1753653E-3</v>
      </c>
      <c r="D153" s="15">
        <v>473</v>
      </c>
      <c r="E153" s="32">
        <f t="shared" ref="E153:E156" si="78">IF(ISNUMBER(D153), (D153 - $B153) / $B153, "")</f>
        <v>-8.385744234800839E-3</v>
      </c>
      <c r="F153" s="18">
        <f>IF(ISNUMBER(D153), $B172 * E153, "")</f>
        <v>-1257.8616352201259</v>
      </c>
      <c r="G153" s="31">
        <v>469</v>
      </c>
      <c r="H153" s="32">
        <f t="shared" ref="H153:H156" si="79">IF(ISNUMBER(G153), (G153 - $B153) / $B153, "")</f>
        <v>-1.6771488469601678E-2</v>
      </c>
      <c r="I153" s="91">
        <f>IF(ISNUMBER(G153), $B172 * H153, "")</f>
        <v>-2515.7232704402518</v>
      </c>
      <c r="J153" s="15">
        <v>468</v>
      </c>
      <c r="K153" s="32">
        <f t="shared" ref="K153:K156" si="80">IF(ISNUMBER(J153), (J153 - $B153) / $B153, "")</f>
        <v>-1.8867924528301886E-2</v>
      </c>
      <c r="L153" s="18">
        <f>IF(ISNUMBER(J153), $B172 * K153, "")</f>
        <v>-2830.1886792452829</v>
      </c>
      <c r="M153" s="31">
        <v>470</v>
      </c>
      <c r="N153" s="32">
        <f t="shared" ref="N153:N156" si="81">IF(ISNUMBER(M153), (M153 - $B153) / $B153, "")</f>
        <v>-1.4675052410901468E-2</v>
      </c>
      <c r="O153" s="18">
        <f>IF(ISNUMBER(M153), $B172 * N153, "")</f>
        <v>-2201.2578616352203</v>
      </c>
      <c r="Q153" s="156"/>
      <c r="R153" s="156"/>
      <c r="S153" s="156"/>
    </row>
    <row r="154" spans="1:19" ht="17.25" thickBot="1">
      <c r="A154" s="109" t="s">
        <v>167</v>
      </c>
      <c r="B154" s="110">
        <v>205</v>
      </c>
      <c r="C154" s="70">
        <v>-4.8543689000000003E-3</v>
      </c>
      <c r="D154" s="15">
        <v>204</v>
      </c>
      <c r="E154" s="32">
        <f t="shared" si="78"/>
        <v>-4.8780487804878049E-3</v>
      </c>
      <c r="F154" s="18">
        <f>IF(ISNUMBER(D154), $B172 * E154, "")</f>
        <v>-731.70731707317077</v>
      </c>
      <c r="G154" s="31">
        <v>203</v>
      </c>
      <c r="H154" s="32">
        <f t="shared" si="79"/>
        <v>-9.7560975609756097E-3</v>
      </c>
      <c r="I154" s="91">
        <f>IF(ISNUMBER(G154), $B172 * H154, "")</f>
        <v>-1463.4146341463415</v>
      </c>
      <c r="J154" s="15">
        <v>203</v>
      </c>
      <c r="K154" s="32">
        <f t="shared" si="80"/>
        <v>-9.7560975609756097E-3</v>
      </c>
      <c r="L154" s="18">
        <f>IF(ISNUMBER(J154), $B172 * K154, "")</f>
        <v>-1463.4146341463415</v>
      </c>
      <c r="M154" s="31">
        <v>203</v>
      </c>
      <c r="N154" s="32">
        <f t="shared" si="81"/>
        <v>-9.7560975609756097E-3</v>
      </c>
      <c r="O154" s="18">
        <f>IF(ISNUMBER(M154), $B172 * N154, "")</f>
        <v>-1463.4146341463415</v>
      </c>
      <c r="Q154" s="161"/>
      <c r="R154" s="161"/>
      <c r="S154" s="161"/>
    </row>
    <row r="155" spans="1:19" ht="17.25" thickBot="1">
      <c r="A155" s="109" t="s">
        <v>79</v>
      </c>
      <c r="B155" s="110">
        <v>315</v>
      </c>
      <c r="C155" s="70">
        <v>-6.3091483000000002E-3</v>
      </c>
      <c r="D155" s="15">
        <v>312</v>
      </c>
      <c r="E155" s="32">
        <f t="shared" si="78"/>
        <v>-9.5238095238095247E-3</v>
      </c>
      <c r="F155" s="18">
        <f>IF(ISNUMBER(D155), $B172 * E155, "")</f>
        <v>-1428.5714285714287</v>
      </c>
      <c r="G155" s="31">
        <v>310</v>
      </c>
      <c r="H155" s="32">
        <f t="shared" si="79"/>
        <v>-1.5873015873015872E-2</v>
      </c>
      <c r="I155" s="91">
        <f>IF(ISNUMBER(G155), $B172 * H155, "")</f>
        <v>-2380.9523809523807</v>
      </c>
      <c r="J155" s="15">
        <v>309</v>
      </c>
      <c r="K155" s="32">
        <f t="shared" si="80"/>
        <v>-1.9047619047619049E-2</v>
      </c>
      <c r="L155" s="18">
        <f>IF(ISNUMBER(J155), $B172 * K155, "")</f>
        <v>-2857.1428571428573</v>
      </c>
      <c r="M155" s="31">
        <v>311</v>
      </c>
      <c r="N155" s="32">
        <f t="shared" si="81"/>
        <v>-1.2698412698412698E-2</v>
      </c>
      <c r="O155" s="18">
        <f>IF(ISNUMBER(M155), $B172 * N155, "")</f>
        <v>-1904.7619047619048</v>
      </c>
      <c r="Q155" s="161"/>
      <c r="R155" s="161"/>
      <c r="S155" s="161"/>
    </row>
    <row r="156" spans="1:19" ht="17.25" thickBot="1">
      <c r="A156" s="111" t="s">
        <v>196</v>
      </c>
      <c r="B156" s="112">
        <v>297</v>
      </c>
      <c r="C156" s="71">
        <v>-6.6889632000000001E-3</v>
      </c>
      <c r="D156" s="20">
        <v>296</v>
      </c>
      <c r="E156" s="21">
        <f t="shared" si="78"/>
        <v>-3.3670033670033669E-3</v>
      </c>
      <c r="F156" s="22">
        <f>IF(ISNUMBER(D156), $B172 * E156, "")</f>
        <v>-505.05050505050502</v>
      </c>
      <c r="G156" s="30">
        <v>296</v>
      </c>
      <c r="H156" s="21">
        <f t="shared" si="79"/>
        <v>-3.3670033670033669E-3</v>
      </c>
      <c r="I156" s="95">
        <f>IF(ISNUMBER(G156), $B172 * H156, "")</f>
        <v>-505.05050505050502</v>
      </c>
      <c r="J156" s="20">
        <v>296</v>
      </c>
      <c r="K156" s="21">
        <f t="shared" si="80"/>
        <v>-3.3670033670033669E-3</v>
      </c>
      <c r="L156" s="22">
        <f>IF(ISNUMBER(J156), $B172 * K156, "")</f>
        <v>-505.05050505050502</v>
      </c>
      <c r="M156" s="30">
        <v>296</v>
      </c>
      <c r="N156" s="21">
        <f t="shared" si="81"/>
        <v>-3.3670033670033669E-3</v>
      </c>
      <c r="O156" s="22">
        <f>IF(ISNUMBER(M156), $B172 * N156, "")</f>
        <v>-505.05050505050502</v>
      </c>
      <c r="Q156" s="161"/>
      <c r="R156" s="161"/>
      <c r="S156" s="161"/>
    </row>
    <row r="157" spans="1:19" ht="17.25" thickBot="1">
      <c r="A157" s="109" t="s">
        <v>342</v>
      </c>
      <c r="B157" s="113">
        <v>140</v>
      </c>
      <c r="C157" s="73">
        <v>-7.0921986000000003E-3</v>
      </c>
      <c r="D157" s="96">
        <v>141</v>
      </c>
      <c r="E157" s="97">
        <f>IF(ISNUMBER(D157), (D157 - $B157) / $B157, "")</f>
        <v>7.1428571428571426E-3</v>
      </c>
      <c r="F157" s="98">
        <f>IF(ISNUMBER(D157), $B172 * E157, "")</f>
        <v>1071.4285714285713</v>
      </c>
      <c r="G157" s="99">
        <v>141</v>
      </c>
      <c r="H157" s="97">
        <f>IF(ISNUMBER(G157), (G157 - $B157) / $B157, "")</f>
        <v>7.1428571428571426E-3</v>
      </c>
      <c r="I157" s="100">
        <f>IF(ISNUMBER(G157), $B172 * H157, "")</f>
        <v>1071.4285714285713</v>
      </c>
      <c r="J157" s="96">
        <v>140</v>
      </c>
      <c r="K157" s="97">
        <f>IF(ISNUMBER(J157), (J157 - $B157) / $B157, "")</f>
        <v>0</v>
      </c>
      <c r="L157" s="98">
        <f>IF(ISNUMBER(J157), $B172 * K157, "")</f>
        <v>0</v>
      </c>
      <c r="M157" s="99">
        <v>140</v>
      </c>
      <c r="N157" s="97">
        <f>IF(ISNUMBER(M157), (M157 - $B157) / $B157, "")</f>
        <v>0</v>
      </c>
      <c r="O157" s="98">
        <f>IF(ISNUMBER(M157), $B172 * N157, "")</f>
        <v>0</v>
      </c>
      <c r="Q157" s="161"/>
      <c r="R157" s="161"/>
      <c r="S157" s="161"/>
    </row>
    <row r="158" spans="1:19" ht="17.25" thickBot="1">
      <c r="A158" s="109" t="s">
        <v>60</v>
      </c>
      <c r="B158" s="110">
        <v>559</v>
      </c>
      <c r="C158" s="70">
        <v>-7.1047957000000004E-3</v>
      </c>
      <c r="D158" s="15">
        <v>553</v>
      </c>
      <c r="E158" s="32">
        <f t="shared" ref="E158:E161" si="82">IF(ISNUMBER(D158), (D158 - $B158) / $B158, "")</f>
        <v>-1.0733452593917709E-2</v>
      </c>
      <c r="F158" s="18">
        <f>IF(ISNUMBER(D158), $B172 * E158, "")</f>
        <v>-1610.0178890876564</v>
      </c>
      <c r="G158" s="31">
        <v>549</v>
      </c>
      <c r="H158" s="32">
        <f t="shared" ref="H158:H161" si="83">IF(ISNUMBER(G158), (G158 - $B158) / $B158, "")</f>
        <v>-1.7889087656529516E-2</v>
      </c>
      <c r="I158" s="91">
        <f>IF(ISNUMBER(G158), $B172 * H158, "")</f>
        <v>-2683.3631484794273</v>
      </c>
      <c r="J158" s="15">
        <v>544</v>
      </c>
      <c r="K158" s="32">
        <f t="shared" ref="K158:K161" si="84">IF(ISNUMBER(J158), (J158 - $B158) / $B158, "")</f>
        <v>-2.6833631484794274E-2</v>
      </c>
      <c r="L158" s="18">
        <f>IF(ISNUMBER(J158), $B172 * K158, "")</f>
        <v>-4025.0447227191412</v>
      </c>
      <c r="M158" s="31">
        <v>547</v>
      </c>
      <c r="N158" s="32">
        <f t="shared" ref="N158:N161" si="85">IF(ISNUMBER(M158), (M158 - $B158) / $B158, "")</f>
        <v>-2.1466905187835419E-2</v>
      </c>
      <c r="O158" s="18">
        <f>IF(ISNUMBER(M158), $B172 * N158, "")</f>
        <v>-3220.0357781753128</v>
      </c>
      <c r="Q158" s="161"/>
      <c r="R158" s="161"/>
      <c r="S158" s="161"/>
    </row>
    <row r="159" spans="1:19" ht="17.25" thickBot="1">
      <c r="A159" s="109" t="s">
        <v>216</v>
      </c>
      <c r="B159" s="110">
        <v>525</v>
      </c>
      <c r="C159" s="70">
        <v>-7.5614367000000002E-3</v>
      </c>
      <c r="D159" s="15">
        <v>524</v>
      </c>
      <c r="E159" s="32">
        <f t="shared" si="82"/>
        <v>-1.9047619047619048E-3</v>
      </c>
      <c r="F159" s="18">
        <f>IF(ISNUMBER(D159), $B172 * E159, "")</f>
        <v>-285.71428571428572</v>
      </c>
      <c r="G159" s="31">
        <v>523</v>
      </c>
      <c r="H159" s="32">
        <f t="shared" si="83"/>
        <v>-3.8095238095238095E-3</v>
      </c>
      <c r="I159" s="91">
        <f>IF(ISNUMBER(G159), $B172 * H159, "")</f>
        <v>-571.42857142857144</v>
      </c>
      <c r="J159" s="15">
        <v>521</v>
      </c>
      <c r="K159" s="32">
        <f t="shared" si="84"/>
        <v>-7.619047619047619E-3</v>
      </c>
      <c r="L159" s="18">
        <f>IF(ISNUMBER(J159), $B172 * K159, "")</f>
        <v>-1142.8571428571429</v>
      </c>
      <c r="M159" s="31">
        <v>521</v>
      </c>
      <c r="N159" s="32">
        <f t="shared" si="85"/>
        <v>-7.619047619047619E-3</v>
      </c>
      <c r="O159" s="18">
        <f>IF(ISNUMBER(M159), $B172 * N159, "")</f>
        <v>-1142.8571428571429</v>
      </c>
      <c r="Q159" s="161"/>
      <c r="R159" s="161"/>
      <c r="S159" s="161"/>
    </row>
    <row r="160" spans="1:19" ht="17.25" thickBot="1">
      <c r="A160" s="109" t="s">
        <v>68</v>
      </c>
      <c r="B160" s="110">
        <v>365</v>
      </c>
      <c r="C160" s="70">
        <v>-8.1521739000000003E-3</v>
      </c>
      <c r="D160" s="15">
        <v>400</v>
      </c>
      <c r="E160" s="32">
        <f t="shared" si="82"/>
        <v>9.5890410958904104E-2</v>
      </c>
      <c r="F160" s="18">
        <f>IF(ISNUMBER(D160), $B172 * E160, "")</f>
        <v>14383.561643835616</v>
      </c>
      <c r="G160" s="31">
        <v>405</v>
      </c>
      <c r="H160" s="32">
        <f t="shared" si="83"/>
        <v>0.1095890410958904</v>
      </c>
      <c r="I160" s="91">
        <f>IF(ISNUMBER(G160), $B172 * H160, "")</f>
        <v>16438.35616438356</v>
      </c>
      <c r="J160" s="15">
        <v>407</v>
      </c>
      <c r="K160" s="32">
        <f t="shared" si="84"/>
        <v>0.11506849315068493</v>
      </c>
      <c r="L160" s="18">
        <f>IF(ISNUMBER(J160), $B172 * K160, "")</f>
        <v>17260.273972602739</v>
      </c>
      <c r="M160" s="31">
        <v>403</v>
      </c>
      <c r="N160" s="32">
        <f t="shared" si="85"/>
        <v>0.10410958904109589</v>
      </c>
      <c r="O160" s="18">
        <f>IF(ISNUMBER(M160), $B172 * N160, "")</f>
        <v>15616.438356164384</v>
      </c>
      <c r="Q160" s="33"/>
      <c r="R160" s="33"/>
    </row>
    <row r="161" spans="1:19" ht="17.25" thickBot="1">
      <c r="A161" s="114" t="s">
        <v>340</v>
      </c>
      <c r="B161" s="115">
        <v>671</v>
      </c>
      <c r="C161" s="72">
        <v>-8.8626291999999995E-3</v>
      </c>
      <c r="D161" s="24">
        <v>665</v>
      </c>
      <c r="E161" s="25">
        <f t="shared" si="82"/>
        <v>-8.9418777943368107E-3</v>
      </c>
      <c r="F161" s="94">
        <f>IF(ISNUMBER(D161), $B172 * E161, "")</f>
        <v>-1341.2816691505216</v>
      </c>
      <c r="G161" s="92">
        <v>663</v>
      </c>
      <c r="H161" s="25">
        <f t="shared" si="83"/>
        <v>-1.1922503725782414E-2</v>
      </c>
      <c r="I161" s="93">
        <f>IF(ISNUMBER(G161), $B172 * H161, "")</f>
        <v>-1788.3755588673621</v>
      </c>
      <c r="J161" s="24">
        <v>662</v>
      </c>
      <c r="K161" s="25">
        <f t="shared" si="84"/>
        <v>-1.3412816691505217E-2</v>
      </c>
      <c r="L161" s="94">
        <f>IF(ISNUMBER(J161), $B172 * K161, "")</f>
        <v>-2011.9225037257825</v>
      </c>
      <c r="M161" s="92">
        <v>664</v>
      </c>
      <c r="N161" s="25">
        <f t="shared" si="85"/>
        <v>-1.0432190760059613E-2</v>
      </c>
      <c r="O161" s="94">
        <f>IF(ISNUMBER(M161), $B172 * N161, "")</f>
        <v>-1564.8286140089419</v>
      </c>
      <c r="Q161" s="170"/>
      <c r="R161" s="171"/>
      <c r="S161" s="172"/>
    </row>
    <row r="162" spans="1:19">
      <c r="A162" s="107" t="s">
        <v>332</v>
      </c>
      <c r="B162" s="108">
        <v>324</v>
      </c>
      <c r="C162" s="69">
        <v>-9.1743119000000008E-3</v>
      </c>
      <c r="D162" s="13">
        <v>322</v>
      </c>
      <c r="E162" s="14">
        <f>IF(ISNUMBER(D162), (D162 - $B162) / $B162, "")</f>
        <v>-6.1728395061728392E-3</v>
      </c>
      <c r="F162" s="16">
        <f>IF(ISNUMBER(D162), $B172 * E162, "")</f>
        <v>-925.92592592592587</v>
      </c>
      <c r="G162" s="29">
        <v>320</v>
      </c>
      <c r="H162" s="14">
        <f>IF(ISNUMBER(G162), (G162 - $B162) / $B162, "")</f>
        <v>-1.2345679012345678E-2</v>
      </c>
      <c r="I162" s="90">
        <f>IF(ISNUMBER(G162), $B172 * H162, "")</f>
        <v>-1851.8518518518517</v>
      </c>
      <c r="J162" s="13">
        <v>319</v>
      </c>
      <c r="K162" s="14">
        <f>IF(ISNUMBER(J162), (J162 - $B162) / $B162, "")</f>
        <v>-1.5432098765432098E-2</v>
      </c>
      <c r="L162" s="16">
        <f>IF(ISNUMBER(J162), $B172 * K162, "")</f>
        <v>-2314.8148148148148</v>
      </c>
      <c r="M162" s="29">
        <v>320</v>
      </c>
      <c r="N162" s="14">
        <f>IF(ISNUMBER(M162), (M162 - $B162) / $B162, "")</f>
        <v>-1.2345679012345678E-2</v>
      </c>
      <c r="O162" s="16">
        <f>IF(ISNUMBER(M162), $B172 * N162, "")</f>
        <v>-1851.8518518518517</v>
      </c>
      <c r="Q162" s="173"/>
      <c r="R162" s="174"/>
      <c r="S162" s="175"/>
    </row>
    <row r="163" spans="1:19" ht="17.25" thickBot="1">
      <c r="A163" s="109" t="s">
        <v>153</v>
      </c>
      <c r="B163" s="110">
        <v>448</v>
      </c>
      <c r="C163" s="70">
        <v>-1.1037527599999999E-2</v>
      </c>
      <c r="D163" s="15">
        <v>448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444</v>
      </c>
      <c r="H163" s="32">
        <f t="shared" ref="H163:H166" si="87">IF(ISNUMBER(G163), (G163 - $B163) / $B163, "")</f>
        <v>-8.9285714285714281E-3</v>
      </c>
      <c r="I163" s="91">
        <f>IF(ISNUMBER(G163), $B172 * H163, "")</f>
        <v>-1339.2857142857142</v>
      </c>
      <c r="J163" s="15">
        <v>442</v>
      </c>
      <c r="K163" s="32">
        <f t="shared" ref="K163:K166" si="88">IF(ISNUMBER(J163), (J163 - $B163) / $B163, "")</f>
        <v>-1.3392857142857142E-2</v>
      </c>
      <c r="L163" s="18">
        <f>IF(ISNUMBER(J163), $B172 * K163, "")</f>
        <v>-2008.9285714285713</v>
      </c>
      <c r="M163" s="31">
        <v>443</v>
      </c>
      <c r="N163" s="32">
        <f t="shared" ref="N163:N166" si="89">IF(ISNUMBER(M163), (M163 - $B163) / $B163, "")</f>
        <v>-1.1160714285714286E-2</v>
      </c>
      <c r="O163" s="18">
        <f>IF(ISNUMBER(M163), $B172 * N163, "")</f>
        <v>-1674.1071428571429</v>
      </c>
      <c r="Q163" s="176"/>
      <c r="R163" s="177"/>
      <c r="S163" s="178"/>
    </row>
    <row r="164" spans="1:19" ht="17.25" thickBot="1">
      <c r="A164" s="109" t="s">
        <v>349</v>
      </c>
      <c r="B164" s="110">
        <v>797</v>
      </c>
      <c r="C164" s="70">
        <v>-1.1166253100000001E-2</v>
      </c>
      <c r="D164" s="15">
        <v>906</v>
      </c>
      <c r="E164" s="32">
        <f t="shared" si="86"/>
        <v>0.13676286072772897</v>
      </c>
      <c r="F164" s="18">
        <f>IF(ISNUMBER(D164), $B172 * E164, "")</f>
        <v>20514.429109159348</v>
      </c>
      <c r="G164" s="31">
        <v>917</v>
      </c>
      <c r="H164" s="32">
        <f t="shared" si="87"/>
        <v>0.15056461731493098</v>
      </c>
      <c r="I164" s="91">
        <f>IF(ISNUMBER(G164), $B172 * H164, "")</f>
        <v>22584.692597239646</v>
      </c>
      <c r="J164" s="15">
        <v>913</v>
      </c>
      <c r="K164" s="32">
        <f t="shared" si="88"/>
        <v>0.14554579673776663</v>
      </c>
      <c r="L164" s="18">
        <f>IF(ISNUMBER(J164), $B172 * K164, "")</f>
        <v>21831.869510664994</v>
      </c>
      <c r="M164" s="31">
        <v>915</v>
      </c>
      <c r="N164" s="32">
        <f t="shared" si="89"/>
        <v>0.14805520702634881</v>
      </c>
      <c r="O164" s="18">
        <f>IF(ISNUMBER(M164), $B172 * N164, "")</f>
        <v>22208.28105395232</v>
      </c>
      <c r="Q164" s="161"/>
      <c r="R164" s="161"/>
      <c r="S164" s="161"/>
    </row>
    <row r="165" spans="1:19" ht="17.25" thickBot="1">
      <c r="A165" s="109" t="s">
        <v>149</v>
      </c>
      <c r="B165" s="110">
        <v>415</v>
      </c>
      <c r="C165" s="70">
        <v>-1.19047619E-2</v>
      </c>
      <c r="D165" s="15">
        <v>413</v>
      </c>
      <c r="E165" s="32">
        <f t="shared" si="86"/>
        <v>-4.8192771084337354E-3</v>
      </c>
      <c r="F165" s="18">
        <f>IF(ISNUMBER(D165), $B172 * E165, "")</f>
        <v>-722.89156626506031</v>
      </c>
      <c r="G165" s="31">
        <v>414</v>
      </c>
      <c r="H165" s="32">
        <f t="shared" si="87"/>
        <v>-2.4096385542168677E-3</v>
      </c>
      <c r="I165" s="91">
        <f>IF(ISNUMBER(G165), $B172 * H165, "")</f>
        <v>-361.44578313253015</v>
      </c>
      <c r="J165" s="15">
        <v>413</v>
      </c>
      <c r="K165" s="32">
        <f t="shared" si="88"/>
        <v>-4.8192771084337354E-3</v>
      </c>
      <c r="L165" s="18">
        <f>IF(ISNUMBER(J165), $B172 * K165, "")</f>
        <v>-722.89156626506031</v>
      </c>
      <c r="M165" s="31">
        <v>414</v>
      </c>
      <c r="N165" s="32">
        <f t="shared" si="89"/>
        <v>-2.4096385542168677E-3</v>
      </c>
      <c r="O165" s="18">
        <f>IF(ISNUMBER(M165), $B172 * N165, "")</f>
        <v>-361.44578313253015</v>
      </c>
      <c r="Q165" s="156"/>
      <c r="R165" s="156"/>
      <c r="S165" s="156"/>
    </row>
    <row r="166" spans="1:19" ht="17.25" thickBot="1">
      <c r="A166" s="111" t="s">
        <v>238</v>
      </c>
      <c r="B166" s="112">
        <v>652</v>
      </c>
      <c r="C166" s="71">
        <v>-1.2121212100000001E-2</v>
      </c>
      <c r="D166" s="20">
        <v>649</v>
      </c>
      <c r="E166" s="21">
        <f t="shared" si="86"/>
        <v>-4.601226993865031E-3</v>
      </c>
      <c r="F166" s="22">
        <f>IF(ISNUMBER(D166), $B172 * E166, "")</f>
        <v>-690.18404907975469</v>
      </c>
      <c r="G166" s="30">
        <v>647</v>
      </c>
      <c r="H166" s="21">
        <f t="shared" si="87"/>
        <v>-7.6687116564417178E-3</v>
      </c>
      <c r="I166" s="95">
        <f>IF(ISNUMBER(G166), $B172 * H166, "")</f>
        <v>-1150.3067484662577</v>
      </c>
      <c r="J166" s="20">
        <v>644</v>
      </c>
      <c r="K166" s="21">
        <f t="shared" si="88"/>
        <v>-1.2269938650306749E-2</v>
      </c>
      <c r="L166" s="22">
        <f>IF(ISNUMBER(J166), $B172 * K166, "")</f>
        <v>-1840.4907975460123</v>
      </c>
      <c r="M166" s="30">
        <v>647</v>
      </c>
      <c r="N166" s="21">
        <f t="shared" si="89"/>
        <v>-7.6687116564417178E-3</v>
      </c>
      <c r="O166" s="22">
        <f>IF(ISNUMBER(M166), $B172 * N166, "")</f>
        <v>-1150.3067484662577</v>
      </c>
      <c r="Q166" s="156"/>
      <c r="R166" s="156"/>
      <c r="S166" s="156"/>
    </row>
    <row r="167" spans="1:19" ht="17.25" thickBot="1">
      <c r="A167" s="109" t="s">
        <v>85</v>
      </c>
      <c r="B167" s="113">
        <v>225</v>
      </c>
      <c r="C167" s="73">
        <v>-1.3157894700000001E-2</v>
      </c>
      <c r="D167" s="96">
        <v>224</v>
      </c>
      <c r="E167" s="97">
        <f>IF(ISNUMBER(D167), (D167 - $B167) / $B167, "")</f>
        <v>-4.4444444444444444E-3</v>
      </c>
      <c r="F167" s="98">
        <f>IF(ISNUMBER(D167), $B172 * E167, "")</f>
        <v>-666.66666666666663</v>
      </c>
      <c r="G167" s="99">
        <v>223</v>
      </c>
      <c r="H167" s="97">
        <f>IF(ISNUMBER(G167), (G167 - $B167) / $B167, "")</f>
        <v>-8.8888888888888889E-3</v>
      </c>
      <c r="I167" s="100">
        <f>IF(ISNUMBER(G167), $B172 * H167, "")</f>
        <v>-1333.3333333333333</v>
      </c>
      <c r="J167" s="96">
        <v>224</v>
      </c>
      <c r="K167" s="97">
        <f>IF(ISNUMBER(J167), (J167 - $B167) / $B167, "")</f>
        <v>-4.4444444444444444E-3</v>
      </c>
      <c r="L167" s="98">
        <f>IF(ISNUMBER(J167), $B172 * K167, "")</f>
        <v>-666.66666666666663</v>
      </c>
      <c r="M167" s="99">
        <v>223</v>
      </c>
      <c r="N167" s="97">
        <f>IF(ISNUMBER(M167), (M167 - $B167) / $B167, "")</f>
        <v>-8.8888888888888889E-3</v>
      </c>
      <c r="O167" s="98">
        <f>IF(ISNUMBER(M167), $B172 * N167, "")</f>
        <v>-1333.3333333333333</v>
      </c>
      <c r="Q167" s="161"/>
      <c r="R167" s="161"/>
      <c r="S167" s="161"/>
    </row>
    <row r="168" spans="1:19" ht="17.25" thickBot="1">
      <c r="A168" s="109" t="s">
        <v>130</v>
      </c>
      <c r="B168" s="110">
        <v>883</v>
      </c>
      <c r="C168" s="70">
        <v>-1.56075808E-2</v>
      </c>
      <c r="D168" s="15">
        <v>887</v>
      </c>
      <c r="E168" s="32">
        <f t="shared" ref="E168:E171" si="90">IF(ISNUMBER(D168), (D168 - $B168) / $B168, "")</f>
        <v>4.5300113250283129E-3</v>
      </c>
      <c r="F168" s="18">
        <f>IF(ISNUMBER(D168), $B172 * E168, "")</f>
        <v>679.50169875424695</v>
      </c>
      <c r="G168" s="31">
        <v>882</v>
      </c>
      <c r="H168" s="32">
        <f t="shared" ref="H168:H171" si="91">IF(ISNUMBER(G168), (G168 - $B168) / $B168, "")</f>
        <v>-1.1325028312570782E-3</v>
      </c>
      <c r="I168" s="91">
        <f>IF(ISNUMBER(G168), $B172 * H168, "")</f>
        <v>-169.87542468856174</v>
      </c>
      <c r="J168" s="15">
        <v>886</v>
      </c>
      <c r="K168" s="32">
        <f t="shared" ref="K168:K171" si="92">IF(ISNUMBER(J168), (J168 - $B168) / $B168, "")</f>
        <v>3.3975084937712344E-3</v>
      </c>
      <c r="L168" s="18">
        <f>IF(ISNUMBER(J168), $B172 * K168, "")</f>
        <v>509.62627406568515</v>
      </c>
      <c r="M168" s="31">
        <v>876</v>
      </c>
      <c r="N168" s="32">
        <f t="shared" ref="N168:N171" si="93">IF(ISNUMBER(M168), (M168 - $B168) / $B168, "")</f>
        <v>-7.9275198187995465E-3</v>
      </c>
      <c r="O168" s="18">
        <f>IF(ISNUMBER(M168), $B172 * N168, "")</f>
        <v>-1189.127972819932</v>
      </c>
      <c r="Q168" s="161"/>
      <c r="R168" s="161"/>
      <c r="S168" s="161"/>
    </row>
    <row r="169" spans="1:19" ht="17.25" thickBot="1">
      <c r="A169" s="109" t="s">
        <v>111</v>
      </c>
      <c r="B169" s="110">
        <v>796</v>
      </c>
      <c r="C169" s="70">
        <v>-1.6069221299999999E-2</v>
      </c>
      <c r="D169" s="15">
        <v>787</v>
      </c>
      <c r="E169" s="32">
        <f t="shared" si="90"/>
        <v>-1.1306532663316583E-2</v>
      </c>
      <c r="F169" s="18">
        <f>IF(ISNUMBER(D169), $B172 * E169, "")</f>
        <v>-1695.9798994974874</v>
      </c>
      <c r="G169" s="31">
        <v>783</v>
      </c>
      <c r="H169" s="32">
        <f t="shared" si="91"/>
        <v>-1.6331658291457288E-2</v>
      </c>
      <c r="I169" s="91">
        <f>IF(ISNUMBER(G169), $B172 * H169, "")</f>
        <v>-2449.7487437185932</v>
      </c>
      <c r="J169" s="15">
        <v>780</v>
      </c>
      <c r="K169" s="32">
        <f t="shared" si="92"/>
        <v>-2.0100502512562814E-2</v>
      </c>
      <c r="L169" s="18">
        <f>IF(ISNUMBER(J169), $B172 * K169, "")</f>
        <v>-3015.075376884422</v>
      </c>
      <c r="M169" s="31">
        <v>782</v>
      </c>
      <c r="N169" s="32">
        <f t="shared" si="93"/>
        <v>-1.7587939698492462E-2</v>
      </c>
      <c r="O169" s="18">
        <f>IF(ISNUMBER(M169), $B172 * N169, "")</f>
        <v>-2638.1909547738692</v>
      </c>
      <c r="Q169" s="161"/>
      <c r="R169" s="161"/>
      <c r="S169" s="161"/>
    </row>
    <row r="170" spans="1:19">
      <c r="A170" s="109" t="s">
        <v>232</v>
      </c>
      <c r="B170" s="110">
        <v>302</v>
      </c>
      <c r="C170" s="70">
        <v>-1.6286644999999999E-2</v>
      </c>
      <c r="D170" s="15">
        <v>301</v>
      </c>
      <c r="E170" s="32">
        <f t="shared" si="90"/>
        <v>-3.3112582781456954E-3</v>
      </c>
      <c r="F170" s="18">
        <f>IF(ISNUMBER(D170), $B172 * E170, "")</f>
        <v>-496.68874172185429</v>
      </c>
      <c r="G170" s="31">
        <v>301</v>
      </c>
      <c r="H170" s="32">
        <f t="shared" si="91"/>
        <v>-3.3112582781456954E-3</v>
      </c>
      <c r="I170" s="91">
        <f>IF(ISNUMBER(G170), $B172 * H170, "")</f>
        <v>-496.68874172185429</v>
      </c>
      <c r="J170" s="15">
        <v>298</v>
      </c>
      <c r="K170" s="32">
        <f t="shared" si="92"/>
        <v>-1.3245033112582781E-2</v>
      </c>
      <c r="L170" s="18">
        <f>IF(ISNUMBER(J170), $B172 * K170, "")</f>
        <v>-1986.7549668874171</v>
      </c>
      <c r="M170" s="31">
        <v>300</v>
      </c>
      <c r="N170" s="32">
        <f t="shared" si="93"/>
        <v>-6.6225165562913907E-3</v>
      </c>
      <c r="O170" s="18">
        <f>IF(ISNUMBER(M170), $B172 * N170, "")</f>
        <v>-993.37748344370857</v>
      </c>
      <c r="Q170" s="183"/>
      <c r="R170" s="184"/>
      <c r="S170" s="185"/>
    </row>
    <row r="171" spans="1:19" ht="17.25" thickBot="1">
      <c r="A171" s="114" t="s">
        <v>204</v>
      </c>
      <c r="B171" s="115">
        <v>276</v>
      </c>
      <c r="C171" s="72">
        <v>-2.1276595700000001E-2</v>
      </c>
      <c r="D171" s="24">
        <v>275</v>
      </c>
      <c r="E171" s="25">
        <f t="shared" si="90"/>
        <v>-3.6231884057971015E-3</v>
      </c>
      <c r="F171" s="94">
        <f>IF(ISNUMBER(D171), $B172 * E171, "")</f>
        <v>-543.47826086956525</v>
      </c>
      <c r="G171" s="92">
        <v>274</v>
      </c>
      <c r="H171" s="25">
        <f t="shared" si="91"/>
        <v>-7.246376811594203E-3</v>
      </c>
      <c r="I171" s="93">
        <f>IF(ISNUMBER(G171), $B172 * H171, "")</f>
        <v>-1086.9565217391305</v>
      </c>
      <c r="J171" s="24">
        <v>273</v>
      </c>
      <c r="K171" s="25">
        <f t="shared" si="92"/>
        <v>-1.0869565217391304E-2</v>
      </c>
      <c r="L171" s="94">
        <f>IF(ISNUMBER(J171), $B172 * K171, "")</f>
        <v>-1630.4347826086955</v>
      </c>
      <c r="M171" s="92">
        <v>273</v>
      </c>
      <c r="N171" s="25">
        <f t="shared" si="93"/>
        <v>-1.0869565217391304E-2</v>
      </c>
      <c r="O171" s="94">
        <f>IF(ISNUMBER(M171), $B172 * N171, "")</f>
        <v>-1630.4347826086955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6.7156337277612579E-3</v>
      </c>
      <c r="F172" s="28">
        <f>SUM(F152:F171)</f>
        <v>20146.901183283771</v>
      </c>
      <c r="G172" s="26" t="s">
        <v>261</v>
      </c>
      <c r="H172" s="27">
        <f>IF(COUNT(H152:H171), SUM(H152:H171) / COUNT(H152:H171), 0)</f>
        <v>4.3822254669163719E-3</v>
      </c>
      <c r="I172" s="28">
        <f>SUM(I152:I171)</f>
        <v>13146.676400749109</v>
      </c>
      <c r="J172" s="26" t="s">
        <v>261</v>
      </c>
      <c r="K172" s="27">
        <f>IF(COUNT(K152:K171), SUM(K152:K171) / COUNT(K152:K171), 0)</f>
        <v>1.726697056448236E-3</v>
      </c>
      <c r="L172" s="28">
        <f>SUM(L152:L171)</f>
        <v>5180.0911693447088</v>
      </c>
      <c r="M172" s="26" t="s">
        <v>261</v>
      </c>
      <c r="N172" s="27">
        <f>IF(COUNT(N152:N171), SUM(N152:N171) / COUNT(N152:N171), 0)</f>
        <v>2.5334456387313383E-3</v>
      </c>
      <c r="O172" s="28">
        <f>SUM(O152:O171)</f>
        <v>7600.3369161940118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2022-12-04(일) 오전 00:00</v>
      </c>
      <c r="C177" s="199"/>
      <c r="D177" s="158" t="str">
        <f>TEXT($G$1, "[$-ko-KR]yyyy-mm-dd(ddd) ") &amp; "오후 14:00"</f>
        <v>2022-12-04(일) 오후 14:00</v>
      </c>
      <c r="E177" s="159"/>
      <c r="F177" s="160"/>
      <c r="G177" s="158" t="str">
        <f>TEXT($G$1, "[$-ko-KR]yyyy-mm-dd(ddd) ") &amp; "오후 19:00"</f>
        <v>2022-12-04(일) 오후 19:00</v>
      </c>
      <c r="H177" s="159"/>
      <c r="I177" s="160"/>
      <c r="J177" s="158" t="str">
        <f>TEXT($G$1, "[$-ko-KR]yyyy-mm-dd(ddd) ") &amp; "오후 21:00"</f>
        <v>2022-12-04(일) 오후 21:00</v>
      </c>
      <c r="K177" s="159"/>
      <c r="L177" s="160"/>
      <c r="M177" s="158" t="str">
        <f>TEXT($G$1+1, "[$-ko-KR]yyyy-mm-dd(ddd) ") &amp; "오전 00:00"</f>
        <v>2022-12-05(월)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185</v>
      </c>
      <c r="B179" s="108">
        <v>33.6</v>
      </c>
      <c r="C179" s="69">
        <v>-1.17647059E-2</v>
      </c>
      <c r="D179" s="13">
        <v>33.700000000000003</v>
      </c>
      <c r="E179" s="14">
        <f>IF(ISNUMBER(D179), (D179 - $B179) / $B179, "")</f>
        <v>2.9761904761905185E-3</v>
      </c>
      <c r="F179" s="16">
        <f>IF(ISNUMBER(D179), $B199 * E179, "")</f>
        <v>446.42857142857775</v>
      </c>
      <c r="G179" s="29">
        <v>33.5</v>
      </c>
      <c r="H179" s="14">
        <f>IF(ISNUMBER(G179), (G179 - $B179) / $B179, "")</f>
        <v>-2.9761904761905185E-3</v>
      </c>
      <c r="I179" s="90">
        <f>IF(ISNUMBER(G179), $B199 * H179, "")</f>
        <v>-446.42857142857775</v>
      </c>
      <c r="J179" s="13">
        <v>33.5</v>
      </c>
      <c r="K179" s="14">
        <f>IF(ISNUMBER(J179), (J179 - $B179) / $B179, "")</f>
        <v>-2.9761904761905185E-3</v>
      </c>
      <c r="L179" s="16">
        <f>IF(ISNUMBER(J179), $B199 * K179, "")</f>
        <v>-446.42857142857775</v>
      </c>
      <c r="M179" s="29">
        <v>33.6</v>
      </c>
      <c r="N179" s="14">
        <f>IF(ISNUMBER(M179), (M179 - $B179) / $B179, "")</f>
        <v>0</v>
      </c>
      <c r="O179" s="16">
        <f>IF(ISNUMBER(M179), $B199 * N179, "")</f>
        <v>0</v>
      </c>
      <c r="Q179" s="156"/>
      <c r="R179" s="156"/>
      <c r="S179" s="156"/>
    </row>
    <row r="180" spans="1:19" ht="17.25" thickBot="1">
      <c r="A180" s="109" t="s">
        <v>324</v>
      </c>
      <c r="B180" s="110">
        <v>1250</v>
      </c>
      <c r="C180" s="70">
        <v>-1.18577075E-2</v>
      </c>
      <c r="D180" s="15">
        <v>1235</v>
      </c>
      <c r="E180" s="32">
        <f t="shared" ref="E180:E183" si="94">IF(ISNUMBER(D180), (D180 - $B180) / $B180, "")</f>
        <v>-1.2E-2</v>
      </c>
      <c r="F180" s="18">
        <f>IF(ISNUMBER(D180), $B199 * E180, "")</f>
        <v>-1800</v>
      </c>
      <c r="G180" s="31">
        <v>1225</v>
      </c>
      <c r="H180" s="32">
        <f t="shared" ref="H180:H183" si="95">IF(ISNUMBER(G180), (G180 - $B180) / $B180, "")</f>
        <v>-0.02</v>
      </c>
      <c r="I180" s="91">
        <f>IF(ISNUMBER(G180), $B199 * H180, "")</f>
        <v>-3000</v>
      </c>
      <c r="J180" s="15">
        <v>1220</v>
      </c>
      <c r="K180" s="32">
        <f t="shared" ref="K180:K183" si="96">IF(ISNUMBER(J180), (J180 - $B180) / $B180, "")</f>
        <v>-2.4E-2</v>
      </c>
      <c r="L180" s="18">
        <f>IF(ISNUMBER(J180), $B199 * K180, "")</f>
        <v>-3600</v>
      </c>
      <c r="M180" s="31">
        <v>1225</v>
      </c>
      <c r="N180" s="32">
        <f t="shared" ref="N180:N183" si="97">IF(ISNUMBER(M180), (M180 - $B180) / $B180, "")</f>
        <v>-0.02</v>
      </c>
      <c r="O180" s="18">
        <f>IF(ISNUMBER(M180), $B199 * N180, "")</f>
        <v>-3000</v>
      </c>
      <c r="Q180" s="156"/>
      <c r="R180" s="156"/>
      <c r="S180" s="156"/>
    </row>
    <row r="181" spans="1:19" ht="17.25" thickBot="1">
      <c r="A181" s="109" t="s">
        <v>149</v>
      </c>
      <c r="B181" s="110">
        <v>415</v>
      </c>
      <c r="C181" s="70">
        <v>-1.19047619E-2</v>
      </c>
      <c r="D181" s="15">
        <v>413</v>
      </c>
      <c r="E181" s="32">
        <f t="shared" si="94"/>
        <v>-4.8192771084337354E-3</v>
      </c>
      <c r="F181" s="18">
        <f>IF(ISNUMBER(D181), $B199 * E181, "")</f>
        <v>-722.89156626506031</v>
      </c>
      <c r="G181" s="31">
        <v>414</v>
      </c>
      <c r="H181" s="32">
        <f t="shared" si="95"/>
        <v>-2.4096385542168677E-3</v>
      </c>
      <c r="I181" s="91">
        <f>IF(ISNUMBER(G181), $B199 * H181, "")</f>
        <v>-361.44578313253015</v>
      </c>
      <c r="J181" s="15">
        <v>413</v>
      </c>
      <c r="K181" s="32">
        <f t="shared" si="96"/>
        <v>-4.8192771084337354E-3</v>
      </c>
      <c r="L181" s="18">
        <f>IF(ISNUMBER(J181), $B199 * K181, "")</f>
        <v>-722.89156626506031</v>
      </c>
      <c r="M181" s="31">
        <v>414</v>
      </c>
      <c r="N181" s="32">
        <f t="shared" si="97"/>
        <v>-2.4096385542168677E-3</v>
      </c>
      <c r="O181" s="18">
        <f>IF(ISNUMBER(M181), $B199 * N181, "")</f>
        <v>-361.44578313253015</v>
      </c>
      <c r="Q181" s="161"/>
      <c r="R181" s="161"/>
      <c r="S181" s="161"/>
    </row>
    <row r="182" spans="1:19" ht="17.25" thickBot="1">
      <c r="A182" s="109" t="s">
        <v>238</v>
      </c>
      <c r="B182" s="110">
        <v>652</v>
      </c>
      <c r="C182" s="70">
        <v>-1.2121212100000001E-2</v>
      </c>
      <c r="D182" s="15">
        <v>649</v>
      </c>
      <c r="E182" s="32">
        <f t="shared" si="94"/>
        <v>-4.601226993865031E-3</v>
      </c>
      <c r="F182" s="18">
        <f>IF(ISNUMBER(D182), $B199 * E182, "")</f>
        <v>-690.18404907975469</v>
      </c>
      <c r="G182" s="31">
        <v>647</v>
      </c>
      <c r="H182" s="32">
        <f t="shared" si="95"/>
        <v>-7.6687116564417178E-3</v>
      </c>
      <c r="I182" s="91">
        <f>IF(ISNUMBER(G182), $B199 * H182, "")</f>
        <v>-1150.3067484662577</v>
      </c>
      <c r="J182" s="15">
        <v>644</v>
      </c>
      <c r="K182" s="32">
        <f t="shared" si="96"/>
        <v>-1.2269938650306749E-2</v>
      </c>
      <c r="L182" s="18">
        <f>IF(ISNUMBER(J182), $B199 * K182, "")</f>
        <v>-1840.4907975460123</v>
      </c>
      <c r="M182" s="31">
        <v>647</v>
      </c>
      <c r="N182" s="32">
        <f t="shared" si="97"/>
        <v>-7.6687116564417178E-3</v>
      </c>
      <c r="O182" s="18">
        <f>IF(ISNUMBER(M182), $B199 * N182, "")</f>
        <v>-1150.3067484662577</v>
      </c>
      <c r="Q182" s="161"/>
      <c r="R182" s="161"/>
      <c r="S182" s="161"/>
    </row>
    <row r="183" spans="1:19" ht="17.25" thickBot="1">
      <c r="A183" s="111" t="s">
        <v>109</v>
      </c>
      <c r="B183" s="112">
        <v>1215</v>
      </c>
      <c r="C183" s="71">
        <v>-1.2195121999999999E-2</v>
      </c>
      <c r="D183" s="20">
        <v>1210</v>
      </c>
      <c r="E183" s="21">
        <f t="shared" si="94"/>
        <v>-4.11522633744856E-3</v>
      </c>
      <c r="F183" s="22">
        <f>IF(ISNUMBER(D183), $B199 * E183, "")</f>
        <v>-617.28395061728395</v>
      </c>
      <c r="G183" s="30">
        <v>1200</v>
      </c>
      <c r="H183" s="21">
        <f t="shared" si="95"/>
        <v>-1.2345679012345678E-2</v>
      </c>
      <c r="I183" s="95">
        <f>IF(ISNUMBER(G183), $B199 * H183, "")</f>
        <v>-1851.8518518518517</v>
      </c>
      <c r="J183" s="20">
        <v>1195</v>
      </c>
      <c r="K183" s="21">
        <f t="shared" si="96"/>
        <v>-1.646090534979424E-2</v>
      </c>
      <c r="L183" s="22">
        <f>IF(ISNUMBER(J183), $B199 * K183, "")</f>
        <v>-2469.1358024691358</v>
      </c>
      <c r="M183" s="30">
        <v>1200</v>
      </c>
      <c r="N183" s="21">
        <f t="shared" si="97"/>
        <v>-1.2345679012345678E-2</v>
      </c>
      <c r="O183" s="22">
        <f>IF(ISNUMBER(M183), $B199 * N183, "")</f>
        <v>-1851.8518518518517</v>
      </c>
      <c r="Q183" s="161"/>
      <c r="R183" s="161"/>
      <c r="S183" s="161"/>
    </row>
    <row r="184" spans="1:19" ht="17.25" thickBot="1">
      <c r="A184" s="109" t="s">
        <v>333</v>
      </c>
      <c r="B184" s="113">
        <v>64.7</v>
      </c>
      <c r="C184" s="73">
        <v>-1.22137405E-2</v>
      </c>
      <c r="D184" s="96">
        <v>64.5</v>
      </c>
      <c r="E184" s="97">
        <f>IF(ISNUMBER(D184), (D184 - $B184) / $B184, "")</f>
        <v>-3.0911901081916975E-3</v>
      </c>
      <c r="F184" s="98">
        <f>IF(ISNUMBER(D184), $B199 * E184, "")</f>
        <v>-463.67851622875463</v>
      </c>
      <c r="G184" s="99">
        <v>63.8</v>
      </c>
      <c r="H184" s="97">
        <f>IF(ISNUMBER(G184), (G184 - $B184) / $B184, "")</f>
        <v>-1.3910355486862529E-2</v>
      </c>
      <c r="I184" s="100">
        <f>IF(ISNUMBER(G184), $B199 * H184, "")</f>
        <v>-2086.5533230293795</v>
      </c>
      <c r="J184" s="96">
        <v>64</v>
      </c>
      <c r="K184" s="97">
        <f>IF(ISNUMBER(J184), (J184 - $B184) / $B184, "")</f>
        <v>-1.0819165378670831E-2</v>
      </c>
      <c r="L184" s="98">
        <f>IF(ISNUMBER(J184), $B199 * K184, "")</f>
        <v>-1622.8748068006246</v>
      </c>
      <c r="M184" s="99">
        <v>63.8</v>
      </c>
      <c r="N184" s="97">
        <f>IF(ISNUMBER(M184), (M184 - $B184) / $B184, "")</f>
        <v>-1.3910355486862529E-2</v>
      </c>
      <c r="O184" s="98">
        <f>IF(ISNUMBER(M184), $B199 * N184, "")</f>
        <v>-2086.5533230293795</v>
      </c>
      <c r="Q184" s="161"/>
      <c r="R184" s="161"/>
      <c r="S184" s="161"/>
    </row>
    <row r="185" spans="1:19" ht="17.25" thickBot="1">
      <c r="A185" s="109" t="s">
        <v>93</v>
      </c>
      <c r="B185" s="110">
        <v>1714000</v>
      </c>
      <c r="C185" s="70">
        <v>-1.23883607E-2</v>
      </c>
      <c r="D185" s="15">
        <v>1695500</v>
      </c>
      <c r="E185" s="32">
        <f t="shared" ref="E185:E188" si="98">IF(ISNUMBER(D185), (D185 - $B185) / $B185, "")</f>
        <v>-1.0793465577596266E-2</v>
      </c>
      <c r="F185" s="18">
        <f>IF(ISNUMBER(D185), $B199 * E185, "")</f>
        <v>-1619.01983663944</v>
      </c>
      <c r="G185" s="31">
        <v>1693500</v>
      </c>
      <c r="H185" s="32">
        <f t="shared" ref="H185:H188" si="99">IF(ISNUMBER(G185), (G185 - $B185) / $B185, "")</f>
        <v>-1.1960326721120186E-2</v>
      </c>
      <c r="I185" s="91">
        <f>IF(ISNUMBER(G185), $B199 * H185, "")</f>
        <v>-1794.049008168028</v>
      </c>
      <c r="J185" s="15">
        <v>1686000</v>
      </c>
      <c r="K185" s="32">
        <f t="shared" ref="K185:K188" si="100">IF(ISNUMBER(J185), (J185 - $B185) / $B185, "")</f>
        <v>-1.6336056009334889E-2</v>
      </c>
      <c r="L185" s="18">
        <f>IF(ISNUMBER(J185), $B199 * K185, "")</f>
        <v>-2450.4084014002333</v>
      </c>
      <c r="M185" s="31">
        <v>1691000</v>
      </c>
      <c r="N185" s="32">
        <f t="shared" ref="N185:N188" si="101">IF(ISNUMBER(M185), (M185 - $B185) / $B185, "")</f>
        <v>-1.3418903150525088E-2</v>
      </c>
      <c r="O185" s="18">
        <f>IF(ISNUMBER(M185), $B199 * N185, "")</f>
        <v>-2012.8354725787633</v>
      </c>
      <c r="Q185" s="161"/>
      <c r="R185" s="161"/>
      <c r="S185" s="161"/>
    </row>
    <row r="186" spans="1:19" ht="17.25" thickBot="1">
      <c r="A186" s="109" t="s">
        <v>85</v>
      </c>
      <c r="B186" s="110">
        <v>225</v>
      </c>
      <c r="C186" s="70">
        <v>-1.3157894700000001E-2</v>
      </c>
      <c r="D186" s="15">
        <v>224</v>
      </c>
      <c r="E186" s="32">
        <f t="shared" si="98"/>
        <v>-4.4444444444444444E-3</v>
      </c>
      <c r="F186" s="18">
        <f>IF(ISNUMBER(D186), $B199 * E186, "")</f>
        <v>-666.66666666666663</v>
      </c>
      <c r="G186" s="31">
        <v>223</v>
      </c>
      <c r="H186" s="32">
        <f t="shared" si="99"/>
        <v>-8.8888888888888889E-3</v>
      </c>
      <c r="I186" s="91">
        <f>IF(ISNUMBER(G186), $B199 * H186, "")</f>
        <v>-1333.3333333333333</v>
      </c>
      <c r="J186" s="15">
        <v>224</v>
      </c>
      <c r="K186" s="32">
        <f t="shared" si="100"/>
        <v>-4.4444444444444444E-3</v>
      </c>
      <c r="L186" s="18">
        <f>IF(ISNUMBER(J186), $B199 * K186, "")</f>
        <v>-666.66666666666663</v>
      </c>
      <c r="M186" s="31">
        <v>223</v>
      </c>
      <c r="N186" s="32">
        <f t="shared" si="101"/>
        <v>-8.8888888888888889E-3</v>
      </c>
      <c r="O186" s="18">
        <f>IF(ISNUMBER(M186), $B199 * N186, "")</f>
        <v>-1333.3333333333333</v>
      </c>
      <c r="Q186" s="161"/>
      <c r="R186" s="161"/>
      <c r="S186" s="161"/>
    </row>
    <row r="187" spans="1:19" ht="17.25" thickBot="1">
      <c r="A187" s="109" t="s">
        <v>130</v>
      </c>
      <c r="B187" s="110">
        <v>883</v>
      </c>
      <c r="C187" s="70">
        <v>-1.56075808E-2</v>
      </c>
      <c r="D187" s="15">
        <v>887</v>
      </c>
      <c r="E187" s="32">
        <f t="shared" si="98"/>
        <v>4.5300113250283129E-3</v>
      </c>
      <c r="F187" s="18">
        <f>IF(ISNUMBER(D187), $B199 * E187, "")</f>
        <v>679.50169875424695</v>
      </c>
      <c r="G187" s="31">
        <v>882</v>
      </c>
      <c r="H187" s="32">
        <f t="shared" si="99"/>
        <v>-1.1325028312570782E-3</v>
      </c>
      <c r="I187" s="91">
        <f>IF(ISNUMBER(G187), $B199 * H187, "")</f>
        <v>-169.87542468856174</v>
      </c>
      <c r="J187" s="15">
        <v>886</v>
      </c>
      <c r="K187" s="32">
        <f t="shared" si="100"/>
        <v>3.3975084937712344E-3</v>
      </c>
      <c r="L187" s="18">
        <f>IF(ISNUMBER(J187), $B199 * K187, "")</f>
        <v>509.62627406568515</v>
      </c>
      <c r="M187" s="31">
        <v>876</v>
      </c>
      <c r="N187" s="32">
        <f t="shared" si="101"/>
        <v>-7.9275198187995465E-3</v>
      </c>
      <c r="O187" s="18">
        <f>IF(ISNUMBER(M187), $B199 * N187, "")</f>
        <v>-1189.127972819932</v>
      </c>
      <c r="Q187" s="33"/>
      <c r="R187" s="33"/>
    </row>
    <row r="188" spans="1:19" ht="17.25" thickBot="1">
      <c r="A188" s="114" t="s">
        <v>220</v>
      </c>
      <c r="B188" s="115">
        <v>80.2</v>
      </c>
      <c r="C188" s="72">
        <v>-1.59509202E-2</v>
      </c>
      <c r="D188" s="24">
        <v>80</v>
      </c>
      <c r="E188" s="25">
        <f t="shared" si="98"/>
        <v>-2.4937655860349482E-3</v>
      </c>
      <c r="F188" s="94">
        <f>IF(ISNUMBER(D188), $B199 * E188, "")</f>
        <v>-374.06483790524226</v>
      </c>
      <c r="G188" s="92">
        <v>79.8</v>
      </c>
      <c r="H188" s="25">
        <f t="shared" si="99"/>
        <v>-4.9875311720698964E-3</v>
      </c>
      <c r="I188" s="93">
        <f>IF(ISNUMBER(G188), $B199 * H188, "")</f>
        <v>-748.12967581048451</v>
      </c>
      <c r="J188" s="24">
        <v>79.599999999999994</v>
      </c>
      <c r="K188" s="25">
        <f t="shared" si="100"/>
        <v>-7.4812967581048438E-3</v>
      </c>
      <c r="L188" s="94">
        <f>IF(ISNUMBER(J188), $B199 * K188, "")</f>
        <v>-1122.1945137157265</v>
      </c>
      <c r="M188" s="92">
        <v>79.8</v>
      </c>
      <c r="N188" s="25">
        <f t="shared" si="101"/>
        <v>-4.9875311720698964E-3</v>
      </c>
      <c r="O188" s="94">
        <f>IF(ISNUMBER(M188), $B199 * N188, "")</f>
        <v>-748.12967581048451</v>
      </c>
      <c r="Q188" s="170"/>
      <c r="R188" s="171"/>
      <c r="S188" s="172"/>
    </row>
    <row r="189" spans="1:19">
      <c r="A189" s="107" t="s">
        <v>111</v>
      </c>
      <c r="B189" s="108">
        <v>796</v>
      </c>
      <c r="C189" s="69">
        <v>-1.6069221299999999E-2</v>
      </c>
      <c r="D189" s="13">
        <v>787</v>
      </c>
      <c r="E189" s="14">
        <f>IF(ISNUMBER(D189), (D189 - $B189) / $B189, "")</f>
        <v>-1.1306532663316583E-2</v>
      </c>
      <c r="F189" s="16">
        <f>IF(ISNUMBER(D189), $B199 * E189, "")</f>
        <v>-1695.9798994974874</v>
      </c>
      <c r="G189" s="29">
        <v>783</v>
      </c>
      <c r="H189" s="14">
        <f>IF(ISNUMBER(G189), (G189 - $B189) / $B189, "")</f>
        <v>-1.6331658291457288E-2</v>
      </c>
      <c r="I189" s="90">
        <f>IF(ISNUMBER(G189), $B199 * H189, "")</f>
        <v>-2449.7487437185932</v>
      </c>
      <c r="J189" s="13">
        <v>780</v>
      </c>
      <c r="K189" s="14">
        <f>IF(ISNUMBER(J189), (J189 - $B189) / $B189, "")</f>
        <v>-2.0100502512562814E-2</v>
      </c>
      <c r="L189" s="16">
        <f>IF(ISNUMBER(J189), $B199 * K189, "")</f>
        <v>-3015.075376884422</v>
      </c>
      <c r="M189" s="29">
        <v>782</v>
      </c>
      <c r="N189" s="14">
        <f>IF(ISNUMBER(M189), (M189 - $B189) / $B189, "")</f>
        <v>-1.7587939698492462E-2</v>
      </c>
      <c r="O189" s="16">
        <f>IF(ISNUMBER(M189), $B199 * N189, "")</f>
        <v>-2638.1909547738692</v>
      </c>
      <c r="Q189" s="173"/>
      <c r="R189" s="174"/>
      <c r="S189" s="175"/>
    </row>
    <row r="190" spans="1:19" ht="17.25" thickBot="1">
      <c r="A190" s="109" t="s">
        <v>228</v>
      </c>
      <c r="B190" s="110">
        <v>67.099999999999994</v>
      </c>
      <c r="C190" s="70">
        <v>-1.6129032299999999E-2</v>
      </c>
      <c r="D190" s="15">
        <v>66.599999999999994</v>
      </c>
      <c r="E190" s="32">
        <f t="shared" ref="E190:E193" si="102">IF(ISNUMBER(D190), (D190 - $B190) / $B190, "")</f>
        <v>-7.4515648286140098E-3</v>
      </c>
      <c r="F190" s="18">
        <f>IF(ISNUMBER(D190), $B199 * E190, "")</f>
        <v>-1117.7347242921014</v>
      </c>
      <c r="G190" s="31">
        <v>66.599999999999994</v>
      </c>
      <c r="H190" s="32">
        <f t="shared" ref="H190:H193" si="103">IF(ISNUMBER(G190), (G190 - $B190) / $B190, "")</f>
        <v>-7.4515648286140098E-3</v>
      </c>
      <c r="I190" s="91">
        <f>IF(ISNUMBER(G190), $B199 * H190, "")</f>
        <v>-1117.7347242921014</v>
      </c>
      <c r="J190" s="15">
        <v>66.5</v>
      </c>
      <c r="K190" s="32">
        <f t="shared" ref="K190:K193" si="104">IF(ISNUMBER(J190), (J190 - $B190) / $B190, "")</f>
        <v>-8.9418777943367275E-3</v>
      </c>
      <c r="L190" s="18">
        <f>IF(ISNUMBER(J190), $B199 * K190, "")</f>
        <v>-1341.2816691505091</v>
      </c>
      <c r="M190" s="31">
        <v>66.3</v>
      </c>
      <c r="N190" s="32">
        <f t="shared" ref="N190:N193" si="105">IF(ISNUMBER(M190), (M190 - $B190) / $B190, "")</f>
        <v>-1.1922503725782373E-2</v>
      </c>
      <c r="O190" s="18">
        <f>IF(ISNUMBER(M190), $B199 * N190, "")</f>
        <v>-1788.3755588673559</v>
      </c>
      <c r="Q190" s="176"/>
      <c r="R190" s="177"/>
      <c r="S190" s="178"/>
    </row>
    <row r="191" spans="1:19" ht="17.25" thickBot="1">
      <c r="A191" s="109" t="s">
        <v>232</v>
      </c>
      <c r="B191" s="110">
        <v>302</v>
      </c>
      <c r="C191" s="70">
        <v>-1.6286644999999999E-2</v>
      </c>
      <c r="D191" s="15">
        <v>301</v>
      </c>
      <c r="E191" s="32">
        <f t="shared" si="102"/>
        <v>-3.3112582781456954E-3</v>
      </c>
      <c r="F191" s="18">
        <f>IF(ISNUMBER(D191), $B199 * E191, "")</f>
        <v>-496.68874172185429</v>
      </c>
      <c r="G191" s="31">
        <v>301</v>
      </c>
      <c r="H191" s="32">
        <f t="shared" si="103"/>
        <v>-3.3112582781456954E-3</v>
      </c>
      <c r="I191" s="91">
        <f>IF(ISNUMBER(G191), $B199 * H191, "")</f>
        <v>-496.68874172185429</v>
      </c>
      <c r="J191" s="15">
        <v>298</v>
      </c>
      <c r="K191" s="32">
        <f t="shared" si="104"/>
        <v>-1.3245033112582781E-2</v>
      </c>
      <c r="L191" s="18">
        <f>IF(ISNUMBER(J191), $B199 * K191, "")</f>
        <v>-1986.7549668874171</v>
      </c>
      <c r="M191" s="31">
        <v>300</v>
      </c>
      <c r="N191" s="32">
        <f t="shared" si="105"/>
        <v>-6.6225165562913907E-3</v>
      </c>
      <c r="O191" s="18">
        <f>IF(ISNUMBER(M191), $B199 * N191, "")</f>
        <v>-993.37748344370857</v>
      </c>
      <c r="Q191" s="161"/>
      <c r="R191" s="161"/>
      <c r="S191" s="161"/>
    </row>
    <row r="192" spans="1:19" ht="17.25" thickBot="1">
      <c r="A192" s="109" t="s">
        <v>320</v>
      </c>
      <c r="B192" s="110">
        <v>2315</v>
      </c>
      <c r="C192" s="70">
        <v>-1.6985138E-2</v>
      </c>
      <c r="D192" s="15">
        <v>2290</v>
      </c>
      <c r="E192" s="32">
        <f t="shared" si="102"/>
        <v>-1.079913606911447E-2</v>
      </c>
      <c r="F192" s="18">
        <f>IF(ISNUMBER(D192), $B199 * E192, "")</f>
        <v>-1619.8704103671705</v>
      </c>
      <c r="G192" s="31">
        <v>2275</v>
      </c>
      <c r="H192" s="32">
        <f t="shared" si="103"/>
        <v>-1.7278617710583154E-2</v>
      </c>
      <c r="I192" s="91">
        <f>IF(ISNUMBER(G192), $B199 * H192, "")</f>
        <v>-2591.7926565874732</v>
      </c>
      <c r="J192" s="15">
        <v>2260</v>
      </c>
      <c r="K192" s="32">
        <f t="shared" si="104"/>
        <v>-2.3758099352051837E-2</v>
      </c>
      <c r="L192" s="18">
        <f>IF(ISNUMBER(J192), $B199 * K192, "")</f>
        <v>-3563.7149028077756</v>
      </c>
      <c r="M192" s="31">
        <v>2275</v>
      </c>
      <c r="N192" s="32">
        <f t="shared" si="105"/>
        <v>-1.7278617710583154E-2</v>
      </c>
      <c r="O192" s="18">
        <f>IF(ISNUMBER(M192), $B199 * N192, "")</f>
        <v>-2591.7926565874732</v>
      </c>
      <c r="Q192" s="156"/>
      <c r="R192" s="156"/>
      <c r="S192" s="156"/>
    </row>
    <row r="193" spans="1:19" ht="17.25" thickBot="1">
      <c r="A193" s="111" t="s">
        <v>224</v>
      </c>
      <c r="B193" s="112">
        <v>22.2</v>
      </c>
      <c r="C193" s="71">
        <v>-1.7699115000000001E-2</v>
      </c>
      <c r="D193" s="20">
        <v>22</v>
      </c>
      <c r="E193" s="21">
        <f t="shared" si="102"/>
        <v>-9.0090090090089777E-3</v>
      </c>
      <c r="F193" s="22">
        <f>IF(ISNUMBER(D193), $B199 * E193, "")</f>
        <v>-1351.3513513513467</v>
      </c>
      <c r="G193" s="30">
        <v>22.1</v>
      </c>
      <c r="H193" s="21">
        <f t="shared" si="103"/>
        <v>-4.5045045045044091E-3</v>
      </c>
      <c r="I193" s="95">
        <f>IF(ISNUMBER(G193), $B199 * H193, "")</f>
        <v>-675.67567567566141</v>
      </c>
      <c r="J193" s="20">
        <v>22.1</v>
      </c>
      <c r="K193" s="21">
        <f t="shared" si="104"/>
        <v>-4.5045045045044091E-3</v>
      </c>
      <c r="L193" s="22">
        <f>IF(ISNUMBER(J193), $B199 * K193, "")</f>
        <v>-675.67567567566141</v>
      </c>
      <c r="M193" s="30">
        <v>22.2</v>
      </c>
      <c r="N193" s="21">
        <f t="shared" si="105"/>
        <v>0</v>
      </c>
      <c r="O193" s="22">
        <f>IF(ISNUMBER(M193), $B199 * N193, "")</f>
        <v>0</v>
      </c>
      <c r="Q193" s="156"/>
      <c r="R193" s="156"/>
      <c r="S193" s="156"/>
    </row>
    <row r="194" spans="1:19" ht="17.25" thickBot="1">
      <c r="A194" s="109" t="s">
        <v>322</v>
      </c>
      <c r="B194" s="113">
        <v>86300</v>
      </c>
      <c r="C194" s="73">
        <v>-1.7755520100000002E-2</v>
      </c>
      <c r="D194" s="96">
        <v>86360</v>
      </c>
      <c r="E194" s="97">
        <f>IF(ISNUMBER(D194), (D194 - $B194) / $B194, "")</f>
        <v>6.9524913093858636E-4</v>
      </c>
      <c r="F194" s="98">
        <f>IF(ISNUMBER(D194), $B199 * E194, "")</f>
        <v>104.28736964078796</v>
      </c>
      <c r="G194" s="99">
        <v>86180</v>
      </c>
      <c r="H194" s="97">
        <f>IF(ISNUMBER(G194), (G194 - $B194) / $B194, "")</f>
        <v>-1.3904982618771727E-3</v>
      </c>
      <c r="I194" s="100">
        <f>IF(ISNUMBER(G194), $B199 * H194, "")</f>
        <v>-208.57473928157592</v>
      </c>
      <c r="J194" s="96">
        <v>85460</v>
      </c>
      <c r="K194" s="97">
        <f>IF(ISNUMBER(J194), (J194 - $B194) / $B194, "")</f>
        <v>-9.7334878331402086E-3</v>
      </c>
      <c r="L194" s="98">
        <f>IF(ISNUMBER(J194), $B199 * K194, "")</f>
        <v>-1460.0231749710313</v>
      </c>
      <c r="M194" s="99">
        <v>85630</v>
      </c>
      <c r="N194" s="97">
        <f>IF(ISNUMBER(M194), (M194 - $B194) / $B194, "")</f>
        <v>-7.7636152954808808E-3</v>
      </c>
      <c r="O194" s="98">
        <f>IF(ISNUMBER(M194), $B199 * N194, "")</f>
        <v>-1164.5422943221322</v>
      </c>
      <c r="Q194" s="161"/>
      <c r="R194" s="161"/>
      <c r="S194" s="161"/>
    </row>
    <row r="195" spans="1:19" ht="17.25" thickBot="1">
      <c r="A195" s="109" t="s">
        <v>163</v>
      </c>
      <c r="B195" s="110">
        <v>7535</v>
      </c>
      <c r="C195" s="70">
        <v>-1.88802083E-2</v>
      </c>
      <c r="D195" s="15">
        <v>7590</v>
      </c>
      <c r="E195" s="32">
        <f t="shared" ref="E195:E198" si="106">IF(ISNUMBER(D195), (D195 - $B195) / $B195, "")</f>
        <v>7.2992700729927005E-3</v>
      </c>
      <c r="F195" s="18">
        <f>IF(ISNUMBER(D195), $B199 * E195, "")</f>
        <v>1094.8905109489051</v>
      </c>
      <c r="G195" s="31">
        <v>7570</v>
      </c>
      <c r="H195" s="32">
        <f t="shared" ref="H195:H198" si="107">IF(ISNUMBER(G195), (G195 - $B195) / $B195, "")</f>
        <v>4.6449900464499002E-3</v>
      </c>
      <c r="I195" s="91">
        <f>IF(ISNUMBER(G195), $B199 * H195, "")</f>
        <v>696.74850696748501</v>
      </c>
      <c r="J195" s="15">
        <v>7550</v>
      </c>
      <c r="K195" s="32">
        <f t="shared" ref="K195:K198" si="108">IF(ISNUMBER(J195), (J195 - $B195) / $B195, "")</f>
        <v>1.9907100199071004E-3</v>
      </c>
      <c r="L195" s="18">
        <f>IF(ISNUMBER(J195), $B199 * K195, "")</f>
        <v>298.60650298606504</v>
      </c>
      <c r="M195" s="31">
        <v>7560</v>
      </c>
      <c r="N195" s="32">
        <f t="shared" ref="N195:N198" si="109">IF(ISNUMBER(M195), (M195 - $B195) / $B195, "")</f>
        <v>3.3178500331785005E-3</v>
      </c>
      <c r="O195" s="18">
        <f>IF(ISNUMBER(M195), $B199 * N195, "")</f>
        <v>497.67750497677508</v>
      </c>
      <c r="Q195" s="161"/>
      <c r="R195" s="161"/>
      <c r="S195" s="161"/>
    </row>
    <row r="196" spans="1:19" ht="17.25" thickBot="1">
      <c r="A196" s="109" t="s">
        <v>204</v>
      </c>
      <c r="B196" s="110">
        <v>276</v>
      </c>
      <c r="C196" s="70">
        <v>-2.1276595700000001E-2</v>
      </c>
      <c r="D196" s="15">
        <v>275</v>
      </c>
      <c r="E196" s="32">
        <f t="shared" si="106"/>
        <v>-3.6231884057971015E-3</v>
      </c>
      <c r="F196" s="18">
        <f>IF(ISNUMBER(D196), $B199 * E196, "")</f>
        <v>-543.47826086956525</v>
      </c>
      <c r="G196" s="31">
        <v>274</v>
      </c>
      <c r="H196" s="32">
        <f t="shared" si="107"/>
        <v>-7.246376811594203E-3</v>
      </c>
      <c r="I196" s="91">
        <f>IF(ISNUMBER(G196), $B199 * H196, "")</f>
        <v>-1086.9565217391305</v>
      </c>
      <c r="J196" s="15">
        <v>273</v>
      </c>
      <c r="K196" s="32">
        <f t="shared" si="108"/>
        <v>-1.0869565217391304E-2</v>
      </c>
      <c r="L196" s="18">
        <f>IF(ISNUMBER(J196), $B199 * K196, "")</f>
        <v>-1630.4347826086955</v>
      </c>
      <c r="M196" s="31">
        <v>273</v>
      </c>
      <c r="N196" s="32">
        <f t="shared" si="109"/>
        <v>-1.0869565217391304E-2</v>
      </c>
      <c r="O196" s="18">
        <f>IF(ISNUMBER(M196), $B199 * N196, "")</f>
        <v>-1630.4347826086955</v>
      </c>
      <c r="Q196" s="161"/>
      <c r="R196" s="161"/>
      <c r="S196" s="161"/>
    </row>
    <row r="197" spans="1:19">
      <c r="A197" s="109" t="s">
        <v>75</v>
      </c>
      <c r="B197" s="110">
        <v>9975</v>
      </c>
      <c r="C197" s="70">
        <v>-2.30166503E-2</v>
      </c>
      <c r="D197" s="15">
        <v>9930</v>
      </c>
      <c r="E197" s="32">
        <f t="shared" si="106"/>
        <v>-4.5112781954887221E-3</v>
      </c>
      <c r="F197" s="18">
        <f>IF(ISNUMBER(D197), $B199 * E197, "")</f>
        <v>-676.69172932330832</v>
      </c>
      <c r="G197" s="31">
        <v>9870</v>
      </c>
      <c r="H197" s="32">
        <f t="shared" si="107"/>
        <v>-1.0526315789473684E-2</v>
      </c>
      <c r="I197" s="91">
        <f>IF(ISNUMBER(G197), $B199 * H197, "")</f>
        <v>-1578.9473684210525</v>
      </c>
      <c r="J197" s="15">
        <v>9800</v>
      </c>
      <c r="K197" s="32">
        <f t="shared" si="108"/>
        <v>-1.7543859649122806E-2</v>
      </c>
      <c r="L197" s="18">
        <f>IF(ISNUMBER(J197), $B199 * K197, "")</f>
        <v>-2631.5789473684208</v>
      </c>
      <c r="M197" s="31">
        <v>9870</v>
      </c>
      <c r="N197" s="32">
        <f t="shared" si="109"/>
        <v>-1.0526315789473684E-2</v>
      </c>
      <c r="O197" s="18">
        <f>IF(ISNUMBER(M197), $B199 * N197, "")</f>
        <v>-1578.9473684210525</v>
      </c>
      <c r="Q197" s="183"/>
      <c r="R197" s="184"/>
      <c r="S197" s="185"/>
    </row>
    <row r="198" spans="1:19" ht="17.25" thickBot="1">
      <c r="A198" s="114" t="s">
        <v>107</v>
      </c>
      <c r="B198" s="115">
        <v>44.8</v>
      </c>
      <c r="C198" s="72">
        <v>-2.6086956500000001E-2</v>
      </c>
      <c r="D198" s="24">
        <v>43.9</v>
      </c>
      <c r="E198" s="25">
        <f t="shared" si="106"/>
        <v>-2.0089285714285685E-2</v>
      </c>
      <c r="F198" s="94">
        <f>IF(ISNUMBER(D198), $B199 * E198, "")</f>
        <v>-3013.3928571428528</v>
      </c>
      <c r="G198" s="92">
        <v>44.2</v>
      </c>
      <c r="H198" s="25">
        <f t="shared" si="107"/>
        <v>-1.3392857142857017E-2</v>
      </c>
      <c r="I198" s="93">
        <f>IF(ISNUMBER(G198), $B199 * H198, "")</f>
        <v>-2008.9285714285527</v>
      </c>
      <c r="J198" s="24">
        <v>44.2</v>
      </c>
      <c r="K198" s="25">
        <f t="shared" si="108"/>
        <v>-1.3392857142857017E-2</v>
      </c>
      <c r="L198" s="94">
        <f>IF(ISNUMBER(J198), $B199 * K198, "")</f>
        <v>-2008.9285714285527</v>
      </c>
      <c r="M198" s="92">
        <v>44.3</v>
      </c>
      <c r="N198" s="25">
        <f t="shared" si="109"/>
        <v>-1.1160714285714286E-2</v>
      </c>
      <c r="O198" s="94">
        <f>IF(ISNUMBER(M198), $B199 * N198, "")</f>
        <v>-1674.1071428571429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-5.0479564157317903E-3</v>
      </c>
      <c r="F199" s="28">
        <f>SUM(F179:F198)</f>
        <v>-15143.869247195373</v>
      </c>
      <c r="G199" s="26" t="s">
        <v>261</v>
      </c>
      <c r="H199" s="27">
        <f>IF(COUNT(H179:H198), SUM(H179:H198) / COUNT(H179:H198), 0)</f>
        <v>-8.1534243186025049E-3</v>
      </c>
      <c r="I199" s="28">
        <f>SUM(I179:I198)</f>
        <v>-24460.272955807519</v>
      </c>
      <c r="J199" s="26" t="s">
        <v>261</v>
      </c>
      <c r="K199" s="27">
        <f>IF(COUNT(K179:K198), SUM(K179:K198) / COUNT(K179:K198), 0)</f>
        <v>-1.081544213900759E-2</v>
      </c>
      <c r="L199" s="28">
        <f>SUM(L179:L198)</f>
        <v>-32446.326417022778</v>
      </c>
      <c r="M199" s="26" t="s">
        <v>261</v>
      </c>
      <c r="N199" s="27">
        <f>IF(COUNT(N179:N198), SUM(N179:N198) / COUNT(N179:N198), 0)</f>
        <v>-9.0985582993090633E-3</v>
      </c>
      <c r="O199" s="28">
        <f>SUM(O179:O198)</f>
        <v>-27295.674897927187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0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0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0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0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83" priority="157">
      <formula>AND($N17 &gt; 0, ISNUMBER($N17))</formula>
    </cfRule>
    <cfRule type="expression" dxfId="4082" priority="158">
      <formula>AND($N17 = 0 * ISNUMBER($N17))</formula>
    </cfRule>
    <cfRule type="expression" dxfId="4081" priority="159">
      <formula>AND($N17 &lt; 0, ISNUMBER($N17))</formula>
    </cfRule>
  </conditionalFormatting>
  <conditionalFormatting sqref="A17:F36">
    <cfRule type="expression" dxfId="4080" priority="166">
      <formula>AND($E17 &gt; 0, ISNUMBER($E17))</formula>
    </cfRule>
    <cfRule type="expression" dxfId="4079" priority="167">
      <formula>AND($E17 = 0 * ISNUMBER($E17))</formula>
    </cfRule>
    <cfRule type="expression" dxfId="4078" priority="168">
      <formula>AND($E17 &lt; 0, ISNUMBER($E17))</formula>
    </cfRule>
  </conditionalFormatting>
  <conditionalFormatting sqref="A17:C36 G17:I36">
    <cfRule type="expression" dxfId="4077" priority="163">
      <formula>AND($H17 &gt; 0, ISNUMBER($H17))</formula>
    </cfRule>
    <cfRule type="expression" dxfId="4076" priority="164">
      <formula>AND($H17 = 0 * ISNUMBER($H17))</formula>
    </cfRule>
    <cfRule type="expression" dxfId="4075" priority="165">
      <formula>AND($H17 &lt; 0, ISNUMBER($H17))</formula>
    </cfRule>
  </conditionalFormatting>
  <conditionalFormatting sqref="A17:C36 J17:L36">
    <cfRule type="expression" dxfId="4074" priority="160">
      <formula>AND($K17 &gt; 0, ISNUMBER($K17))</formula>
    </cfRule>
    <cfRule type="expression" dxfId="4073" priority="161">
      <formula>AND($K17 = 0 * ISNUMBER($K17))</formula>
    </cfRule>
    <cfRule type="expression" dxfId="4072" priority="162">
      <formula>AND($K17 &lt; 0, ISNUMBER($K17))</formula>
    </cfRule>
  </conditionalFormatting>
  <conditionalFormatting sqref="D15:F16 E37:F37">
    <cfRule type="expression" dxfId="4071" priority="154">
      <formula>$E$37 &gt; 0</formula>
    </cfRule>
    <cfRule type="expression" dxfId="4070" priority="155">
      <formula>$E$37 = 0</formula>
    </cfRule>
    <cfRule type="expression" dxfId="4069" priority="156">
      <formula>$E$37 &lt; 0</formula>
    </cfRule>
  </conditionalFormatting>
  <conditionalFormatting sqref="G15:I16 H37:I37">
    <cfRule type="expression" dxfId="4068" priority="151">
      <formula>$H$37 &gt; 0</formula>
    </cfRule>
    <cfRule type="expression" dxfId="4067" priority="152">
      <formula>$H$37 = 0</formula>
    </cfRule>
    <cfRule type="expression" dxfId="4066" priority="153">
      <formula>$H$37 &lt; 0</formula>
    </cfRule>
  </conditionalFormatting>
  <conditionalFormatting sqref="J15:L16 K37:L37">
    <cfRule type="expression" dxfId="4065" priority="148">
      <formula>$K$37 &gt; 0</formula>
    </cfRule>
    <cfRule type="expression" dxfId="4064" priority="149">
      <formula>$K$37 = 0</formula>
    </cfRule>
    <cfRule type="expression" dxfId="4063" priority="150">
      <formula>$K$37 &lt; 0</formula>
    </cfRule>
  </conditionalFormatting>
  <conditionalFormatting sqref="M15:O16 N37:O37">
    <cfRule type="expression" dxfId="4062" priority="145">
      <formula>$N$37 &gt; 0</formula>
    </cfRule>
    <cfRule type="expression" dxfId="4061" priority="146">
      <formula>$N$37 = 0</formula>
    </cfRule>
    <cfRule type="expression" dxfId="4060" priority="147">
      <formula>$N$37 &lt; 0</formula>
    </cfRule>
  </conditionalFormatting>
  <conditionalFormatting sqref="A44:C63 M44:O63">
    <cfRule type="expression" dxfId="4059" priority="133">
      <formula>AND($N44 &gt; 0, ISNUMBER($N44))</formula>
    </cfRule>
    <cfRule type="expression" dxfId="4058" priority="134">
      <formula>AND($N44 = 0 * ISNUMBER($N44))</formula>
    </cfRule>
    <cfRule type="expression" dxfId="4057" priority="135">
      <formula>AND($N44 &lt; 0, ISNUMBER($N44))</formula>
    </cfRule>
  </conditionalFormatting>
  <conditionalFormatting sqref="A44:F63">
    <cfRule type="expression" dxfId="4056" priority="142">
      <formula>AND($E44 &gt; 0, ISNUMBER($E44))</formula>
    </cfRule>
    <cfRule type="expression" dxfId="4055" priority="143">
      <formula>AND($E44 = 0 * ISNUMBER($E44))</formula>
    </cfRule>
    <cfRule type="expression" dxfId="4054" priority="144">
      <formula>AND($E44 &lt; 0, ISNUMBER($E44))</formula>
    </cfRule>
  </conditionalFormatting>
  <conditionalFormatting sqref="A44:C63 G44:I63">
    <cfRule type="expression" dxfId="4053" priority="139">
      <formula>AND($H44 &gt; 0, ISNUMBER($H44))</formula>
    </cfRule>
    <cfRule type="expression" dxfId="4052" priority="140">
      <formula>AND($H44 = 0 * ISNUMBER($H44))</formula>
    </cfRule>
    <cfRule type="expression" dxfId="4051" priority="141">
      <formula>AND($H44 &lt; 0, ISNUMBER($H44))</formula>
    </cfRule>
  </conditionalFormatting>
  <conditionalFormatting sqref="A44:C63 J44:L63">
    <cfRule type="expression" dxfId="4050" priority="136">
      <formula>AND($K44 &gt; 0, ISNUMBER($K44))</formula>
    </cfRule>
    <cfRule type="expression" dxfId="4049" priority="137">
      <formula>AND($K44 = 0 * ISNUMBER($K44))</formula>
    </cfRule>
    <cfRule type="expression" dxfId="4048" priority="138">
      <formula>AND($K44 &lt; 0, ISNUMBER($K44))</formula>
    </cfRule>
  </conditionalFormatting>
  <conditionalFormatting sqref="D42:F43 E64:F64">
    <cfRule type="expression" dxfId="4047" priority="130">
      <formula>$E$64 &gt; 0</formula>
    </cfRule>
    <cfRule type="expression" dxfId="4046" priority="131">
      <formula>$E$64 = 0</formula>
    </cfRule>
    <cfRule type="expression" dxfId="4045" priority="132">
      <formula>$E$64 &lt; 0</formula>
    </cfRule>
  </conditionalFormatting>
  <conditionalFormatting sqref="G42:I43 H64:I64">
    <cfRule type="expression" dxfId="4044" priority="127">
      <formula>$H$64 &gt; 0</formula>
    </cfRule>
    <cfRule type="expression" dxfId="4043" priority="128">
      <formula>$H$64 = 0</formula>
    </cfRule>
    <cfRule type="expression" dxfId="4042" priority="129">
      <formula>$H$64 &lt; 0</formula>
    </cfRule>
  </conditionalFormatting>
  <conditionalFormatting sqref="J42:L43 K64:L64">
    <cfRule type="expression" dxfId="4041" priority="124">
      <formula>$K$64 &gt; 0</formula>
    </cfRule>
    <cfRule type="expression" dxfId="4040" priority="125">
      <formula>$K$64 = 0</formula>
    </cfRule>
    <cfRule type="expression" dxfId="4039" priority="126">
      <formula>$K$64 &lt; 0</formula>
    </cfRule>
  </conditionalFormatting>
  <conditionalFormatting sqref="M42:O43 N64:O64">
    <cfRule type="expression" dxfId="4038" priority="121">
      <formula>$N$64 &gt; 0</formula>
    </cfRule>
    <cfRule type="expression" dxfId="4037" priority="122">
      <formula>$N$64 = 0</formula>
    </cfRule>
    <cfRule type="expression" dxfId="4036" priority="123">
      <formula>$N$64 &lt; 0</formula>
    </cfRule>
  </conditionalFormatting>
  <conditionalFormatting sqref="A71:C90 M71:O90">
    <cfRule type="expression" dxfId="4035" priority="109">
      <formula>AND($N71 &gt; 0, ISNUMBER($N71))</formula>
    </cfRule>
    <cfRule type="expression" dxfId="4034" priority="110">
      <formula>AND($N71 = 0 * ISNUMBER($N71))</formula>
    </cfRule>
    <cfRule type="expression" dxfId="4033" priority="111">
      <formula>AND($N71 &lt; 0, ISNUMBER($N71))</formula>
    </cfRule>
  </conditionalFormatting>
  <conditionalFormatting sqref="A71:F90">
    <cfRule type="expression" dxfId="4032" priority="118">
      <formula>AND($E71 &gt; 0, ISNUMBER($E71))</formula>
    </cfRule>
    <cfRule type="expression" dxfId="4031" priority="119">
      <formula>AND($E71 = 0 * ISNUMBER($E71))</formula>
    </cfRule>
    <cfRule type="expression" dxfId="4030" priority="120">
      <formula>AND($E71 &lt; 0, ISNUMBER($E71))</formula>
    </cfRule>
  </conditionalFormatting>
  <conditionalFormatting sqref="A71:C90 G71:I90">
    <cfRule type="expression" dxfId="4029" priority="115">
      <formula>AND($H71 &gt; 0, ISNUMBER($H71))</formula>
    </cfRule>
    <cfRule type="expression" dxfId="4028" priority="116">
      <formula>AND($H71 = 0 * ISNUMBER($H71))</formula>
    </cfRule>
    <cfRule type="expression" dxfId="4027" priority="117">
      <formula>AND($H71 &lt; 0, ISNUMBER($H71))</formula>
    </cfRule>
  </conditionalFormatting>
  <conditionalFormatting sqref="A71:C90 J71:L90">
    <cfRule type="expression" dxfId="4026" priority="112">
      <formula>AND($K71 &gt; 0, ISNUMBER($K71))</formula>
    </cfRule>
    <cfRule type="expression" dxfId="4025" priority="113">
      <formula>AND($K71 = 0 * ISNUMBER($K71))</formula>
    </cfRule>
    <cfRule type="expression" dxfId="4024" priority="114">
      <formula>AND($K71 &lt; 0, ISNUMBER($K71))</formula>
    </cfRule>
  </conditionalFormatting>
  <conditionalFormatting sqref="D69:F70 E91:F91">
    <cfRule type="expression" dxfId="4023" priority="106">
      <formula>$E$91 &gt; 0</formula>
    </cfRule>
    <cfRule type="expression" dxfId="4022" priority="107">
      <formula>$E$91 = 0</formula>
    </cfRule>
    <cfRule type="expression" dxfId="4021" priority="108">
      <formula>$E$91 &lt; 0</formula>
    </cfRule>
  </conditionalFormatting>
  <conditionalFormatting sqref="G69:I70 H91:I91">
    <cfRule type="expression" dxfId="4020" priority="103">
      <formula>$H$91 &gt; 0</formula>
    </cfRule>
    <cfRule type="expression" dxfId="4019" priority="104">
      <formula>$H$91 = 0</formula>
    </cfRule>
    <cfRule type="expression" dxfId="4018" priority="105">
      <formula>$H$91 &lt; 0</formula>
    </cfRule>
  </conditionalFormatting>
  <conditionalFormatting sqref="J69:L70 K91:L91">
    <cfRule type="expression" dxfId="4017" priority="100">
      <formula>$K$91 &gt; 0</formula>
    </cfRule>
    <cfRule type="expression" dxfId="4016" priority="101">
      <formula>$K$91 = 0</formula>
    </cfRule>
    <cfRule type="expression" dxfId="4015" priority="102">
      <formula>$K$91 &lt; 0</formula>
    </cfRule>
  </conditionalFormatting>
  <conditionalFormatting sqref="M69:O70 N91:O91">
    <cfRule type="expression" dxfId="4014" priority="97">
      <formula>$N$91 &gt; 0</formula>
    </cfRule>
    <cfRule type="expression" dxfId="4013" priority="98">
      <formula>$N$91 = 0</formula>
    </cfRule>
    <cfRule type="expression" dxfId="4012" priority="99">
      <formula>$N$91 &lt; 0</formula>
    </cfRule>
  </conditionalFormatting>
  <conditionalFormatting sqref="A98:C117 M98:O117">
    <cfRule type="expression" dxfId="4011" priority="85">
      <formula>AND($N98 &gt; 0, ISNUMBER($N98))</formula>
    </cfRule>
    <cfRule type="expression" dxfId="4010" priority="86">
      <formula>AND($N98 = 0 * ISNUMBER($N98))</formula>
    </cfRule>
    <cfRule type="expression" dxfId="4009" priority="87">
      <formula>AND($N98 &lt; 0, ISNUMBER($N98))</formula>
    </cfRule>
  </conditionalFormatting>
  <conditionalFormatting sqref="A98:F117">
    <cfRule type="expression" dxfId="4008" priority="94">
      <formula>AND($E98 &gt; 0, ISNUMBER($E98))</formula>
    </cfRule>
    <cfRule type="expression" dxfId="4007" priority="95">
      <formula>AND($E98 = 0 * ISNUMBER($E98))</formula>
    </cfRule>
    <cfRule type="expression" dxfId="4006" priority="96">
      <formula>AND($E98 &lt; 0, ISNUMBER($E98))</formula>
    </cfRule>
  </conditionalFormatting>
  <conditionalFormatting sqref="A98:C117 G98:I117">
    <cfRule type="expression" dxfId="4005" priority="91">
      <formula>AND($H98 &gt; 0, ISNUMBER($H98))</formula>
    </cfRule>
    <cfRule type="expression" dxfId="4004" priority="92">
      <formula>AND($H98 = 0 * ISNUMBER($H98))</formula>
    </cfRule>
    <cfRule type="expression" dxfId="4003" priority="93">
      <formula>AND($H98 &lt; 0, ISNUMBER($H98))</formula>
    </cfRule>
  </conditionalFormatting>
  <conditionalFormatting sqref="A98:C117 J98:L117">
    <cfRule type="expression" dxfId="4002" priority="88">
      <formula>AND($K98 &gt; 0, ISNUMBER($K98))</formula>
    </cfRule>
    <cfRule type="expression" dxfId="4001" priority="89">
      <formula>AND($K98 = 0 * ISNUMBER($K98))</formula>
    </cfRule>
    <cfRule type="expression" dxfId="4000" priority="90">
      <formula>AND($K98 &lt; 0, ISNUMBER($K98))</formula>
    </cfRule>
  </conditionalFormatting>
  <conditionalFormatting sqref="D96:F97 E118:F118">
    <cfRule type="expression" dxfId="3999" priority="82">
      <formula>$E$118 &gt; 0</formula>
    </cfRule>
    <cfRule type="expression" dxfId="3998" priority="83">
      <formula>$E$118 = 0</formula>
    </cfRule>
    <cfRule type="expression" dxfId="3997" priority="84">
      <formula>$E$118 &lt; 0</formula>
    </cfRule>
  </conditionalFormatting>
  <conditionalFormatting sqref="G96:I97 H118:I118">
    <cfRule type="expression" dxfId="3996" priority="79">
      <formula>$H$118 &gt; 0</formula>
    </cfRule>
    <cfRule type="expression" dxfId="3995" priority="80">
      <formula>$H$118 = 0</formula>
    </cfRule>
    <cfRule type="expression" dxfId="3994" priority="81">
      <formula>$H$118 &lt; 0</formula>
    </cfRule>
  </conditionalFormatting>
  <conditionalFormatting sqref="J96:L97 K118:L118">
    <cfRule type="expression" dxfId="3993" priority="76">
      <formula>$K$118 &gt; 0</formula>
    </cfRule>
    <cfRule type="expression" dxfId="3992" priority="77">
      <formula>$K$118 = 0</formula>
    </cfRule>
    <cfRule type="expression" dxfId="3991" priority="78">
      <formula>$K$118 &lt; 0</formula>
    </cfRule>
  </conditionalFormatting>
  <conditionalFormatting sqref="M96:O97 N118:O118">
    <cfRule type="expression" dxfId="3990" priority="73">
      <formula>$N$118 &gt; 0</formula>
    </cfRule>
    <cfRule type="expression" dxfId="3989" priority="74">
      <formula>$N$118 = 0</formula>
    </cfRule>
    <cfRule type="expression" dxfId="3988" priority="75">
      <formula>$N$118 &lt; 0</formula>
    </cfRule>
  </conditionalFormatting>
  <conditionalFormatting sqref="A125:C144 M125:O144">
    <cfRule type="expression" dxfId="3987" priority="61">
      <formula>AND($N125 &gt; 0, ISNUMBER($N125))</formula>
    </cfRule>
    <cfRule type="expression" dxfId="3986" priority="62">
      <formula>AND($N125 = 0 * ISNUMBER($N125))</formula>
    </cfRule>
    <cfRule type="expression" dxfId="3985" priority="63">
      <formula>AND($N125 &lt; 0, ISNUMBER($N125))</formula>
    </cfRule>
  </conditionalFormatting>
  <conditionalFormatting sqref="A125:F144">
    <cfRule type="expression" dxfId="3984" priority="70">
      <formula>AND($E125 &gt; 0, ISNUMBER($E125))</formula>
    </cfRule>
    <cfRule type="expression" dxfId="3983" priority="71">
      <formula>AND($E125 = 0 * ISNUMBER($E125))</formula>
    </cfRule>
    <cfRule type="expression" dxfId="3982" priority="72">
      <formula>AND($E125 &lt; 0, ISNUMBER($E125))</formula>
    </cfRule>
  </conditionalFormatting>
  <conditionalFormatting sqref="A125:C144 G125:I144">
    <cfRule type="expression" dxfId="3981" priority="67">
      <formula>AND($H125 &gt; 0, ISNUMBER($H125))</formula>
    </cfRule>
    <cfRule type="expression" dxfId="3980" priority="68">
      <formula>AND($H125 = 0 * ISNUMBER($H125))</formula>
    </cfRule>
    <cfRule type="expression" dxfId="3979" priority="69">
      <formula>AND($H125 &lt; 0, ISNUMBER($H125))</formula>
    </cfRule>
  </conditionalFormatting>
  <conditionalFormatting sqref="A125:C144 J125:L144">
    <cfRule type="expression" dxfId="3978" priority="64">
      <formula>AND($K125 &gt; 0, ISNUMBER($K125))</formula>
    </cfRule>
    <cfRule type="expression" dxfId="3977" priority="65">
      <formula>AND($K125 = 0 * ISNUMBER($K125))</formula>
    </cfRule>
    <cfRule type="expression" dxfId="3976" priority="66">
      <formula>AND($K125 &lt; 0, ISNUMBER($K125))</formula>
    </cfRule>
  </conditionalFormatting>
  <conditionalFormatting sqref="D123:F124 E145:F145">
    <cfRule type="expression" dxfId="3975" priority="58">
      <formula>$E$145 &gt; 0</formula>
    </cfRule>
    <cfRule type="expression" dxfId="3974" priority="59">
      <formula>$E$145 = 0</formula>
    </cfRule>
    <cfRule type="expression" dxfId="3973" priority="60">
      <formula>$E$145 &lt; 0</formula>
    </cfRule>
  </conditionalFormatting>
  <conditionalFormatting sqref="G123:I124 H145:I145">
    <cfRule type="expression" dxfId="3972" priority="55">
      <formula>$H$145 &gt; 0</formula>
    </cfRule>
    <cfRule type="expression" dxfId="3971" priority="56">
      <formula>$H$145 = 0</formula>
    </cfRule>
    <cfRule type="expression" dxfId="3970" priority="57">
      <formula>$H$145 &lt; 0</formula>
    </cfRule>
  </conditionalFormatting>
  <conditionalFormatting sqref="J123:L124 K145:L145">
    <cfRule type="expression" dxfId="3969" priority="52">
      <formula>$K$145 &gt; 0</formula>
    </cfRule>
    <cfRule type="expression" dxfId="3968" priority="53">
      <formula>$K$145 = 0</formula>
    </cfRule>
    <cfRule type="expression" dxfId="3967" priority="54">
      <formula>$K$145 &lt; 0</formula>
    </cfRule>
  </conditionalFormatting>
  <conditionalFormatting sqref="M123:O124 N145:O145">
    <cfRule type="expression" dxfId="3966" priority="49">
      <formula>$N$145 &gt; 0</formula>
    </cfRule>
    <cfRule type="expression" dxfId="3965" priority="50">
      <formula>$N$145 = 0</formula>
    </cfRule>
    <cfRule type="expression" dxfId="3964" priority="51">
      <formula>$N$145 &lt; 0</formula>
    </cfRule>
  </conditionalFormatting>
  <conditionalFormatting sqref="A152:C171 M152:O171">
    <cfRule type="expression" dxfId="3963" priority="37">
      <formula>AND($N152 &gt; 0, ISNUMBER($N152))</formula>
    </cfRule>
    <cfRule type="expression" dxfId="3962" priority="38">
      <formula>AND($N152 = 0 * ISNUMBER($N152))</formula>
    </cfRule>
    <cfRule type="expression" dxfId="3961" priority="39">
      <formula>AND($N152 &lt; 0, ISNUMBER($N152))</formula>
    </cfRule>
  </conditionalFormatting>
  <conditionalFormatting sqref="A152:F171">
    <cfRule type="expression" dxfId="3960" priority="46">
      <formula>AND($E152 &gt; 0, ISNUMBER($E152))</formula>
    </cfRule>
    <cfRule type="expression" dxfId="3959" priority="47">
      <formula>AND($E152 = 0 * ISNUMBER($E152))</formula>
    </cfRule>
    <cfRule type="expression" dxfId="3958" priority="48">
      <formula>AND($E152 &lt; 0, ISNUMBER($E152))</formula>
    </cfRule>
  </conditionalFormatting>
  <conditionalFormatting sqref="A152:C171 G152:I171">
    <cfRule type="expression" dxfId="3957" priority="43">
      <formula>AND($H152 &gt; 0, ISNUMBER($H152))</formula>
    </cfRule>
    <cfRule type="expression" dxfId="3956" priority="44">
      <formula>AND($H152 = 0 * ISNUMBER($H152))</formula>
    </cfRule>
    <cfRule type="expression" dxfId="3955" priority="45">
      <formula>AND($H152 &lt; 0, ISNUMBER($H152))</formula>
    </cfRule>
  </conditionalFormatting>
  <conditionalFormatting sqref="A152:C171 J152:L171">
    <cfRule type="expression" dxfId="3954" priority="40">
      <formula>AND($K152 &gt; 0, ISNUMBER($K152))</formula>
    </cfRule>
    <cfRule type="expression" dxfId="3953" priority="41">
      <formula>AND($K152 = 0 * ISNUMBER($K152))</formula>
    </cfRule>
    <cfRule type="expression" dxfId="3952" priority="42">
      <formula>AND($K152 &lt; 0, ISNUMBER($K152))</formula>
    </cfRule>
  </conditionalFormatting>
  <conditionalFormatting sqref="D150:F151 E172:F172">
    <cfRule type="expression" dxfId="3951" priority="34">
      <formula>$E$172 &gt; 0</formula>
    </cfRule>
    <cfRule type="expression" dxfId="3950" priority="35">
      <formula>$E$172 = 0</formula>
    </cfRule>
    <cfRule type="expression" dxfId="3949" priority="36">
      <formula>$E$172 &lt; 0</formula>
    </cfRule>
  </conditionalFormatting>
  <conditionalFormatting sqref="G150:I151 H172:I172">
    <cfRule type="expression" dxfId="3948" priority="31">
      <formula>$H$172 &gt; 0</formula>
    </cfRule>
    <cfRule type="expression" dxfId="3947" priority="32">
      <formula>$H$172 = 0</formula>
    </cfRule>
    <cfRule type="expression" dxfId="3946" priority="33">
      <formula>$H$172 &lt; 0</formula>
    </cfRule>
  </conditionalFormatting>
  <conditionalFormatting sqref="J150:L151 K172:L172">
    <cfRule type="expression" dxfId="3945" priority="28">
      <formula>$K$172 &gt; 0</formula>
    </cfRule>
    <cfRule type="expression" dxfId="3944" priority="29">
      <formula>$K$172 = 0</formula>
    </cfRule>
    <cfRule type="expression" dxfId="3943" priority="30">
      <formula>$K$172 &lt; 0</formula>
    </cfRule>
  </conditionalFormatting>
  <conditionalFormatting sqref="M150:O151 N172:O172">
    <cfRule type="expression" dxfId="3942" priority="25">
      <formula>$N$172 &gt; 0</formula>
    </cfRule>
    <cfRule type="expression" dxfId="3941" priority="26">
      <formula>$N$172 = 0</formula>
    </cfRule>
    <cfRule type="expression" dxfId="3940" priority="27">
      <formula>$N$172 &lt; 0</formula>
    </cfRule>
  </conditionalFormatting>
  <conditionalFormatting sqref="A179:C198 M179:O198">
    <cfRule type="expression" dxfId="3939" priority="13">
      <formula>AND($N179 &gt; 0, ISNUMBER($N179))</formula>
    </cfRule>
    <cfRule type="expression" dxfId="3938" priority="14">
      <formula>AND($N179 = 0 * ISNUMBER($N179))</formula>
    </cfRule>
    <cfRule type="expression" dxfId="3937" priority="15">
      <formula>AND($N179 &lt; 0, ISNUMBER($N179))</formula>
    </cfRule>
  </conditionalFormatting>
  <conditionalFormatting sqref="A179:F198">
    <cfRule type="expression" dxfId="3936" priority="22">
      <formula>AND($E179 &gt; 0, ISNUMBER($E179))</formula>
    </cfRule>
    <cfRule type="expression" dxfId="3935" priority="23">
      <formula>AND($E179 = 0 * ISNUMBER($E179))</formula>
    </cfRule>
    <cfRule type="expression" dxfId="3934" priority="24">
      <formula>AND($E179 &lt; 0, ISNUMBER($E179))</formula>
    </cfRule>
  </conditionalFormatting>
  <conditionalFormatting sqref="A179:C198 G179:I198">
    <cfRule type="expression" dxfId="3933" priority="19">
      <formula>AND($H179 &gt; 0, ISNUMBER($H179))</formula>
    </cfRule>
    <cfRule type="expression" dxfId="3932" priority="20">
      <formula>AND($H179 = 0 * ISNUMBER($H179))</formula>
    </cfRule>
    <cfRule type="expression" dxfId="3931" priority="21">
      <formula>AND($H179 &lt; 0, ISNUMBER($H179))</formula>
    </cfRule>
  </conditionalFormatting>
  <conditionalFormatting sqref="A179:C198 J179:L198">
    <cfRule type="expression" dxfId="3930" priority="16">
      <formula>AND($K179 &gt; 0, ISNUMBER($K179))</formula>
    </cfRule>
    <cfRule type="expression" dxfId="3929" priority="17">
      <formula>AND($K179 = 0 * ISNUMBER($K179))</formula>
    </cfRule>
    <cfRule type="expression" dxfId="3928" priority="18">
      <formula>AND($K179 &lt; 0, ISNUMBER($K179))</formula>
    </cfRule>
  </conditionalFormatting>
  <conditionalFormatting sqref="D177:F178 E199:F199">
    <cfRule type="expression" dxfId="3927" priority="10">
      <formula>$E$199 &gt; 0</formula>
    </cfRule>
    <cfRule type="expression" dxfId="3926" priority="11">
      <formula>$E$199 = 0</formula>
    </cfRule>
    <cfRule type="expression" dxfId="3925" priority="12">
      <formula>$E$199 &lt; 0</formula>
    </cfRule>
  </conditionalFormatting>
  <conditionalFormatting sqref="G177:I178 H199:I199">
    <cfRule type="expression" dxfId="3924" priority="7">
      <formula>$H$199 &gt; 0</formula>
    </cfRule>
    <cfRule type="expression" dxfId="3923" priority="8">
      <formula>$H$199 = 0</formula>
    </cfRule>
    <cfRule type="expression" dxfId="3922" priority="9">
      <formula>$H$199 &lt; 0</formula>
    </cfRule>
  </conditionalFormatting>
  <conditionalFormatting sqref="J177:L178 K199:L199">
    <cfRule type="expression" dxfId="3921" priority="4">
      <formula>$K$199 &gt; 0</formula>
    </cfRule>
    <cfRule type="expression" dxfId="3920" priority="5">
      <formula>$K$199 = 0</formula>
    </cfRule>
    <cfRule type="expression" dxfId="3919" priority="6">
      <formula>$K$199 &lt; 0</formula>
    </cfRule>
  </conditionalFormatting>
  <conditionalFormatting sqref="M177:O178 N199:O199">
    <cfRule type="expression" dxfId="3918" priority="1">
      <formula>$N$199 &gt; 0</formula>
    </cfRule>
    <cfRule type="expression" dxfId="3917" priority="2">
      <formula>$N$199 = 0</formula>
    </cfRule>
    <cfRule type="expression" dxfId="39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DB3E-60F5-400A-880A-488C22E496DC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44900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-16,195 KRW (-0.54%)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10,959 KRW (0.37%)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1,930 KRW (0.06%)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-26,416 KRW (-0.88%)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2022-12-05(월) 오전 00:00</v>
      </c>
      <c r="C15" s="202"/>
      <c r="D15" s="158" t="str">
        <f>TEXT($G$1, "[$-ko-KR]yyyy-mm-dd(ddd) ") &amp; "오후 14:00"</f>
        <v>2022-12-05(월) 오후 14:00</v>
      </c>
      <c r="E15" s="159"/>
      <c r="F15" s="160"/>
      <c r="G15" s="158" t="str">
        <f>TEXT($G$1, "[$-ko-KR]yyyy-mm-dd(ddd) ") &amp; "오후 19:00"</f>
        <v>2022-12-05(월) 오후 19:00</v>
      </c>
      <c r="H15" s="159"/>
      <c r="I15" s="160"/>
      <c r="J15" s="158" t="str">
        <f>TEXT($G$1, "[$-ko-KR]yyyy-mm-dd(ddd) ") &amp; "오후 21:00"</f>
        <v>2022-12-05(월) 오후 21:00</v>
      </c>
      <c r="K15" s="159"/>
      <c r="L15" s="160"/>
      <c r="M15" s="158" t="str">
        <f>TEXT($G$1+1, "[$-ko-KR]yyyy-mm-dd(ddd) ") &amp; "오전 00:00"</f>
        <v>2022-12-06(화)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2022-12-05(월) 오전 00:00</v>
      </c>
      <c r="C42" s="199"/>
      <c r="D42" s="158" t="str">
        <f>TEXT($G$1, "[$-ko-KR]yyyy-mm-dd(ddd) ") &amp; "오후 14:00"</f>
        <v>2022-12-05(월) 오후 14:00</v>
      </c>
      <c r="E42" s="159"/>
      <c r="F42" s="160"/>
      <c r="G42" s="158" t="str">
        <f>TEXT($G$1, "[$-ko-KR]yyyy-mm-dd(ddd) ") &amp; "오후 19:00"</f>
        <v>2022-12-05(월) 오후 19:00</v>
      </c>
      <c r="H42" s="159"/>
      <c r="I42" s="160"/>
      <c r="J42" s="158" t="str">
        <f>TEXT($G$1, "[$-ko-KR]yyyy-mm-dd(ddd) ") &amp; "오후 21:00"</f>
        <v>2022-12-05(월) 오후 21:00</v>
      </c>
      <c r="K42" s="159"/>
      <c r="L42" s="160"/>
      <c r="M42" s="158" t="str">
        <f>TEXT($G$1+1, "[$-ko-KR]yyyy-mm-dd(ddd) ") &amp; "오전 00:00"</f>
        <v>2022-12-06(화)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97</v>
      </c>
      <c r="B44" s="108">
        <v>1E-3</v>
      </c>
      <c r="C44" s="69">
        <v>0.11111111110000001</v>
      </c>
      <c r="D44" s="13">
        <v>8.9999999999999998E-4</v>
      </c>
      <c r="E44" s="14">
        <f>IF(ISNUMBER(D44), (D44 - $B44) / $B44, "")</f>
        <v>-0.10000000000000005</v>
      </c>
      <c r="F44" s="16">
        <f>IF(ISNUMBER(D44), $B64 * E44, "")</f>
        <v>-15000.000000000007</v>
      </c>
      <c r="G44" s="29">
        <v>8.9999999999999998E-4</v>
      </c>
      <c r="H44" s="14">
        <f>IF(ISNUMBER(G44), (G44 - $B44) / $B44, "")</f>
        <v>-0.10000000000000005</v>
      </c>
      <c r="I44" s="90">
        <f>IF(ISNUMBER(G44), $B64 * H44, "")</f>
        <v>-15000.000000000007</v>
      </c>
      <c r="J44" s="13">
        <v>1E-3</v>
      </c>
      <c r="K44" s="14">
        <f>IF(ISNUMBER(J44), (J44 - $B44) / $B44, "")</f>
        <v>0</v>
      </c>
      <c r="L44" s="16">
        <f>IF(ISNUMBER(J44), $B64 * K44, "")</f>
        <v>0</v>
      </c>
      <c r="M44" s="29">
        <v>1E-3</v>
      </c>
      <c r="N44" s="14">
        <f>IF(ISNUMBER(M44), (M44 - $B44) / $B44, "")</f>
        <v>0</v>
      </c>
      <c r="O44" s="16">
        <f>IF(ISNUMBER(M44), $B64 * N44, "")</f>
        <v>0</v>
      </c>
      <c r="Q44" s="156"/>
      <c r="R44" s="156"/>
      <c r="S44" s="156"/>
    </row>
    <row r="45" spans="1:19" ht="17.25" customHeight="1" thickBot="1">
      <c r="A45" s="109" t="s">
        <v>71</v>
      </c>
      <c r="B45" s="110">
        <v>12.1</v>
      </c>
      <c r="C45" s="70">
        <v>8.3333333000000006E-3</v>
      </c>
      <c r="D45" s="15">
        <v>12</v>
      </c>
      <c r="E45" s="32">
        <f t="shared" ref="E45:E48" si="14">IF(ISNUMBER(D45), (D45 - $B45) / $B45, "")</f>
        <v>-8.2644628099173261E-3</v>
      </c>
      <c r="F45" s="18">
        <f>IF(ISNUMBER(D45), $B64 * E45, "")</f>
        <v>-1239.6694214875988</v>
      </c>
      <c r="G45" s="31">
        <v>11.9</v>
      </c>
      <c r="H45" s="32">
        <f t="shared" ref="H45:H48" si="15">IF(ISNUMBER(G45), (G45 - $B45) / $B45, "")</f>
        <v>-1.6528925619834652E-2</v>
      </c>
      <c r="I45" s="91">
        <f>IF(ISNUMBER(G45), $B64 * H45, "")</f>
        <v>-2479.3388429751976</v>
      </c>
      <c r="J45" s="15">
        <v>12</v>
      </c>
      <c r="K45" s="32">
        <f t="shared" ref="K45:K48" si="16">IF(ISNUMBER(J45), (J45 - $B45) / $B45, "")</f>
        <v>-8.2644628099173261E-3</v>
      </c>
      <c r="L45" s="18">
        <f>IF(ISNUMBER(J45), $B64 * K45, "")</f>
        <v>-1239.6694214875988</v>
      </c>
      <c r="M45" s="31">
        <v>11.9</v>
      </c>
      <c r="N45" s="32">
        <f t="shared" ref="N45:N48" si="17">IF(ISNUMBER(M45), (M45 - $B45) / $B45, "")</f>
        <v>-1.6528925619834652E-2</v>
      </c>
      <c r="O45" s="18">
        <f>IF(ISNUMBER(M45), $B64 * N45, "")</f>
        <v>-2479.3388429751976</v>
      </c>
      <c r="Q45" s="156"/>
      <c r="R45" s="156"/>
      <c r="S45" s="156"/>
    </row>
    <row r="46" spans="1:19" ht="17.25" customHeight="1" thickBot="1">
      <c r="A46" s="109" t="s">
        <v>124</v>
      </c>
      <c r="B46" s="110">
        <v>34.299999999999997</v>
      </c>
      <c r="C46" s="70">
        <v>5.8651025999999998E-3</v>
      </c>
      <c r="D46" s="15">
        <v>34.200000000000003</v>
      </c>
      <c r="E46" s="32">
        <f t="shared" si="14"/>
        <v>-2.9154518950435665E-3</v>
      </c>
      <c r="F46" s="18">
        <f>IF(ISNUMBER(D46), $B64 * E46, "")</f>
        <v>-437.31778425653499</v>
      </c>
      <c r="G46" s="31">
        <v>34.200000000000003</v>
      </c>
      <c r="H46" s="32">
        <f t="shared" si="15"/>
        <v>-2.9154518950435665E-3</v>
      </c>
      <c r="I46" s="91">
        <f>IF(ISNUMBER(G46), $B64 * H46, "")</f>
        <v>-437.31778425653499</v>
      </c>
      <c r="J46" s="15">
        <v>34.200000000000003</v>
      </c>
      <c r="K46" s="32">
        <f t="shared" si="16"/>
        <v>-2.9154518950435665E-3</v>
      </c>
      <c r="L46" s="18">
        <f>IF(ISNUMBER(J46), $B64 * K46, "")</f>
        <v>-437.31778425653499</v>
      </c>
      <c r="M46" s="31">
        <v>34.1</v>
      </c>
      <c r="N46" s="32">
        <f t="shared" si="17"/>
        <v>-5.8309037900873394E-3</v>
      </c>
      <c r="O46" s="18">
        <f>IF(ISNUMBER(M46), $B64 * N46, "")</f>
        <v>-874.63556851310091</v>
      </c>
      <c r="Q46" s="161"/>
      <c r="R46" s="161"/>
      <c r="S46" s="161"/>
    </row>
    <row r="47" spans="1:19" ht="17.25" customHeight="1" thickBot="1">
      <c r="A47" s="109" t="s">
        <v>335</v>
      </c>
      <c r="B47" s="110">
        <v>3.9399999999999998E-2</v>
      </c>
      <c r="C47" s="70">
        <v>2.5445292999999999E-3</v>
      </c>
      <c r="D47" s="15">
        <v>3.9600000000000003E-2</v>
      </c>
      <c r="E47" s="32">
        <f t="shared" si="14"/>
        <v>5.0761421319798408E-3</v>
      </c>
      <c r="F47" s="18">
        <f>IF(ISNUMBER(D47), $B64 * E47, "")</f>
        <v>761.42131979697615</v>
      </c>
      <c r="G47" s="31">
        <v>3.9600000000000003E-2</v>
      </c>
      <c r="H47" s="32">
        <f t="shared" si="15"/>
        <v>5.0761421319798408E-3</v>
      </c>
      <c r="I47" s="91">
        <f>IF(ISNUMBER(G47), $B64 * H47, "")</f>
        <v>761.42131979697615</v>
      </c>
      <c r="J47" s="15">
        <v>3.9699999999999999E-2</v>
      </c>
      <c r="K47" s="32">
        <f t="shared" si="16"/>
        <v>7.6142131979695859E-3</v>
      </c>
      <c r="L47" s="18">
        <f>IF(ISNUMBER(J47), $B64 * K47, "")</f>
        <v>1142.1319796954378</v>
      </c>
      <c r="M47" s="31">
        <v>3.95E-2</v>
      </c>
      <c r="N47" s="32">
        <f t="shared" si="17"/>
        <v>2.5380710659899204E-3</v>
      </c>
      <c r="O47" s="18">
        <f>IF(ISNUMBER(M47), $B64 * N47, "")</f>
        <v>380.71065989848807</v>
      </c>
      <c r="Q47" s="161"/>
      <c r="R47" s="161"/>
      <c r="S47" s="161"/>
    </row>
    <row r="48" spans="1:19" ht="17.25" customHeight="1" thickBot="1">
      <c r="A48" s="111" t="s">
        <v>193</v>
      </c>
      <c r="B48" s="112">
        <v>20.100000000000001</v>
      </c>
      <c r="C48" s="71">
        <v>0</v>
      </c>
      <c r="D48" s="20">
        <v>20.2</v>
      </c>
      <c r="E48" s="21">
        <f t="shared" si="14"/>
        <v>4.975124378109346E-3</v>
      </c>
      <c r="F48" s="22">
        <f>IF(ISNUMBER(D48), $B64 * E48, "")</f>
        <v>746.26865671640189</v>
      </c>
      <c r="G48" s="30">
        <v>20.100000000000001</v>
      </c>
      <c r="H48" s="21">
        <f t="shared" si="15"/>
        <v>0</v>
      </c>
      <c r="I48" s="95">
        <f>IF(ISNUMBER(G48), $B64 * H48, "")</f>
        <v>0</v>
      </c>
      <c r="J48" s="20">
        <v>20.100000000000001</v>
      </c>
      <c r="K48" s="21">
        <f t="shared" si="16"/>
        <v>0</v>
      </c>
      <c r="L48" s="22">
        <f>IF(ISNUMBER(J48), $B64 * K48, "")</f>
        <v>0</v>
      </c>
      <c r="M48" s="30">
        <v>20</v>
      </c>
      <c r="N48" s="21">
        <f t="shared" si="17"/>
        <v>-4.9751243781095229E-3</v>
      </c>
      <c r="O48" s="22">
        <f>IF(ISNUMBER(M48), $B64 * N48, "")</f>
        <v>-746.26865671642838</v>
      </c>
      <c r="Q48" s="161"/>
      <c r="R48" s="161"/>
      <c r="S48" s="161"/>
    </row>
    <row r="49" spans="1:19" ht="17.25" customHeight="1" thickBot="1">
      <c r="A49" s="109" t="s">
        <v>122</v>
      </c>
      <c r="B49" s="113">
        <v>25.8</v>
      </c>
      <c r="C49" s="73">
        <v>0</v>
      </c>
      <c r="D49" s="96">
        <v>25.9</v>
      </c>
      <c r="E49" s="97">
        <f>IF(ISNUMBER(D49), (D49 - $B49) / $B49, "")</f>
        <v>3.8759689922479791E-3</v>
      </c>
      <c r="F49" s="98">
        <f>IF(ISNUMBER(D49), $B64 * E49, "")</f>
        <v>581.39534883719682</v>
      </c>
      <c r="G49" s="99">
        <v>25.9</v>
      </c>
      <c r="H49" s="97">
        <f>IF(ISNUMBER(G49), (G49 - $B49) / $B49, "")</f>
        <v>3.8759689922479791E-3</v>
      </c>
      <c r="I49" s="100">
        <f>IF(ISNUMBER(G49), $B64 * H49, "")</f>
        <v>581.39534883719682</v>
      </c>
      <c r="J49" s="96">
        <v>26</v>
      </c>
      <c r="K49" s="97">
        <f>IF(ISNUMBER(J49), (J49 - $B49) / $B49, "")</f>
        <v>7.7519379844960962E-3</v>
      </c>
      <c r="L49" s="98">
        <f>IF(ISNUMBER(J49), $B64 * K49, "")</f>
        <v>1162.7906976744143</v>
      </c>
      <c r="M49" s="99">
        <v>25.8</v>
      </c>
      <c r="N49" s="97">
        <f>IF(ISNUMBER(M49), (M49 - $B49) / $B49, "")</f>
        <v>0</v>
      </c>
      <c r="O49" s="98">
        <f>IF(ISNUMBER(M49), $B64 * N49, "")</f>
        <v>0</v>
      </c>
      <c r="Q49" s="161"/>
      <c r="R49" s="161"/>
      <c r="S49" s="161"/>
    </row>
    <row r="50" spans="1:19" ht="17.25" customHeight="1" thickBot="1">
      <c r="A50" s="109" t="s">
        <v>56</v>
      </c>
      <c r="B50" s="110">
        <v>44</v>
      </c>
      <c r="C50" s="70">
        <v>-2.2675737E-3</v>
      </c>
      <c r="D50" s="15">
        <v>44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44.1</v>
      </c>
      <c r="H50" s="32">
        <f t="shared" ref="H50:H53" si="19">IF(ISNUMBER(G50), (G50 - $B50) / $B50, "")</f>
        <v>2.2727272727273051E-3</v>
      </c>
      <c r="I50" s="91">
        <f>IF(ISNUMBER(G50), $B64 * H50, "")</f>
        <v>340.90909090909577</v>
      </c>
      <c r="J50" s="15">
        <v>44.1</v>
      </c>
      <c r="K50" s="32">
        <f t="shared" ref="K50:K53" si="20">IF(ISNUMBER(J50), (J50 - $B50) / $B50, "")</f>
        <v>2.2727272727273051E-3</v>
      </c>
      <c r="L50" s="18">
        <f>IF(ISNUMBER(J50), $B64 * K50, "")</f>
        <v>340.90909090909577</v>
      </c>
      <c r="M50" s="31">
        <v>43.8</v>
      </c>
      <c r="N50" s="32">
        <f t="shared" ref="N50:N53" si="21">IF(ISNUMBER(M50), (M50 - $B50) / $B50, "")</f>
        <v>-4.5454545454546103E-3</v>
      </c>
      <c r="O50" s="18">
        <f>IF(ISNUMBER(M50), $B64 * N50, "")</f>
        <v>-681.81818181819153</v>
      </c>
      <c r="Q50" s="161"/>
      <c r="R50" s="161"/>
      <c r="S50" s="161"/>
    </row>
    <row r="51" spans="1:19" ht="17.25" customHeight="1" thickBot="1">
      <c r="A51" s="109" t="s">
        <v>230</v>
      </c>
      <c r="B51" s="110">
        <v>42.2</v>
      </c>
      <c r="C51" s="70">
        <v>-2.3640661999999998E-3</v>
      </c>
      <c r="D51" s="15">
        <v>42.3</v>
      </c>
      <c r="E51" s="32">
        <f t="shared" si="18"/>
        <v>2.3696682464453629E-3</v>
      </c>
      <c r="F51" s="18">
        <f>IF(ISNUMBER(D51), $B64 * E51, "")</f>
        <v>355.45023696680443</v>
      </c>
      <c r="G51" s="31">
        <v>42.1</v>
      </c>
      <c r="H51" s="32">
        <f t="shared" si="19"/>
        <v>-2.3696682464455312E-3</v>
      </c>
      <c r="I51" s="91">
        <f>IF(ISNUMBER(G51), $B64 * H51, "")</f>
        <v>-355.45023696682966</v>
      </c>
      <c r="J51" s="15">
        <v>42.1</v>
      </c>
      <c r="K51" s="32">
        <f t="shared" si="20"/>
        <v>-2.3696682464455312E-3</v>
      </c>
      <c r="L51" s="18">
        <f>IF(ISNUMBER(J51), $B64 * K51, "")</f>
        <v>-355.45023696682966</v>
      </c>
      <c r="M51" s="31">
        <v>42</v>
      </c>
      <c r="N51" s="32">
        <f t="shared" si="21"/>
        <v>-4.7393364928910624E-3</v>
      </c>
      <c r="O51" s="18">
        <f>IF(ISNUMBER(M51), $B64 * N51, "")</f>
        <v>-710.90047393365933</v>
      </c>
      <c r="Q51" s="161"/>
      <c r="R51" s="161"/>
      <c r="S51" s="161"/>
    </row>
    <row r="52" spans="1:19" ht="17.25" customHeight="1" thickBot="1">
      <c r="A52" s="109" t="s">
        <v>143</v>
      </c>
      <c r="B52" s="110">
        <v>4.1399999999999997</v>
      </c>
      <c r="C52" s="70">
        <v>-2.4096386000000002E-3</v>
      </c>
      <c r="D52" s="15">
        <v>4.1399999999999997</v>
      </c>
      <c r="E52" s="32">
        <f t="shared" si="18"/>
        <v>0</v>
      </c>
      <c r="F52" s="18">
        <f>IF(ISNUMBER(D52), $B64 * E52, "")</f>
        <v>0</v>
      </c>
      <c r="G52" s="31">
        <v>4.1399999999999997</v>
      </c>
      <c r="H52" s="32">
        <f t="shared" si="19"/>
        <v>0</v>
      </c>
      <c r="I52" s="91">
        <f>IF(ISNUMBER(G52), $B64 * H52, "")</f>
        <v>0</v>
      </c>
      <c r="J52" s="15">
        <v>4.1500000000000004</v>
      </c>
      <c r="K52" s="32">
        <f t="shared" si="20"/>
        <v>2.415458937198231E-3</v>
      </c>
      <c r="L52" s="18">
        <f>IF(ISNUMBER(J52), $B64 * K52, "")</f>
        <v>362.31884057973463</v>
      </c>
      <c r="M52" s="31">
        <v>4.16</v>
      </c>
      <c r="N52" s="32">
        <f t="shared" si="21"/>
        <v>4.8309178743962469E-3</v>
      </c>
      <c r="O52" s="18">
        <f>IF(ISNUMBER(M52), $B64 * N52, "")</f>
        <v>724.63768115943708</v>
      </c>
      <c r="Q52" s="33"/>
      <c r="R52" s="33"/>
    </row>
    <row r="53" spans="1:19" ht="17.25" customHeight="1" thickBot="1">
      <c r="A53" s="114" t="s">
        <v>126</v>
      </c>
      <c r="B53" s="115">
        <v>30.6</v>
      </c>
      <c r="C53" s="72">
        <v>-3.2573290000000002E-3</v>
      </c>
      <c r="D53" s="24">
        <v>30.9</v>
      </c>
      <c r="E53" s="25">
        <f t="shared" si="18"/>
        <v>9.8039215686273572E-3</v>
      </c>
      <c r="F53" s="94">
        <f>IF(ISNUMBER(D53), $B64 * E53, "")</f>
        <v>1470.5882352941035</v>
      </c>
      <c r="G53" s="92">
        <v>30.9</v>
      </c>
      <c r="H53" s="25">
        <f t="shared" si="19"/>
        <v>9.8039215686273572E-3</v>
      </c>
      <c r="I53" s="93">
        <f>IF(ISNUMBER(G53), $B64 * H53, "")</f>
        <v>1470.5882352941035</v>
      </c>
      <c r="J53" s="24">
        <v>30.9</v>
      </c>
      <c r="K53" s="25">
        <f t="shared" si="20"/>
        <v>9.8039215686273572E-3</v>
      </c>
      <c r="L53" s="94">
        <f>IF(ISNUMBER(J53), $B64 * K53, "")</f>
        <v>1470.5882352941035</v>
      </c>
      <c r="M53" s="92">
        <v>30.8</v>
      </c>
      <c r="N53" s="25">
        <f t="shared" si="21"/>
        <v>6.5359477124182774E-3</v>
      </c>
      <c r="O53" s="94">
        <f>IF(ISNUMBER(M53), $B64 * N53, "")</f>
        <v>980.39215686274156</v>
      </c>
      <c r="Q53" s="170"/>
      <c r="R53" s="171"/>
      <c r="S53" s="172"/>
    </row>
    <row r="54" spans="1:19" ht="17.25" customHeight="1">
      <c r="A54" s="107" t="s">
        <v>326</v>
      </c>
      <c r="B54" s="108">
        <v>24.6</v>
      </c>
      <c r="C54" s="69">
        <v>-4.0485829999999997E-3</v>
      </c>
      <c r="D54" s="13">
        <v>24.7</v>
      </c>
      <c r="E54" s="14">
        <f>IF(ISNUMBER(D54), (D54 - $B54) / $B54, "")</f>
        <v>4.0650406504064169E-3</v>
      </c>
      <c r="F54" s="16">
        <f>IF(ISNUMBER(D54), $B64 * E54, "")</f>
        <v>609.75609756096253</v>
      </c>
      <c r="G54" s="29">
        <v>24.7</v>
      </c>
      <c r="H54" s="14">
        <f>IF(ISNUMBER(G54), (G54 - $B54) / $B54, "")</f>
        <v>4.0650406504064169E-3</v>
      </c>
      <c r="I54" s="90">
        <f>IF(ISNUMBER(G54), $B64 * H54, "")</f>
        <v>609.75609756096253</v>
      </c>
      <c r="J54" s="13">
        <v>24.7</v>
      </c>
      <c r="K54" s="14">
        <f>IF(ISNUMBER(J54), (J54 - $B54) / $B54, "")</f>
        <v>4.0650406504064169E-3</v>
      </c>
      <c r="L54" s="16">
        <f>IF(ISNUMBER(J54), $B64 * K54, "")</f>
        <v>609.75609756096253</v>
      </c>
      <c r="M54" s="29">
        <v>24.5</v>
      </c>
      <c r="N54" s="14">
        <f>IF(ISNUMBER(M54), (M54 - $B54) / $B54, "")</f>
        <v>-4.0650406504065617E-3</v>
      </c>
      <c r="O54" s="16">
        <f>IF(ISNUMBER(M54), $B64 * N54, "")</f>
        <v>-609.75609756098424</v>
      </c>
      <c r="Q54" s="173"/>
      <c r="R54" s="174"/>
      <c r="S54" s="175"/>
    </row>
    <row r="55" spans="1:19" ht="17.25" customHeight="1" thickBot="1">
      <c r="A55" s="109" t="s">
        <v>224</v>
      </c>
      <c r="B55" s="110">
        <v>22.2</v>
      </c>
      <c r="C55" s="70">
        <v>-4.4843048999999996E-3</v>
      </c>
      <c r="D55" s="15">
        <v>22</v>
      </c>
      <c r="E55" s="32">
        <f t="shared" ref="E55:E58" si="22">IF(ISNUMBER(D55), (D55 - $B55) / $B55, "")</f>
        <v>-9.0090090090089777E-3</v>
      </c>
      <c r="F55" s="18">
        <f>IF(ISNUMBER(D55), $B64 * E55, "")</f>
        <v>-1351.3513513513467</v>
      </c>
      <c r="G55" s="31">
        <v>22</v>
      </c>
      <c r="H55" s="32">
        <f t="shared" ref="H55:H58" si="23">IF(ISNUMBER(G55), (G55 - $B55) / $B55, "")</f>
        <v>-9.0090090090089777E-3</v>
      </c>
      <c r="I55" s="91">
        <f>IF(ISNUMBER(G55), $B64 * H55, "")</f>
        <v>-1351.3513513513467</v>
      </c>
      <c r="J55" s="15">
        <v>21.9</v>
      </c>
      <c r="K55" s="32">
        <f t="shared" ref="K55:K58" si="24">IF(ISNUMBER(J55), (J55 - $B55) / $B55, "")</f>
        <v>-1.3513513513513545E-2</v>
      </c>
      <c r="L55" s="18">
        <f>IF(ISNUMBER(J55), $B64 * K55, "")</f>
        <v>-2027.0270270270319</v>
      </c>
      <c r="M55" s="31">
        <v>21.9</v>
      </c>
      <c r="N55" s="32">
        <f t="shared" ref="N55:N58" si="25">IF(ISNUMBER(M55), (M55 - $B55) / $B55, "")</f>
        <v>-1.3513513513513545E-2</v>
      </c>
      <c r="O55" s="18">
        <f>IF(ISNUMBER(M55), $B64 * N55, "")</f>
        <v>-2027.0270270270319</v>
      </c>
      <c r="Q55" s="176"/>
      <c r="R55" s="177"/>
      <c r="S55" s="178"/>
    </row>
    <row r="56" spans="1:19" ht="17.25" customHeight="1" thickBot="1">
      <c r="A56" s="109" t="s">
        <v>336</v>
      </c>
      <c r="B56" s="110">
        <v>85.9</v>
      </c>
      <c r="C56" s="70">
        <v>-4.6349942E-3</v>
      </c>
      <c r="D56" s="15">
        <v>95.8</v>
      </c>
      <c r="E56" s="32">
        <f t="shared" si="22"/>
        <v>0.11525029103608837</v>
      </c>
      <c r="F56" s="18">
        <f>IF(ISNUMBER(D56), $B64 * E56, "")</f>
        <v>17287.543655413258</v>
      </c>
      <c r="G56" s="31">
        <v>93.1</v>
      </c>
      <c r="H56" s="32">
        <f t="shared" si="23"/>
        <v>8.3818393480791481E-2</v>
      </c>
      <c r="I56" s="91">
        <f>IF(ISNUMBER(G56), $B64 * H56, "")</f>
        <v>12572.759022118722</v>
      </c>
      <c r="J56" s="15">
        <v>94.8</v>
      </c>
      <c r="K56" s="32">
        <f t="shared" si="24"/>
        <v>0.10360884749708953</v>
      </c>
      <c r="L56" s="18">
        <f>IF(ISNUMBER(J56), $B64 * K56, "")</f>
        <v>15541.32712456343</v>
      </c>
      <c r="M56" s="31">
        <v>93.1</v>
      </c>
      <c r="N56" s="32">
        <f t="shared" si="25"/>
        <v>8.3818393480791481E-2</v>
      </c>
      <c r="O56" s="18">
        <f>IF(ISNUMBER(M56), $B64 * N56, "")</f>
        <v>12572.759022118722</v>
      </c>
      <c r="Q56" s="161"/>
      <c r="R56" s="161"/>
      <c r="S56" s="161"/>
    </row>
    <row r="57" spans="1:19" ht="17.25" customHeight="1" thickBot="1">
      <c r="A57" s="109" t="s">
        <v>220</v>
      </c>
      <c r="B57" s="110">
        <v>79.8</v>
      </c>
      <c r="C57" s="70">
        <v>-4.9875312E-3</v>
      </c>
      <c r="D57" s="15">
        <v>79.900000000000006</v>
      </c>
      <c r="E57" s="32">
        <f t="shared" si="22"/>
        <v>1.2531328320803073E-3</v>
      </c>
      <c r="F57" s="18">
        <f>IF(ISNUMBER(D57), $B64 * E57, "")</f>
        <v>187.96992481204609</v>
      </c>
      <c r="G57" s="31">
        <v>79.900000000000006</v>
      </c>
      <c r="H57" s="32">
        <f t="shared" si="23"/>
        <v>1.2531328320803073E-3</v>
      </c>
      <c r="I57" s="91">
        <f>IF(ISNUMBER(G57), $B64 * H57, "")</f>
        <v>187.96992481204609</v>
      </c>
      <c r="J57" s="15">
        <v>79.900000000000006</v>
      </c>
      <c r="K57" s="32">
        <f t="shared" si="24"/>
        <v>1.2531328320803073E-3</v>
      </c>
      <c r="L57" s="18">
        <f>IF(ISNUMBER(J57), $B64 * K57, "")</f>
        <v>187.96992481204609</v>
      </c>
      <c r="M57" s="31">
        <v>79.7</v>
      </c>
      <c r="N57" s="32">
        <f t="shared" si="25"/>
        <v>-1.2531328320801293E-3</v>
      </c>
      <c r="O57" s="18">
        <f>IF(ISNUMBER(M57), $B64 * N57, "")</f>
        <v>-187.9699248120194</v>
      </c>
      <c r="Q57" s="156"/>
      <c r="R57" s="156"/>
      <c r="S57" s="156"/>
    </row>
    <row r="58" spans="1:19" ht="17.25" customHeight="1" thickBot="1">
      <c r="A58" s="111" t="s">
        <v>185</v>
      </c>
      <c r="B58" s="112">
        <v>33.6</v>
      </c>
      <c r="C58" s="71">
        <v>-5.9171598000000002E-3</v>
      </c>
      <c r="D58" s="20">
        <v>33.5</v>
      </c>
      <c r="E58" s="21">
        <f t="shared" si="22"/>
        <v>-2.9761904761905185E-3</v>
      </c>
      <c r="F58" s="22">
        <f>IF(ISNUMBER(D58), $B64 * E58, "")</f>
        <v>-446.42857142857775</v>
      </c>
      <c r="G58" s="30">
        <v>33.4</v>
      </c>
      <c r="H58" s="21">
        <f t="shared" si="23"/>
        <v>-5.9523809523810371E-3</v>
      </c>
      <c r="I58" s="9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>
        <v>33.4</v>
      </c>
      <c r="N58" s="21">
        <f t="shared" si="25"/>
        <v>-5.9523809523810371E-3</v>
      </c>
      <c r="O58" s="22">
        <f>IF(ISNUMBER(M58), $B64 * N58, "")</f>
        <v>-892.85714285715551</v>
      </c>
      <c r="Q58" s="156"/>
      <c r="R58" s="156"/>
      <c r="S58" s="156"/>
    </row>
    <row r="59" spans="1:19" ht="17.25" customHeight="1" thickBot="1">
      <c r="A59" s="109" t="s">
        <v>240</v>
      </c>
      <c r="B59" s="113">
        <v>29.7</v>
      </c>
      <c r="C59" s="73">
        <v>-6.6889632000000001E-3</v>
      </c>
      <c r="D59" s="96">
        <v>30.2</v>
      </c>
      <c r="E59" s="97">
        <f>IF(ISNUMBER(D59), (D59 - $B59) / $B59, "")</f>
        <v>1.6835016835016835E-2</v>
      </c>
      <c r="F59" s="98">
        <f>IF(ISNUMBER(D59), $B64 * E59, "")</f>
        <v>2525.2525252525252</v>
      </c>
      <c r="G59" s="99">
        <v>30</v>
      </c>
      <c r="H59" s="97">
        <f>IF(ISNUMBER(G59), (G59 - $B59) / $B59, "")</f>
        <v>1.0101010101010124E-2</v>
      </c>
      <c r="I59" s="100">
        <f>IF(ISNUMBER(G59), $B64 * H59, "")</f>
        <v>1515.1515151515187</v>
      </c>
      <c r="J59" s="96">
        <v>30</v>
      </c>
      <c r="K59" s="97">
        <f>IF(ISNUMBER(J59), (J59 - $B59) / $B59, "")</f>
        <v>1.0101010101010124E-2</v>
      </c>
      <c r="L59" s="98">
        <f>IF(ISNUMBER(J59), $B64 * K59, "")</f>
        <v>1515.1515151515187</v>
      </c>
      <c r="M59" s="99">
        <v>29.9</v>
      </c>
      <c r="N59" s="97">
        <f>IF(ISNUMBER(M59), (M59 - $B59) / $B59, "")</f>
        <v>6.7340067340067103E-3</v>
      </c>
      <c r="O59" s="98">
        <f>IF(ISNUMBER(M59), $B64 * N59, "")</f>
        <v>1010.1010101010065</v>
      </c>
      <c r="Q59" s="161"/>
      <c r="R59" s="161"/>
      <c r="S59" s="161"/>
    </row>
    <row r="60" spans="1:19" ht="17.25" customHeight="1" thickBot="1">
      <c r="A60" s="109" t="s">
        <v>333</v>
      </c>
      <c r="B60" s="110">
        <v>63.8</v>
      </c>
      <c r="C60" s="70">
        <v>-7.7760498000000004E-3</v>
      </c>
      <c r="D60" s="15">
        <v>65</v>
      </c>
      <c r="E60" s="32">
        <f t="shared" ref="E60:E63" si="26">IF(ISNUMBER(D60), (D60 - $B60) / $B60, "")</f>
        <v>1.8808777429467131E-2</v>
      </c>
      <c r="F60" s="18">
        <f>IF(ISNUMBER(D60), $B64 * E60, "")</f>
        <v>2821.3166144200695</v>
      </c>
      <c r="G60" s="31">
        <v>65.099999999999994</v>
      </c>
      <c r="H60" s="32">
        <f t="shared" ref="H60:H63" si="27">IF(ISNUMBER(G60), (G60 - $B60) / $B60, "")</f>
        <v>2.0376175548589299E-2</v>
      </c>
      <c r="I60" s="91">
        <f>IF(ISNUMBER(G60), $B64 * H60, "")</f>
        <v>3056.4263322883949</v>
      </c>
      <c r="J60" s="15">
        <v>65.099999999999994</v>
      </c>
      <c r="K60" s="32">
        <f t="shared" ref="K60:K63" si="28">IF(ISNUMBER(J60), (J60 - $B60) / $B60, "")</f>
        <v>2.0376175548589299E-2</v>
      </c>
      <c r="L60" s="18">
        <f>IF(ISNUMBER(J60), $B64 * K60, "")</f>
        <v>3056.4263322883949</v>
      </c>
      <c r="M60" s="31">
        <v>64.900000000000006</v>
      </c>
      <c r="N60" s="32">
        <f t="shared" ref="N60:N63" si="29">IF(ISNUMBER(M60), (M60 - $B60) / $B60, "")</f>
        <v>1.7241379310344963E-2</v>
      </c>
      <c r="O60" s="18">
        <f>IF(ISNUMBER(M60), $B64 * N60, "")</f>
        <v>2586.2068965517442</v>
      </c>
      <c r="Q60" s="161"/>
      <c r="R60" s="161"/>
      <c r="S60" s="161"/>
    </row>
    <row r="61" spans="1:19" ht="17.25" customHeight="1" thickBot="1">
      <c r="A61" s="109" t="s">
        <v>64</v>
      </c>
      <c r="B61" s="110">
        <v>11.5</v>
      </c>
      <c r="C61" s="70">
        <v>-8.6206896999999998E-3</v>
      </c>
      <c r="D61" s="15">
        <v>11.6</v>
      </c>
      <c r="E61" s="32">
        <f t="shared" si="26"/>
        <v>8.6956521739130124E-3</v>
      </c>
      <c r="F61" s="18">
        <f>IF(ISNUMBER(D61), $B64 * E61, "")</f>
        <v>1304.347826086952</v>
      </c>
      <c r="G61" s="31">
        <v>11.6</v>
      </c>
      <c r="H61" s="32">
        <f t="shared" si="27"/>
        <v>8.6956521739130124E-3</v>
      </c>
      <c r="I61" s="91">
        <f>IF(ISNUMBER(G61), $B64 * H61, "")</f>
        <v>1304.347826086952</v>
      </c>
      <c r="J61" s="15">
        <v>11.6</v>
      </c>
      <c r="K61" s="32">
        <f t="shared" si="28"/>
        <v>8.6956521739130124E-3</v>
      </c>
      <c r="L61" s="18">
        <f>IF(ISNUMBER(J61), $B64 * K61, "")</f>
        <v>1304.347826086952</v>
      </c>
      <c r="M61" s="31">
        <v>11.5</v>
      </c>
      <c r="N61" s="32">
        <f t="shared" si="29"/>
        <v>0</v>
      </c>
      <c r="O61" s="18">
        <f>IF(ISNUMBER(M61), $B64 * N61, "")</f>
        <v>0</v>
      </c>
      <c r="Q61" s="161"/>
      <c r="R61" s="161"/>
      <c r="S61" s="161"/>
    </row>
    <row r="62" spans="1:19" ht="17.25" customHeight="1">
      <c r="A62" s="109" t="s">
        <v>210</v>
      </c>
      <c r="B62" s="110">
        <v>66.8</v>
      </c>
      <c r="C62" s="70">
        <v>-8.9020772000000005E-3</v>
      </c>
      <c r="D62" s="15">
        <v>68.900000000000006</v>
      </c>
      <c r="E62" s="32">
        <f t="shared" si="26"/>
        <v>3.1437125748503124E-2</v>
      </c>
      <c r="F62" s="18">
        <f>IF(ISNUMBER(D62), $B64 * E62, "")</f>
        <v>4715.5688622754687</v>
      </c>
      <c r="G62" s="31">
        <v>67.599999999999994</v>
      </c>
      <c r="H62" s="32">
        <f t="shared" si="27"/>
        <v>1.1976047904191574E-2</v>
      </c>
      <c r="I62" s="91">
        <f>IF(ISNUMBER(G62), $B64 * H62, "")</f>
        <v>1796.4071856287362</v>
      </c>
      <c r="J62" s="15">
        <v>67.8</v>
      </c>
      <c r="K62" s="32">
        <f t="shared" si="28"/>
        <v>1.4970059880239521E-2</v>
      </c>
      <c r="L62" s="18">
        <f>IF(ISNUMBER(J62), $B64 * K62, "")</f>
        <v>2245.5089820359281</v>
      </c>
      <c r="M62" s="31">
        <v>67.400000000000006</v>
      </c>
      <c r="N62" s="32">
        <f t="shared" si="29"/>
        <v>8.9820359281438406E-3</v>
      </c>
      <c r="O62" s="18">
        <f>IF(ISNUMBER(M62), $B64 * N62, "")</f>
        <v>1347.3053892215762</v>
      </c>
      <c r="Q62" s="183"/>
      <c r="R62" s="184"/>
      <c r="S62" s="185"/>
    </row>
    <row r="63" spans="1:19" ht="17.25" customHeight="1" thickBot="1">
      <c r="A63" s="114" t="s">
        <v>191</v>
      </c>
      <c r="B63" s="115">
        <v>52.9</v>
      </c>
      <c r="C63" s="72">
        <v>-9.3632959000000005E-3</v>
      </c>
      <c r="D63" s="24">
        <v>53</v>
      </c>
      <c r="E63" s="25">
        <f t="shared" si="26"/>
        <v>1.8903591682419929E-3</v>
      </c>
      <c r="F63" s="94">
        <f>IF(ISNUMBER(D63), $B64 * E63, "")</f>
        <v>283.55387523629895</v>
      </c>
      <c r="G63" s="92">
        <v>53.1</v>
      </c>
      <c r="H63" s="25">
        <f t="shared" si="27"/>
        <v>3.7807183364839858E-3</v>
      </c>
      <c r="I63" s="93">
        <f>IF(ISNUMBER(G63), $B64 * H63, "")</f>
        <v>567.1077504725979</v>
      </c>
      <c r="J63" s="24">
        <v>53.2</v>
      </c>
      <c r="K63" s="25">
        <f t="shared" si="28"/>
        <v>5.671077504725979E-3</v>
      </c>
      <c r="L63" s="94">
        <f>IF(ISNUMBER(J63), $B64 * K63, "")</f>
        <v>850.66162570889685</v>
      </c>
      <c r="M63" s="92">
        <v>53.1</v>
      </c>
      <c r="N63" s="25">
        <f t="shared" si="29"/>
        <v>3.7807183364839858E-3</v>
      </c>
      <c r="O63" s="94">
        <f>IF(ISNUMBER(M63), $B64 * N63, "")</f>
        <v>567.1077504725979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5.0585553500483334E-3</v>
      </c>
      <c r="F64" s="28">
        <f>SUM(F44:F63)</f>
        <v>15175.666050144999</v>
      </c>
      <c r="G64" s="26" t="s">
        <v>261</v>
      </c>
      <c r="H64" s="27">
        <f>IF(COUNT(H44:H63), SUM(H44:H63) / COUNT(H44:H63), 0)</f>
        <v>1.4159747635167433E-3</v>
      </c>
      <c r="I64" s="28">
        <f>SUM(I44:I63)</f>
        <v>4247.9242905502315</v>
      </c>
      <c r="J64" s="26" t="s">
        <v>261</v>
      </c>
      <c r="K64" s="27">
        <f>IF(COUNT(K44:K63), SUM(K44:K63) / COUNT(K44:K63), 0)</f>
        <v>8.2791888865885888E-3</v>
      </c>
      <c r="L64" s="28">
        <f>SUM(L44:L63)</f>
        <v>24837.566659765766</v>
      </c>
      <c r="M64" s="26" t="s">
        <v>261</v>
      </c>
      <c r="N64" s="27">
        <f>IF(COUNT(N44:N63), SUM(N44:N63) / COUNT(N44:N63), 0)</f>
        <v>3.6528828833908475E-3</v>
      </c>
      <c r="O64" s="28">
        <f>SUM(O44:O63)</f>
        <v>10958.648650172545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2022-12-05(월) 오전 00:00</v>
      </c>
      <c r="C69" s="199"/>
      <c r="D69" s="158" t="str">
        <f>TEXT($G$1, "[$-ko-KR]yyyy-mm-dd(ddd) ") &amp; "오후 14:00"</f>
        <v>2022-12-05(월) 오후 14:00</v>
      </c>
      <c r="E69" s="159"/>
      <c r="F69" s="160"/>
      <c r="G69" s="158" t="str">
        <f>TEXT($G$1, "[$-ko-KR]yyyy-mm-dd(ddd) ") &amp; "오후 19:00"</f>
        <v>2022-12-05(월) 오후 19:00</v>
      </c>
      <c r="H69" s="159"/>
      <c r="I69" s="160"/>
      <c r="J69" s="158" t="str">
        <f>TEXT($G$1, "[$-ko-KR]yyyy-mm-dd(ddd) ") &amp; "오후 21:00"</f>
        <v>2022-12-05(월) 오후 21:00</v>
      </c>
      <c r="K69" s="159"/>
      <c r="L69" s="160"/>
      <c r="M69" s="158" t="str">
        <f>TEXT($G$1+1, "[$-ko-KR]yyyy-mm-dd(ddd) ") &amp; "오전 00:00"</f>
        <v>2022-12-06(화)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349</v>
      </c>
      <c r="B71" s="108">
        <v>915</v>
      </c>
      <c r="C71" s="69">
        <v>0.15676359040000001</v>
      </c>
      <c r="D71" s="13">
        <v>917</v>
      </c>
      <c r="E71" s="14">
        <f>IF(ISNUMBER(D71), (D71 - $B71) / $B71, "")</f>
        <v>2.185792349726776E-3</v>
      </c>
      <c r="F71" s="16">
        <f>IF(ISNUMBER(D71), $B91 * E71, "")</f>
        <v>327.86885245901641</v>
      </c>
      <c r="G71" s="29">
        <v>887</v>
      </c>
      <c r="H71" s="14">
        <f>IF(ISNUMBER(G71), (G71 - $B71) / $B71, "")</f>
        <v>-3.0601092896174863E-2</v>
      </c>
      <c r="I71" s="90">
        <f>IF(ISNUMBER(G71), $B91 * H71, "")</f>
        <v>-4590.1639344262294</v>
      </c>
      <c r="J71" s="13">
        <v>888</v>
      </c>
      <c r="K71" s="14">
        <f>IF(ISNUMBER(J71), (J71 - $B71) / $B71, "")</f>
        <v>-2.9508196721311476E-2</v>
      </c>
      <c r="L71" s="16">
        <f>IF(ISNUMBER(J71), $B91 * K71, "")</f>
        <v>-4426.2295081967213</v>
      </c>
      <c r="M71" s="29">
        <v>877</v>
      </c>
      <c r="N71" s="14">
        <f>IF(ISNUMBER(M71), (M71 - $B71) / $B71, "")</f>
        <v>-4.1530054644808745E-2</v>
      </c>
      <c r="O71" s="16">
        <f>IF(ISNUMBER(M71), $B91 * N71, "")</f>
        <v>-6229.5081967213118</v>
      </c>
      <c r="Q71" s="156"/>
      <c r="R71" s="156"/>
      <c r="S71" s="156"/>
    </row>
    <row r="72" spans="1:19" ht="17.25" thickBot="1">
      <c r="A72" s="109" t="s">
        <v>68</v>
      </c>
      <c r="B72" s="110">
        <v>403</v>
      </c>
      <c r="C72" s="70">
        <v>0.11325966849999999</v>
      </c>
      <c r="D72" s="15">
        <v>437</v>
      </c>
      <c r="E72" s="32">
        <f t="shared" ref="E72:E75" si="30">IF(ISNUMBER(D72), (D72 - $B72) / $B72, "")</f>
        <v>8.4367245657568243E-2</v>
      </c>
      <c r="F72" s="18">
        <f>IF(ISNUMBER(D72), $B91 * E72, "")</f>
        <v>12655.086848635237</v>
      </c>
      <c r="G72" s="31">
        <v>413</v>
      </c>
      <c r="H72" s="32">
        <f t="shared" ref="H72:H75" si="31">IF(ISNUMBER(G72), (G72 - $B72) / $B72, "")</f>
        <v>2.4813895781637719E-2</v>
      </c>
      <c r="I72" s="91">
        <f>IF(ISNUMBER(G72), $B91 * H72, "")</f>
        <v>3722.0843672456576</v>
      </c>
      <c r="J72" s="15">
        <v>413</v>
      </c>
      <c r="K72" s="32">
        <f t="shared" ref="K72:K75" si="32">IF(ISNUMBER(J72), (J72 - $B72) / $B72, "")</f>
        <v>2.4813895781637719E-2</v>
      </c>
      <c r="L72" s="18">
        <f>IF(ISNUMBER(J72), $B91 * K72, "")</f>
        <v>3722.0843672456576</v>
      </c>
      <c r="M72" s="31">
        <v>406</v>
      </c>
      <c r="N72" s="32">
        <f t="shared" ref="N72:N75" si="33">IF(ISNUMBER(M72), (M72 - $B72) / $B72, "")</f>
        <v>7.4441687344913151E-3</v>
      </c>
      <c r="O72" s="18">
        <f>IF(ISNUMBER(M72), $B91 * N72, "")</f>
        <v>1116.6253101736972</v>
      </c>
      <c r="Q72" s="156"/>
      <c r="R72" s="156"/>
      <c r="S72" s="156"/>
    </row>
    <row r="73" spans="1:19" ht="17.25" thickBot="1">
      <c r="A73" s="109" t="s">
        <v>256</v>
      </c>
      <c r="B73" s="110">
        <v>139</v>
      </c>
      <c r="C73" s="70">
        <v>2.9629629599999999E-2</v>
      </c>
      <c r="D73" s="15">
        <v>139</v>
      </c>
      <c r="E73" s="32">
        <f t="shared" si="30"/>
        <v>0</v>
      </c>
      <c r="F73" s="18">
        <f>IF(ISNUMBER(D73), $B91 * E73, "")</f>
        <v>0</v>
      </c>
      <c r="G73" s="31">
        <v>142</v>
      </c>
      <c r="H73" s="32">
        <f t="shared" si="31"/>
        <v>2.1582733812949641E-2</v>
      </c>
      <c r="I73" s="91">
        <f>IF(ISNUMBER(G73), $B91 * H73, "")</f>
        <v>3237.4100719424464</v>
      </c>
      <c r="J73" s="15">
        <v>142</v>
      </c>
      <c r="K73" s="32">
        <f t="shared" si="32"/>
        <v>2.1582733812949641E-2</v>
      </c>
      <c r="L73" s="18">
        <f>IF(ISNUMBER(J73), $B91 * K73, "")</f>
        <v>3237.4100719424464</v>
      </c>
      <c r="M73" s="31">
        <v>139</v>
      </c>
      <c r="N73" s="32">
        <f t="shared" si="33"/>
        <v>0</v>
      </c>
      <c r="O73" s="18">
        <f>IF(ISNUMBER(M73), $B91 * N73, "")</f>
        <v>0</v>
      </c>
      <c r="Q73" s="161"/>
      <c r="R73" s="161"/>
      <c r="S73" s="161"/>
    </row>
    <row r="74" spans="1:19" ht="17.25" thickBot="1">
      <c r="A74" s="109" t="s">
        <v>66</v>
      </c>
      <c r="B74" s="110">
        <v>786</v>
      </c>
      <c r="C74" s="70">
        <v>2.6109660600000001E-2</v>
      </c>
      <c r="D74" s="15">
        <v>762</v>
      </c>
      <c r="E74" s="32">
        <f t="shared" si="30"/>
        <v>-3.0534351145038167E-2</v>
      </c>
      <c r="F74" s="18">
        <f>IF(ISNUMBER(D74), $B91 * E74, "")</f>
        <v>-4580.1526717557254</v>
      </c>
      <c r="G74" s="31">
        <v>754</v>
      </c>
      <c r="H74" s="32">
        <f t="shared" si="31"/>
        <v>-4.0712468193384227E-2</v>
      </c>
      <c r="I74" s="91">
        <f>IF(ISNUMBER(G74), $B91 * H74, "")</f>
        <v>-6106.8702290076344</v>
      </c>
      <c r="J74" s="15">
        <v>756</v>
      </c>
      <c r="K74" s="32">
        <f t="shared" si="32"/>
        <v>-3.8167938931297711E-2</v>
      </c>
      <c r="L74" s="18">
        <f>IF(ISNUMBER(J74), $B91 * K74, "")</f>
        <v>-5725.1908396946565</v>
      </c>
      <c r="M74" s="31">
        <v>754</v>
      </c>
      <c r="N74" s="32">
        <f t="shared" si="33"/>
        <v>-4.0712468193384227E-2</v>
      </c>
      <c r="O74" s="18">
        <f>IF(ISNUMBER(M74), $B91 * N74, "")</f>
        <v>-6106.8702290076344</v>
      </c>
      <c r="Q74" s="161"/>
      <c r="R74" s="161"/>
      <c r="S74" s="161"/>
    </row>
    <row r="75" spans="1:19" ht="17.25" thickBot="1">
      <c r="A75" s="111" t="s">
        <v>103</v>
      </c>
      <c r="B75" s="112">
        <v>262</v>
      </c>
      <c r="C75" s="71">
        <v>2.34375E-2</v>
      </c>
      <c r="D75" s="20">
        <v>260</v>
      </c>
      <c r="E75" s="21">
        <f t="shared" si="30"/>
        <v>-7.6335877862595417E-3</v>
      </c>
      <c r="F75" s="22">
        <f>IF(ISNUMBER(D75), $B91 * E75, "")</f>
        <v>-1145.0381679389313</v>
      </c>
      <c r="G75" s="30">
        <v>260</v>
      </c>
      <c r="H75" s="21">
        <f t="shared" si="31"/>
        <v>-7.6335877862595417E-3</v>
      </c>
      <c r="I75" s="95">
        <f>IF(ISNUMBER(G75), $B91 * H75, "")</f>
        <v>-1145.0381679389313</v>
      </c>
      <c r="J75" s="20">
        <v>260</v>
      </c>
      <c r="K75" s="21">
        <f t="shared" si="32"/>
        <v>-7.6335877862595417E-3</v>
      </c>
      <c r="L75" s="22">
        <f>IF(ISNUMBER(J75), $B91 * K75, "")</f>
        <v>-1145.0381679389313</v>
      </c>
      <c r="M75" s="30">
        <v>259</v>
      </c>
      <c r="N75" s="21">
        <f t="shared" si="33"/>
        <v>-1.1450381679389313E-2</v>
      </c>
      <c r="O75" s="22">
        <f>IF(ISNUMBER(M75), $B91 * N75, "")</f>
        <v>-1717.5572519083969</v>
      </c>
      <c r="Q75" s="161"/>
      <c r="R75" s="161"/>
      <c r="S75" s="161"/>
    </row>
    <row r="76" spans="1:19" ht="17.25" thickBot="1">
      <c r="A76" s="109" t="s">
        <v>187</v>
      </c>
      <c r="B76" s="113">
        <v>791</v>
      </c>
      <c r="C76" s="73">
        <v>1.6709511600000001E-2</v>
      </c>
      <c r="D76" s="96">
        <v>782</v>
      </c>
      <c r="E76" s="97">
        <f>IF(ISNUMBER(D76), (D76 - $B76) / $B76, "")</f>
        <v>-1.1378002528445006E-2</v>
      </c>
      <c r="F76" s="98">
        <f>IF(ISNUMBER(D76), $B91 * E76, "")</f>
        <v>-1706.700379266751</v>
      </c>
      <c r="G76" s="99">
        <v>783</v>
      </c>
      <c r="H76" s="97">
        <f>IF(ISNUMBER(G76), (G76 - $B76) / $B76, "")</f>
        <v>-1.0113780025284451E-2</v>
      </c>
      <c r="I76" s="100">
        <f>IF(ISNUMBER(G76), $B91 * H76, "")</f>
        <v>-1517.0670037926677</v>
      </c>
      <c r="J76" s="96">
        <v>787</v>
      </c>
      <c r="K76" s="97">
        <f>IF(ISNUMBER(J76), (J76 - $B76) / $B76, "")</f>
        <v>-5.0568900126422255E-3</v>
      </c>
      <c r="L76" s="98">
        <f>IF(ISNUMBER(J76), $B91 * K76, "")</f>
        <v>-758.53350189633386</v>
      </c>
      <c r="M76" s="99">
        <v>778</v>
      </c>
      <c r="N76" s="97">
        <f>IF(ISNUMBER(M76), (M76 - $B76) / $B76, "")</f>
        <v>-1.643489254108723E-2</v>
      </c>
      <c r="O76" s="98">
        <f>IF(ISNUMBER(M76), $B91 * N76, "")</f>
        <v>-2465.2338811630843</v>
      </c>
      <c r="Q76" s="161"/>
      <c r="R76" s="161"/>
      <c r="S76" s="161"/>
    </row>
    <row r="77" spans="1:19" ht="17.25" thickBot="1">
      <c r="A77" s="109" t="s">
        <v>130</v>
      </c>
      <c r="B77" s="110">
        <v>876</v>
      </c>
      <c r="C77" s="70">
        <v>1.50637312E-2</v>
      </c>
      <c r="D77" s="15">
        <v>883</v>
      </c>
      <c r="E77" s="32">
        <f t="shared" ref="E77:E80" si="34">IF(ISNUMBER(D77), (D77 - $B77) / $B77, "")</f>
        <v>7.9908675799086754E-3</v>
      </c>
      <c r="F77" s="18">
        <f>IF(ISNUMBER(D77), $B91 * E77, "")</f>
        <v>1198.6301369863013</v>
      </c>
      <c r="G77" s="31">
        <v>881</v>
      </c>
      <c r="H77" s="32">
        <f t="shared" ref="H77:H80" si="35">IF(ISNUMBER(G77), (G77 - $B77) / $B77, "")</f>
        <v>5.7077625570776253E-3</v>
      </c>
      <c r="I77" s="91">
        <f>IF(ISNUMBER(G77), $B91 * H77, "")</f>
        <v>856.16438356164383</v>
      </c>
      <c r="J77" s="15">
        <v>883</v>
      </c>
      <c r="K77" s="32">
        <f t="shared" ref="K77:K80" si="36">IF(ISNUMBER(J77), (J77 - $B77) / $B77, "")</f>
        <v>7.9908675799086754E-3</v>
      </c>
      <c r="L77" s="18">
        <f>IF(ISNUMBER(J77), $B91 * K77, "")</f>
        <v>1198.6301369863013</v>
      </c>
      <c r="M77" s="31">
        <v>879</v>
      </c>
      <c r="N77" s="32">
        <f t="shared" ref="N77:N80" si="37">IF(ISNUMBER(M77), (M77 - $B77) / $B77, "")</f>
        <v>3.4246575342465752E-3</v>
      </c>
      <c r="O77" s="18">
        <f>IF(ISNUMBER(M77), $B91 * N77, "")</f>
        <v>513.69863013698625</v>
      </c>
      <c r="Q77" s="161"/>
      <c r="R77" s="161"/>
      <c r="S77" s="161"/>
    </row>
    <row r="78" spans="1:19" ht="17.25" thickBot="1">
      <c r="A78" s="109" t="s">
        <v>149</v>
      </c>
      <c r="B78" s="110">
        <v>414</v>
      </c>
      <c r="C78" s="70">
        <v>9.7560975999999994E-3</v>
      </c>
      <c r="D78" s="15">
        <v>419</v>
      </c>
      <c r="E78" s="32">
        <f t="shared" si="34"/>
        <v>1.2077294685990338E-2</v>
      </c>
      <c r="F78" s="18">
        <f>IF(ISNUMBER(D78), $B91 * E78, "")</f>
        <v>1811.5942028985507</v>
      </c>
      <c r="G78" s="31">
        <v>427</v>
      </c>
      <c r="H78" s="32">
        <f t="shared" si="35"/>
        <v>3.140096618357488E-2</v>
      </c>
      <c r="I78" s="91">
        <f>IF(ISNUMBER(G78), $B91 * H78, "")</f>
        <v>4710.144927536232</v>
      </c>
      <c r="J78" s="15">
        <v>430</v>
      </c>
      <c r="K78" s="32">
        <f t="shared" si="36"/>
        <v>3.864734299516908E-2</v>
      </c>
      <c r="L78" s="18">
        <f>IF(ISNUMBER(J78), $B91 * K78, "")</f>
        <v>5797.101449275362</v>
      </c>
      <c r="M78" s="31">
        <v>429</v>
      </c>
      <c r="N78" s="32">
        <f t="shared" si="37"/>
        <v>3.6231884057971016E-2</v>
      </c>
      <c r="O78" s="18">
        <f>IF(ISNUMBER(M78), $B91 * N78, "")</f>
        <v>5434.782608695652</v>
      </c>
      <c r="Q78" s="161"/>
      <c r="R78" s="161"/>
      <c r="S78" s="161"/>
    </row>
    <row r="79" spans="1:19" ht="17.25" thickBot="1">
      <c r="A79" s="109" t="s">
        <v>244</v>
      </c>
      <c r="B79" s="110">
        <v>104</v>
      </c>
      <c r="C79" s="70">
        <v>9.7087379000000001E-3</v>
      </c>
      <c r="D79" s="15">
        <v>103</v>
      </c>
      <c r="E79" s="32">
        <f t="shared" si="34"/>
        <v>-9.6153846153846159E-3</v>
      </c>
      <c r="F79" s="18">
        <f>IF(ISNUMBER(D79), $B91 * E79, "")</f>
        <v>-1442.3076923076924</v>
      </c>
      <c r="G79" s="31">
        <v>104</v>
      </c>
      <c r="H79" s="32">
        <f t="shared" si="35"/>
        <v>0</v>
      </c>
      <c r="I79" s="91">
        <f>IF(ISNUMBER(G79), $B91 * H79, "")</f>
        <v>0</v>
      </c>
      <c r="J79" s="15">
        <v>104</v>
      </c>
      <c r="K79" s="32">
        <f t="shared" si="36"/>
        <v>0</v>
      </c>
      <c r="L79" s="18">
        <f>IF(ISNUMBER(J79), $B91 * K79, "")</f>
        <v>0</v>
      </c>
      <c r="M79" s="31">
        <v>104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14" t="s">
        <v>340</v>
      </c>
      <c r="B80" s="115">
        <v>664</v>
      </c>
      <c r="C80" s="72">
        <v>4.5385779000000001E-3</v>
      </c>
      <c r="D80" s="24">
        <v>667</v>
      </c>
      <c r="E80" s="25">
        <f t="shared" si="34"/>
        <v>4.5180722891566263E-3</v>
      </c>
      <c r="F80" s="94">
        <f>IF(ISNUMBER(D80), $B91 * E80, "")</f>
        <v>677.71084337349396</v>
      </c>
      <c r="G80" s="92">
        <v>668</v>
      </c>
      <c r="H80" s="25">
        <f t="shared" si="35"/>
        <v>6.024096385542169E-3</v>
      </c>
      <c r="I80" s="93">
        <f>IF(ISNUMBER(G80), $B91 * H80, "")</f>
        <v>903.61445783132535</v>
      </c>
      <c r="J80" s="24">
        <v>667</v>
      </c>
      <c r="K80" s="25">
        <f t="shared" si="36"/>
        <v>4.5180722891566263E-3</v>
      </c>
      <c r="L80" s="94">
        <f>IF(ISNUMBER(J80), $B91 * K80, "")</f>
        <v>677.71084337349396</v>
      </c>
      <c r="M80" s="92">
        <v>662</v>
      </c>
      <c r="N80" s="25">
        <f t="shared" si="37"/>
        <v>-3.0120481927710845E-3</v>
      </c>
      <c r="O80" s="94">
        <f>IF(ISNUMBER(M80), $B91 * N80, "")</f>
        <v>-451.80722891566268</v>
      </c>
      <c r="Q80" s="170"/>
      <c r="R80" s="171"/>
      <c r="S80" s="172"/>
    </row>
    <row r="81" spans="1:19">
      <c r="A81" s="107" t="s">
        <v>79</v>
      </c>
      <c r="B81" s="108">
        <v>311</v>
      </c>
      <c r="C81" s="69">
        <v>3.2258065000000001E-3</v>
      </c>
      <c r="D81" s="13">
        <v>313</v>
      </c>
      <c r="E81" s="14">
        <f>IF(ISNUMBER(D81), (D81 - $B81) / $B81, "")</f>
        <v>6.4308681672025723E-3</v>
      </c>
      <c r="F81" s="16">
        <f>IF(ISNUMBER(D81), $B91 * E81, "")</f>
        <v>964.6302250803858</v>
      </c>
      <c r="G81" s="29">
        <v>316</v>
      </c>
      <c r="H81" s="14">
        <f>IF(ISNUMBER(G81), (G81 - $B81) / $B81, "")</f>
        <v>1.607717041800643E-2</v>
      </c>
      <c r="I81" s="90">
        <f>IF(ISNUMBER(G81), $B91 * H81, "")</f>
        <v>2411.5755627009644</v>
      </c>
      <c r="J81" s="13">
        <v>316</v>
      </c>
      <c r="K81" s="14">
        <f>IF(ISNUMBER(J81), (J81 - $B81) / $B81, "")</f>
        <v>1.607717041800643E-2</v>
      </c>
      <c r="L81" s="16">
        <f>IF(ISNUMBER(J81), $B91 * K81, "")</f>
        <v>2411.5755627009644</v>
      </c>
      <c r="M81" s="29">
        <v>312</v>
      </c>
      <c r="N81" s="14">
        <f>IF(ISNUMBER(M81), (M81 - $B81) / $B81, "")</f>
        <v>3.2154340836012861E-3</v>
      </c>
      <c r="O81" s="16">
        <f>IF(ISNUMBER(M81), $B91 * N81, "")</f>
        <v>482.3151125401929</v>
      </c>
      <c r="Q81" s="173"/>
      <c r="R81" s="174"/>
      <c r="S81" s="175"/>
    </row>
    <row r="82" spans="1:19" ht="17.25" thickBot="1">
      <c r="A82" s="109" t="s">
        <v>161</v>
      </c>
      <c r="B82" s="110">
        <v>334</v>
      </c>
      <c r="C82" s="70">
        <v>3.0030030000000002E-3</v>
      </c>
      <c r="D82" s="15">
        <v>331</v>
      </c>
      <c r="E82" s="32">
        <f t="shared" ref="E82:E85" si="38">IF(ISNUMBER(D82), (D82 - $B82) / $B82, "")</f>
        <v>-8.9820359281437123E-3</v>
      </c>
      <c r="F82" s="18">
        <f>IF(ISNUMBER(D82), $B91 * E82, "")</f>
        <v>-1347.3053892215569</v>
      </c>
      <c r="G82" s="31">
        <v>336</v>
      </c>
      <c r="H82" s="32">
        <f t="shared" ref="H82:H85" si="39">IF(ISNUMBER(G82), (G82 - $B82) / $B82, "")</f>
        <v>5.9880239520958087E-3</v>
      </c>
      <c r="I82" s="91">
        <f>IF(ISNUMBER(G82), $B91 * H82, "")</f>
        <v>898.20359281437129</v>
      </c>
      <c r="J82" s="15">
        <v>338</v>
      </c>
      <c r="K82" s="32">
        <f t="shared" ref="K82:K85" si="40">IF(ISNUMBER(J82), (J82 - $B82) / $B82, "")</f>
        <v>1.1976047904191617E-2</v>
      </c>
      <c r="L82" s="18">
        <f>IF(ISNUMBER(J82), $B91 * K82, "")</f>
        <v>1796.4071856287426</v>
      </c>
      <c r="M82" s="31">
        <v>337</v>
      </c>
      <c r="N82" s="32">
        <f t="shared" ref="N82:N85" si="41">IF(ISNUMBER(M82), (M82 - $B82) / $B82, "")</f>
        <v>8.9820359281437123E-3</v>
      </c>
      <c r="O82" s="18">
        <f>IF(ISNUMBER(M82), $B91 * N82, "")</f>
        <v>1347.3053892215569</v>
      </c>
      <c r="Q82" s="176"/>
      <c r="R82" s="177"/>
      <c r="S82" s="178"/>
    </row>
    <row r="83" spans="1:19" ht="17.25" thickBot="1">
      <c r="A83" s="109" t="s">
        <v>89</v>
      </c>
      <c r="B83" s="110">
        <v>524</v>
      </c>
      <c r="C83" s="70">
        <v>0</v>
      </c>
      <c r="D83" s="15">
        <v>524</v>
      </c>
      <c r="E83" s="32">
        <f t="shared" si="38"/>
        <v>0</v>
      </c>
      <c r="F83" s="18">
        <f>IF(ISNUMBER(D83), $B91 * E83, "")</f>
        <v>0</v>
      </c>
      <c r="G83" s="31">
        <v>522</v>
      </c>
      <c r="H83" s="32">
        <f t="shared" si="39"/>
        <v>-3.8167938931297708E-3</v>
      </c>
      <c r="I83" s="91">
        <f>IF(ISNUMBER(G83), $B91 * H83, "")</f>
        <v>-572.51908396946567</v>
      </c>
      <c r="J83" s="15">
        <v>523</v>
      </c>
      <c r="K83" s="32">
        <f t="shared" si="40"/>
        <v>-1.9083969465648854E-3</v>
      </c>
      <c r="L83" s="18">
        <f>IF(ISNUMBER(J83), $B91 * K83, "")</f>
        <v>-286.25954198473283</v>
      </c>
      <c r="M83" s="31">
        <v>522</v>
      </c>
      <c r="N83" s="32">
        <f t="shared" si="41"/>
        <v>-3.8167938931297708E-3</v>
      </c>
      <c r="O83" s="18">
        <f>IF(ISNUMBER(M83), $B91 * N83, "")</f>
        <v>-572.51908396946567</v>
      </c>
      <c r="Q83" s="161"/>
      <c r="R83" s="161"/>
      <c r="S83" s="161"/>
    </row>
    <row r="84" spans="1:19" ht="17.25" thickBot="1">
      <c r="A84" s="109" t="s">
        <v>101</v>
      </c>
      <c r="B84" s="110">
        <v>248</v>
      </c>
      <c r="C84" s="70">
        <v>0</v>
      </c>
      <c r="D84" s="15">
        <v>254</v>
      </c>
      <c r="E84" s="32">
        <f t="shared" si="38"/>
        <v>2.4193548387096774E-2</v>
      </c>
      <c r="F84" s="18">
        <f>IF(ISNUMBER(D84), $B91 * E84, "")</f>
        <v>3629.0322580645161</v>
      </c>
      <c r="G84" s="31">
        <v>253</v>
      </c>
      <c r="H84" s="32">
        <f t="shared" si="39"/>
        <v>2.0161290322580645E-2</v>
      </c>
      <c r="I84" s="91">
        <f>IF(ISNUMBER(G84), $B91 * H84, "")</f>
        <v>3024.1935483870966</v>
      </c>
      <c r="J84" s="15">
        <v>253</v>
      </c>
      <c r="K84" s="32">
        <f t="shared" si="40"/>
        <v>2.0161290322580645E-2</v>
      </c>
      <c r="L84" s="18">
        <f>IF(ISNUMBER(J84), $B91 * K84, "")</f>
        <v>3024.1935483870966</v>
      </c>
      <c r="M84" s="31">
        <v>250</v>
      </c>
      <c r="N84" s="32">
        <f t="shared" si="41"/>
        <v>8.0645161290322578E-3</v>
      </c>
      <c r="O84" s="18">
        <f>IF(ISNUMBER(M84), $B91 * N84, "")</f>
        <v>1209.6774193548388</v>
      </c>
      <c r="Q84" s="156"/>
      <c r="R84" s="156"/>
      <c r="S84" s="156"/>
    </row>
    <row r="85" spans="1:19" ht="17.25" thickBot="1">
      <c r="A85" s="111" t="s">
        <v>157</v>
      </c>
      <c r="B85" s="112">
        <v>161</v>
      </c>
      <c r="C85" s="71">
        <v>0</v>
      </c>
      <c r="D85" s="20">
        <v>162</v>
      </c>
      <c r="E85" s="21">
        <f t="shared" si="38"/>
        <v>6.2111801242236021E-3</v>
      </c>
      <c r="F85" s="22">
        <f>IF(ISNUMBER(D85), $B91 * E85, "")</f>
        <v>931.67701863354034</v>
      </c>
      <c r="G85" s="30">
        <v>162</v>
      </c>
      <c r="H85" s="21">
        <f t="shared" si="39"/>
        <v>6.2111801242236021E-3</v>
      </c>
      <c r="I85" s="95">
        <f>IF(ISNUMBER(G85), $B91 * H85, "")</f>
        <v>931.67701863354034</v>
      </c>
      <c r="J85" s="20">
        <v>161</v>
      </c>
      <c r="K85" s="21">
        <f t="shared" si="40"/>
        <v>0</v>
      </c>
      <c r="L85" s="22">
        <f>IF(ISNUMBER(J85), $B91 * K85, "")</f>
        <v>0</v>
      </c>
      <c r="M85" s="30">
        <v>162</v>
      </c>
      <c r="N85" s="21">
        <f t="shared" si="41"/>
        <v>6.2111801242236021E-3</v>
      </c>
      <c r="O85" s="22">
        <f>IF(ISNUMBER(M85), $B91 * N85, "")</f>
        <v>931.67701863354034</v>
      </c>
      <c r="Q85" s="156"/>
      <c r="R85" s="156"/>
      <c r="S85" s="156"/>
    </row>
    <row r="86" spans="1:19" ht="17.25" thickBot="1">
      <c r="A86" s="109" t="s">
        <v>183</v>
      </c>
      <c r="B86" s="113">
        <v>152</v>
      </c>
      <c r="C86" s="73">
        <v>0</v>
      </c>
      <c r="D86" s="96">
        <v>151</v>
      </c>
      <c r="E86" s="97">
        <f>IF(ISNUMBER(D86), (D86 - $B86) / $B86, "")</f>
        <v>-6.5789473684210523E-3</v>
      </c>
      <c r="F86" s="98">
        <f>IF(ISNUMBER(D86), $B91 * E86, "")</f>
        <v>-986.8421052631578</v>
      </c>
      <c r="G86" s="99">
        <v>151</v>
      </c>
      <c r="H86" s="97">
        <f>IF(ISNUMBER(G86), (G86 - $B86) / $B86, "")</f>
        <v>-6.5789473684210523E-3</v>
      </c>
      <c r="I86" s="100">
        <f>IF(ISNUMBER(G86), $B91 * H86, "")</f>
        <v>-986.8421052631578</v>
      </c>
      <c r="J86" s="96">
        <v>151</v>
      </c>
      <c r="K86" s="97">
        <f>IF(ISNUMBER(J86), (J86 - $B86) / $B86, "")</f>
        <v>-6.5789473684210523E-3</v>
      </c>
      <c r="L86" s="98">
        <f>IF(ISNUMBER(J86), $B91 * K86, "")</f>
        <v>-986.8421052631578</v>
      </c>
      <c r="M86" s="99">
        <v>150</v>
      </c>
      <c r="N86" s="97">
        <f>IF(ISNUMBER(M86), (M86 - $B86) / $B86, "")</f>
        <v>-1.3157894736842105E-2</v>
      </c>
      <c r="O86" s="98">
        <f>IF(ISNUMBER(M86), $B91 * N86, "")</f>
        <v>-1973.6842105263156</v>
      </c>
      <c r="Q86" s="161"/>
      <c r="R86" s="161"/>
      <c r="S86" s="161"/>
    </row>
    <row r="87" spans="1:19" ht="17.25" thickBot="1">
      <c r="A87" s="109" t="s">
        <v>208</v>
      </c>
      <c r="B87" s="110">
        <v>113</v>
      </c>
      <c r="C87" s="70">
        <v>0</v>
      </c>
      <c r="D87" s="15">
        <v>113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112</v>
      </c>
      <c r="H87" s="32">
        <f t="shared" ref="H87:H90" si="43">IF(ISNUMBER(G87), (G87 - $B87) / $B87, "")</f>
        <v>-8.8495575221238937E-3</v>
      </c>
      <c r="I87" s="91">
        <f>IF(ISNUMBER(G87), $B91 * H87, "")</f>
        <v>-1327.4336283185839</v>
      </c>
      <c r="J87" s="15">
        <v>113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113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161"/>
      <c r="R87" s="161"/>
      <c r="S87" s="161"/>
    </row>
    <row r="88" spans="1:19" ht="17.25" thickBot="1">
      <c r="A88" s="109" t="s">
        <v>111</v>
      </c>
      <c r="B88" s="110">
        <v>782</v>
      </c>
      <c r="C88" s="70">
        <v>-1.2771391999999999E-3</v>
      </c>
      <c r="D88" s="15">
        <v>797</v>
      </c>
      <c r="E88" s="32">
        <f t="shared" si="42"/>
        <v>1.9181585677749361E-2</v>
      </c>
      <c r="F88" s="18">
        <f>IF(ISNUMBER(D88), $B91 * E88, "")</f>
        <v>2877.237851662404</v>
      </c>
      <c r="G88" s="31">
        <v>822</v>
      </c>
      <c r="H88" s="32">
        <f t="shared" si="43"/>
        <v>5.1150895140664961E-2</v>
      </c>
      <c r="I88" s="91">
        <f>IF(ISNUMBER(G88), $B91 * H88, "")</f>
        <v>7672.6342710997442</v>
      </c>
      <c r="J88" s="15">
        <v>826</v>
      </c>
      <c r="K88" s="32">
        <f t="shared" si="44"/>
        <v>5.6265984654731455E-2</v>
      </c>
      <c r="L88" s="18">
        <f>IF(ISNUMBER(J88), $B91 * K88, "")</f>
        <v>8439.8976982097174</v>
      </c>
      <c r="M88" s="31">
        <v>827</v>
      </c>
      <c r="N88" s="32">
        <f t="shared" si="45"/>
        <v>5.754475703324808E-2</v>
      </c>
      <c r="O88" s="18">
        <f>IF(ISNUMBER(M88), $B91 * N88, "")</f>
        <v>8631.7135549872128</v>
      </c>
      <c r="Q88" s="161"/>
      <c r="R88" s="161"/>
      <c r="S88" s="161"/>
    </row>
    <row r="89" spans="1:19">
      <c r="A89" s="109" t="s">
        <v>346</v>
      </c>
      <c r="B89" s="110">
        <v>524</v>
      </c>
      <c r="C89" s="70">
        <v>-1.9047618999999999E-3</v>
      </c>
      <c r="D89" s="15">
        <v>528</v>
      </c>
      <c r="E89" s="32">
        <f t="shared" si="42"/>
        <v>7.6335877862595417E-3</v>
      </c>
      <c r="F89" s="18">
        <f>IF(ISNUMBER(D89), $B91 * E89, "")</f>
        <v>1145.0381679389313</v>
      </c>
      <c r="G89" s="31">
        <v>533</v>
      </c>
      <c r="H89" s="32">
        <f t="shared" si="43"/>
        <v>1.717557251908397E-2</v>
      </c>
      <c r="I89" s="91">
        <f>IF(ISNUMBER(G89), $B91 * H89, "")</f>
        <v>2576.3358778625957</v>
      </c>
      <c r="J89" s="15">
        <v>534</v>
      </c>
      <c r="K89" s="32">
        <f t="shared" si="44"/>
        <v>1.9083969465648856E-2</v>
      </c>
      <c r="L89" s="18">
        <f>IF(ISNUMBER(J89), $B91 * K89, "")</f>
        <v>2862.5954198473282</v>
      </c>
      <c r="M89" s="31">
        <v>529</v>
      </c>
      <c r="N89" s="32">
        <f t="shared" si="45"/>
        <v>9.5419847328244278E-3</v>
      </c>
      <c r="O89" s="18">
        <f>IF(ISNUMBER(M89), $B91 * N89, "")</f>
        <v>1431.2977099236641</v>
      </c>
      <c r="Q89" s="183"/>
      <c r="R89" s="184"/>
      <c r="S89" s="185"/>
    </row>
    <row r="90" spans="1:19" ht="17.25" thickBot="1">
      <c r="A90" s="114" t="s">
        <v>81</v>
      </c>
      <c r="B90" s="115">
        <v>431</v>
      </c>
      <c r="C90" s="72">
        <v>-2.3148147999999999E-3</v>
      </c>
      <c r="D90" s="24">
        <v>433</v>
      </c>
      <c r="E90" s="25">
        <f t="shared" si="42"/>
        <v>4.6403712296983757E-3</v>
      </c>
      <c r="F90" s="94">
        <f>IF(ISNUMBER(D90), $B91 * E90, "")</f>
        <v>696.05568445475637</v>
      </c>
      <c r="G90" s="92">
        <v>436</v>
      </c>
      <c r="H90" s="25">
        <f t="shared" si="43"/>
        <v>1.1600928074245939E-2</v>
      </c>
      <c r="I90" s="93">
        <f>IF(ISNUMBER(G90), $B91 * H90, "")</f>
        <v>1740.1392111368909</v>
      </c>
      <c r="J90" s="24">
        <v>437</v>
      </c>
      <c r="K90" s="25">
        <f t="shared" si="44"/>
        <v>1.3921113689095127E-2</v>
      </c>
      <c r="L90" s="94">
        <f>IF(ISNUMBER(J90), $B91 * K90, "")</f>
        <v>2088.1670533642691</v>
      </c>
      <c r="M90" s="92">
        <v>432</v>
      </c>
      <c r="N90" s="25">
        <f t="shared" si="45"/>
        <v>2.3201856148491878E-3</v>
      </c>
      <c r="O90" s="94">
        <f>IF(ISNUMBER(M90), $B91 * N90, "")</f>
        <v>348.02784222737819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5.2354052281444385E-3</v>
      </c>
      <c r="F91" s="28">
        <f>SUM(F71:F90)</f>
        <v>15706.215684433319</v>
      </c>
      <c r="G91" s="26" t="s">
        <v>261</v>
      </c>
      <c r="H91" s="27">
        <f>IF(COUNT(H71:H90), SUM(H71:H90) / COUNT(H71:H90), 0)</f>
        <v>5.4794143793452793E-3</v>
      </c>
      <c r="I91" s="28">
        <f>SUM(I71:I90)</f>
        <v>16438.243138035839</v>
      </c>
      <c r="J91" s="26" t="s">
        <v>261</v>
      </c>
      <c r="K91" s="27">
        <f>IF(COUNT(K71:K90), SUM(K71:K90) / COUNT(K71:K90), 0)</f>
        <v>7.3092265573289489E-3</v>
      </c>
      <c r="L91" s="28">
        <f>SUM(L71:L90)</f>
        <v>21927.679671986843</v>
      </c>
      <c r="M91" s="26" t="s">
        <v>261</v>
      </c>
      <c r="N91" s="27">
        <f>IF(COUNT(N71:N90), SUM(N71:N90) / COUNT(N71:N90), 0)</f>
        <v>6.4331350456094908E-4</v>
      </c>
      <c r="O91" s="28">
        <f>SUM(O71:O90)</f>
        <v>1929.9405136828486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2022-12-05(월) 오전 00:00</v>
      </c>
      <c r="C96" s="199"/>
      <c r="D96" s="158" t="str">
        <f>TEXT($G$1, "[$-ko-KR]yyyy-mm-dd(ddd) ") &amp; "오후 14:00"</f>
        <v>2022-12-05(월) 오후 14:00</v>
      </c>
      <c r="E96" s="159"/>
      <c r="F96" s="160"/>
      <c r="G96" s="158" t="str">
        <f>TEXT($G$1, "[$-ko-KR]yyyy-mm-dd(ddd) ") &amp; "오후 19:00"</f>
        <v>2022-12-05(월) 오후 19:00</v>
      </c>
      <c r="H96" s="159"/>
      <c r="I96" s="160"/>
      <c r="J96" s="158" t="str">
        <f>TEXT($G$1, "[$-ko-KR]yyyy-mm-dd(ddd) ") &amp; "오후 21:00"</f>
        <v>2022-12-05(월) 오후 21:00</v>
      </c>
      <c r="K96" s="159"/>
      <c r="L96" s="160"/>
      <c r="M96" s="158" t="str">
        <f>TEXT($G$1+1, "[$-ko-KR]yyyy-mm-dd(ddd) ") &amp; "오전 00:00"</f>
        <v>2022-12-06(화)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349</v>
      </c>
      <c r="B98" s="108">
        <v>915</v>
      </c>
      <c r="C98" s="69">
        <v>0.15676359040000001</v>
      </c>
      <c r="D98" s="13">
        <v>917</v>
      </c>
      <c r="E98" s="14">
        <f>IF(ISNUMBER(D98), (D98 - $B98) / $B98, "")</f>
        <v>2.185792349726776E-3</v>
      </c>
      <c r="F98" s="16">
        <f>IF(ISNUMBER(D98), $B118 * E98, "")</f>
        <v>327.86885245901641</v>
      </c>
      <c r="G98" s="29">
        <v>887</v>
      </c>
      <c r="H98" s="14">
        <f>IF(ISNUMBER(G98), (G98 - $B98) / $B98, "")</f>
        <v>-3.0601092896174863E-2</v>
      </c>
      <c r="I98" s="90">
        <f>IF(ISNUMBER(G98), $B118 * H98, "")</f>
        <v>-4590.1639344262294</v>
      </c>
      <c r="J98" s="13">
        <v>888</v>
      </c>
      <c r="K98" s="14">
        <f>IF(ISNUMBER(J98), (J98 - $B98) / $B98, "")</f>
        <v>-2.9508196721311476E-2</v>
      </c>
      <c r="L98" s="16">
        <f>IF(ISNUMBER(J98), $B118 * K98, "")</f>
        <v>-4426.2295081967213</v>
      </c>
      <c r="M98" s="29">
        <v>877</v>
      </c>
      <c r="N98" s="14">
        <f>IF(ISNUMBER(M98), (M98 - $B98) / $B98, "")</f>
        <v>-4.1530054644808745E-2</v>
      </c>
      <c r="O98" s="16">
        <f>IF(ISNUMBER(M98), $B118 * N98, "")</f>
        <v>-6229.5081967213118</v>
      </c>
      <c r="Q98" s="156"/>
      <c r="R98" s="156"/>
      <c r="S98" s="156"/>
    </row>
    <row r="99" spans="1:19" ht="17.25" thickBot="1">
      <c r="A99" s="109" t="s">
        <v>347</v>
      </c>
      <c r="B99" s="110">
        <v>1400</v>
      </c>
      <c r="C99" s="70">
        <v>0.15226337449999999</v>
      </c>
      <c r="D99" s="15">
        <v>1495</v>
      </c>
      <c r="E99" s="32">
        <f t="shared" ref="E99:E102" si="46">IF(ISNUMBER(D99), (D99 - $B99) / $B99, "")</f>
        <v>6.7857142857142852E-2</v>
      </c>
      <c r="F99" s="18">
        <f>IF(ISNUMBER(D99), $B118 * E99, "")</f>
        <v>10178.571428571428</v>
      </c>
      <c r="G99" s="31">
        <v>1400</v>
      </c>
      <c r="H99" s="32">
        <f t="shared" ref="H99:H102" si="47">IF(ISNUMBER(G99), (G99 - $B99) / $B99, "")</f>
        <v>0</v>
      </c>
      <c r="I99" s="91">
        <f>IF(ISNUMBER(G99), $B118 * H99, "")</f>
        <v>0</v>
      </c>
      <c r="J99" s="15">
        <v>1370</v>
      </c>
      <c r="K99" s="32">
        <f t="shared" ref="K99:K102" si="48">IF(ISNUMBER(J99), (J99 - $B99) / $B99, "")</f>
        <v>-2.1428571428571429E-2</v>
      </c>
      <c r="L99" s="18">
        <f>IF(ISNUMBER(J99), $B118 * K99, "")</f>
        <v>-3214.2857142857142</v>
      </c>
      <c r="M99" s="31">
        <v>1285</v>
      </c>
      <c r="N99" s="32">
        <f t="shared" ref="N99:N102" si="49">IF(ISNUMBER(M99), (M99 - $B99) / $B99, "")</f>
        <v>-8.2142857142857142E-2</v>
      </c>
      <c r="O99" s="18">
        <f>IF(ISNUMBER(M99), $B118 * N99, "")</f>
        <v>-12321.428571428571</v>
      </c>
      <c r="Q99" s="156"/>
      <c r="R99" s="156"/>
      <c r="S99" s="156"/>
    </row>
    <row r="100" spans="1:19" ht="17.25" thickBot="1">
      <c r="A100" s="109" t="s">
        <v>68</v>
      </c>
      <c r="B100" s="110">
        <v>403</v>
      </c>
      <c r="C100" s="70">
        <v>0.11325966849999999</v>
      </c>
      <c r="D100" s="15">
        <v>437</v>
      </c>
      <c r="E100" s="32">
        <f t="shared" si="46"/>
        <v>8.4367245657568243E-2</v>
      </c>
      <c r="F100" s="18">
        <f>IF(ISNUMBER(D100), $B118 * E100, "")</f>
        <v>12655.086848635237</v>
      </c>
      <c r="G100" s="31">
        <v>413</v>
      </c>
      <c r="H100" s="32">
        <f t="shared" si="47"/>
        <v>2.4813895781637719E-2</v>
      </c>
      <c r="I100" s="91">
        <f>IF(ISNUMBER(G100), $B118 * H100, "")</f>
        <v>3722.0843672456576</v>
      </c>
      <c r="J100" s="15">
        <v>413</v>
      </c>
      <c r="K100" s="32">
        <f t="shared" si="48"/>
        <v>2.4813895781637719E-2</v>
      </c>
      <c r="L100" s="18">
        <f>IF(ISNUMBER(J100), $B118 * K100, "")</f>
        <v>3722.0843672456576</v>
      </c>
      <c r="M100" s="31">
        <v>406</v>
      </c>
      <c r="N100" s="32">
        <f t="shared" si="49"/>
        <v>7.4441687344913151E-3</v>
      </c>
      <c r="O100" s="18">
        <f>IF(ISNUMBER(M100), $B118 * N100, "")</f>
        <v>1116.6253101736972</v>
      </c>
      <c r="Q100" s="161"/>
      <c r="R100" s="161"/>
      <c r="S100" s="161"/>
    </row>
    <row r="101" spans="1:19" ht="17.25" thickBot="1">
      <c r="A101" s="109" t="s">
        <v>97</v>
      </c>
      <c r="B101" s="110">
        <v>1E-3</v>
      </c>
      <c r="C101" s="70">
        <v>0.11111111110000001</v>
      </c>
      <c r="D101" s="15">
        <v>8.9999999999999998E-4</v>
      </c>
      <c r="E101" s="32">
        <f t="shared" si="46"/>
        <v>-0.10000000000000005</v>
      </c>
      <c r="F101" s="18">
        <f>IF(ISNUMBER(D101), $B118 * E101, "")</f>
        <v>-15000.000000000007</v>
      </c>
      <c r="G101" s="31">
        <v>8.9999999999999998E-4</v>
      </c>
      <c r="H101" s="32">
        <f t="shared" si="47"/>
        <v>-0.10000000000000005</v>
      </c>
      <c r="I101" s="91">
        <f>IF(ISNUMBER(G101), $B118 * H101, "")</f>
        <v>-15000.000000000007</v>
      </c>
      <c r="J101" s="15">
        <v>1E-3</v>
      </c>
      <c r="K101" s="32">
        <f t="shared" si="48"/>
        <v>0</v>
      </c>
      <c r="L101" s="18">
        <f>IF(ISNUMBER(J101), $B118 * K101, "")</f>
        <v>0</v>
      </c>
      <c r="M101" s="31">
        <v>1E-3</v>
      </c>
      <c r="N101" s="32">
        <f t="shared" si="49"/>
        <v>0</v>
      </c>
      <c r="O101" s="18">
        <f>IF(ISNUMBER(M101), $B118 * N101, "")</f>
        <v>0</v>
      </c>
      <c r="Q101" s="161"/>
      <c r="R101" s="161"/>
      <c r="S101" s="161"/>
    </row>
    <row r="102" spans="1:19" ht="17.25" thickBot="1">
      <c r="A102" s="111" t="s">
        <v>189</v>
      </c>
      <c r="B102" s="112">
        <v>1500</v>
      </c>
      <c r="C102" s="71">
        <v>3.0927835099999999E-2</v>
      </c>
      <c r="D102" s="20">
        <v>1505</v>
      </c>
      <c r="E102" s="21">
        <f t="shared" si="46"/>
        <v>3.3333333333333335E-3</v>
      </c>
      <c r="F102" s="22">
        <f>IF(ISNUMBER(D102), $B118 * E102, "")</f>
        <v>500.00000000000006</v>
      </c>
      <c r="G102" s="30">
        <v>1510</v>
      </c>
      <c r="H102" s="21">
        <f t="shared" si="47"/>
        <v>6.6666666666666671E-3</v>
      </c>
      <c r="I102" s="95">
        <f>IF(ISNUMBER(G102), $B118 * H102, "")</f>
        <v>1000.0000000000001</v>
      </c>
      <c r="J102" s="20">
        <v>1515</v>
      </c>
      <c r="K102" s="21">
        <f t="shared" si="48"/>
        <v>0.01</v>
      </c>
      <c r="L102" s="22">
        <f>IF(ISNUMBER(J102), $B118 * K102, "")</f>
        <v>1500</v>
      </c>
      <c r="M102" s="30">
        <v>1490</v>
      </c>
      <c r="N102" s="21">
        <f t="shared" si="49"/>
        <v>-6.6666666666666671E-3</v>
      </c>
      <c r="O102" s="22">
        <f>IF(ISNUMBER(M102), $B118 * N102, "")</f>
        <v>-1000.0000000000001</v>
      </c>
      <c r="Q102" s="161"/>
      <c r="R102" s="161"/>
      <c r="S102" s="161"/>
    </row>
    <row r="103" spans="1:19" ht="17.25" thickBot="1">
      <c r="A103" s="109" t="s">
        <v>256</v>
      </c>
      <c r="B103" s="113">
        <v>139</v>
      </c>
      <c r="C103" s="73">
        <v>2.9629629599999999E-2</v>
      </c>
      <c r="D103" s="96">
        <v>139</v>
      </c>
      <c r="E103" s="97">
        <f>IF(ISNUMBER(D103), (D103 - $B103) / $B103, "")</f>
        <v>0</v>
      </c>
      <c r="F103" s="98">
        <f>IF(ISNUMBER(D103), $B118 * E103, "")</f>
        <v>0</v>
      </c>
      <c r="G103" s="99">
        <v>142</v>
      </c>
      <c r="H103" s="97">
        <f>IF(ISNUMBER(G103), (G103 - $B103) / $B103, "")</f>
        <v>2.1582733812949641E-2</v>
      </c>
      <c r="I103" s="100">
        <f>IF(ISNUMBER(G103), $B118 * H103, "")</f>
        <v>3237.4100719424464</v>
      </c>
      <c r="J103" s="96">
        <v>142</v>
      </c>
      <c r="K103" s="97">
        <f>IF(ISNUMBER(J103), (J103 - $B103) / $B103, "")</f>
        <v>2.1582733812949641E-2</v>
      </c>
      <c r="L103" s="98">
        <f>IF(ISNUMBER(J103), $B118 * K103, "")</f>
        <v>3237.4100719424464</v>
      </c>
      <c r="M103" s="99">
        <v>139</v>
      </c>
      <c r="N103" s="97">
        <f>IF(ISNUMBER(M103), (M103 - $B103) / $B103, "")</f>
        <v>0</v>
      </c>
      <c r="O103" s="98">
        <f>IF(ISNUMBER(M103), $B118 * N103, "")</f>
        <v>0</v>
      </c>
      <c r="Q103" s="161"/>
      <c r="R103" s="161"/>
      <c r="S103" s="161"/>
    </row>
    <row r="104" spans="1:19" ht="17.25" thickBot="1">
      <c r="A104" s="109" t="s">
        <v>66</v>
      </c>
      <c r="B104" s="110">
        <v>786</v>
      </c>
      <c r="C104" s="70">
        <v>2.6109660600000001E-2</v>
      </c>
      <c r="D104" s="15">
        <v>762</v>
      </c>
      <c r="E104" s="32">
        <f t="shared" ref="E104:E107" si="50">IF(ISNUMBER(D104), (D104 - $B104) / $B104, "")</f>
        <v>-3.0534351145038167E-2</v>
      </c>
      <c r="F104" s="18">
        <f>IF(ISNUMBER(D104), $B118 * E104, "")</f>
        <v>-4580.1526717557254</v>
      </c>
      <c r="G104" s="31">
        <v>754</v>
      </c>
      <c r="H104" s="32">
        <f t="shared" ref="H104:H107" si="51">IF(ISNUMBER(G104), (G104 - $B104) / $B104, "")</f>
        <v>-4.0712468193384227E-2</v>
      </c>
      <c r="I104" s="91">
        <f>IF(ISNUMBER(G104), $B118 * H104, "")</f>
        <v>-6106.8702290076344</v>
      </c>
      <c r="J104" s="15">
        <v>756</v>
      </c>
      <c r="K104" s="32">
        <f t="shared" ref="K104:K107" si="52">IF(ISNUMBER(J104), (J104 - $B104) / $B104, "")</f>
        <v>-3.8167938931297711E-2</v>
      </c>
      <c r="L104" s="18">
        <f>IF(ISNUMBER(J104), $B118 * K104, "")</f>
        <v>-5725.1908396946565</v>
      </c>
      <c r="M104" s="31">
        <v>754</v>
      </c>
      <c r="N104" s="32">
        <f t="shared" ref="N104:N107" si="53">IF(ISNUMBER(M104), (M104 - $B104) / $B104, "")</f>
        <v>-4.0712468193384227E-2</v>
      </c>
      <c r="O104" s="18">
        <f>IF(ISNUMBER(M104), $B118 * N104, "")</f>
        <v>-6106.8702290076344</v>
      </c>
      <c r="Q104" s="161"/>
      <c r="R104" s="161"/>
      <c r="S104" s="161"/>
    </row>
    <row r="105" spans="1:19" ht="17.25" thickBot="1">
      <c r="A105" s="109" t="s">
        <v>103</v>
      </c>
      <c r="B105" s="110">
        <v>262</v>
      </c>
      <c r="C105" s="70">
        <v>2.34375E-2</v>
      </c>
      <c r="D105" s="15">
        <v>260</v>
      </c>
      <c r="E105" s="32">
        <f t="shared" si="50"/>
        <v>-7.6335877862595417E-3</v>
      </c>
      <c r="F105" s="18">
        <f>IF(ISNUMBER(D105), $B118 * E105, "")</f>
        <v>-1145.0381679389313</v>
      </c>
      <c r="G105" s="31">
        <v>260</v>
      </c>
      <c r="H105" s="32">
        <f t="shared" si="51"/>
        <v>-7.6335877862595417E-3</v>
      </c>
      <c r="I105" s="91">
        <f>IF(ISNUMBER(G105), $B118 * H105, "")</f>
        <v>-1145.0381679389313</v>
      </c>
      <c r="J105" s="15">
        <v>260</v>
      </c>
      <c r="K105" s="32">
        <f t="shared" si="52"/>
        <v>-7.6335877862595417E-3</v>
      </c>
      <c r="L105" s="18">
        <f>IF(ISNUMBER(J105), $B118 * K105, "")</f>
        <v>-1145.0381679389313</v>
      </c>
      <c r="M105" s="31">
        <v>259</v>
      </c>
      <c r="N105" s="32">
        <f t="shared" si="53"/>
        <v>-1.1450381679389313E-2</v>
      </c>
      <c r="O105" s="18">
        <f>IF(ISNUMBER(M105), $B118 * N105, "")</f>
        <v>-1717.5572519083969</v>
      </c>
      <c r="Q105" s="161"/>
      <c r="R105" s="161"/>
      <c r="S105" s="161"/>
    </row>
    <row r="106" spans="1:19" ht="17.25" thickBot="1">
      <c r="A106" s="109" t="s">
        <v>187</v>
      </c>
      <c r="B106" s="110">
        <v>791</v>
      </c>
      <c r="C106" s="70">
        <v>1.6709511600000001E-2</v>
      </c>
      <c r="D106" s="15">
        <v>782</v>
      </c>
      <c r="E106" s="32">
        <f t="shared" si="50"/>
        <v>-1.1378002528445006E-2</v>
      </c>
      <c r="F106" s="18">
        <f>IF(ISNUMBER(D106), $B118 * E106, "")</f>
        <v>-1706.700379266751</v>
      </c>
      <c r="G106" s="31">
        <v>783</v>
      </c>
      <c r="H106" s="32">
        <f t="shared" si="51"/>
        <v>-1.0113780025284451E-2</v>
      </c>
      <c r="I106" s="91">
        <f>IF(ISNUMBER(G106), $B118 * H106, "")</f>
        <v>-1517.0670037926677</v>
      </c>
      <c r="J106" s="15">
        <v>787</v>
      </c>
      <c r="K106" s="32">
        <f t="shared" si="52"/>
        <v>-5.0568900126422255E-3</v>
      </c>
      <c r="L106" s="18">
        <f>IF(ISNUMBER(J106), $B118 * K106, "")</f>
        <v>-758.53350189633386</v>
      </c>
      <c r="M106" s="31">
        <v>778</v>
      </c>
      <c r="N106" s="32">
        <f t="shared" si="53"/>
        <v>-1.643489254108723E-2</v>
      </c>
      <c r="O106" s="18">
        <f>IF(ISNUMBER(M106), $B118 * N106, "")</f>
        <v>-2465.2338811630843</v>
      </c>
      <c r="Q106" s="33"/>
      <c r="R106" s="33"/>
    </row>
    <row r="107" spans="1:19" ht="17.25" thickBot="1">
      <c r="A107" s="114" t="s">
        <v>130</v>
      </c>
      <c r="B107" s="115">
        <v>876</v>
      </c>
      <c r="C107" s="72">
        <v>1.50637312E-2</v>
      </c>
      <c r="D107" s="24">
        <v>883</v>
      </c>
      <c r="E107" s="25">
        <f t="shared" si="50"/>
        <v>7.9908675799086754E-3</v>
      </c>
      <c r="F107" s="94">
        <f>IF(ISNUMBER(D107), $B118 * E107, "")</f>
        <v>1198.6301369863013</v>
      </c>
      <c r="G107" s="92">
        <v>881</v>
      </c>
      <c r="H107" s="25">
        <f t="shared" si="51"/>
        <v>5.7077625570776253E-3</v>
      </c>
      <c r="I107" s="93">
        <f>IF(ISNUMBER(G107), $B118 * H107, "")</f>
        <v>856.16438356164383</v>
      </c>
      <c r="J107" s="24">
        <v>883</v>
      </c>
      <c r="K107" s="25">
        <f t="shared" si="52"/>
        <v>7.9908675799086754E-3</v>
      </c>
      <c r="L107" s="94">
        <f>IF(ISNUMBER(J107), $B118 * K107, "")</f>
        <v>1198.6301369863013</v>
      </c>
      <c r="M107" s="92">
        <v>879</v>
      </c>
      <c r="N107" s="25">
        <f t="shared" si="53"/>
        <v>3.4246575342465752E-3</v>
      </c>
      <c r="O107" s="94">
        <f>IF(ISNUMBER(M107), $B118 * N107, "")</f>
        <v>513.69863013698625</v>
      </c>
      <c r="Q107" s="170"/>
      <c r="R107" s="171"/>
      <c r="S107" s="172"/>
    </row>
    <row r="108" spans="1:19">
      <c r="A108" s="107" t="s">
        <v>328</v>
      </c>
      <c r="B108" s="108">
        <v>18350</v>
      </c>
      <c r="C108" s="69">
        <v>1.21345836E-2</v>
      </c>
      <c r="D108" s="13">
        <v>18920</v>
      </c>
      <c r="E108" s="14">
        <f>IF(ISNUMBER(D108), (D108 - $B108) / $B108, "")</f>
        <v>3.1062670299727521E-2</v>
      </c>
      <c r="F108" s="16">
        <f>IF(ISNUMBER(D108), $B118 * E108, "")</f>
        <v>4659.4005449591277</v>
      </c>
      <c r="G108" s="29">
        <v>18870</v>
      </c>
      <c r="H108" s="14">
        <f>IF(ISNUMBER(G108), (G108 - $B108) / $B108, "")</f>
        <v>2.8337874659400544E-2</v>
      </c>
      <c r="I108" s="90">
        <f>IF(ISNUMBER(G108), $B118 * H108, "")</f>
        <v>4250.6811989100815</v>
      </c>
      <c r="J108" s="13">
        <v>18850</v>
      </c>
      <c r="K108" s="14">
        <f>IF(ISNUMBER(J108), (J108 - $B108) / $B108, "")</f>
        <v>2.7247956403269755E-2</v>
      </c>
      <c r="L108" s="16">
        <f>IF(ISNUMBER(J108), $B118 * K108, "")</f>
        <v>4087.1934604904632</v>
      </c>
      <c r="M108" s="29">
        <v>18540</v>
      </c>
      <c r="N108" s="14">
        <f>IF(ISNUMBER(M108), (M108 - $B108) / $B108, "")</f>
        <v>1.0354223433242507E-2</v>
      </c>
      <c r="O108" s="16">
        <f>IF(ISNUMBER(M108), $B118 * N108, "")</f>
        <v>1553.133514986376</v>
      </c>
      <c r="Q108" s="173"/>
      <c r="R108" s="174"/>
      <c r="S108" s="175"/>
    </row>
    <row r="109" spans="1:19" ht="17.25" thickBot="1">
      <c r="A109" s="109" t="s">
        <v>149</v>
      </c>
      <c r="B109" s="110">
        <v>414</v>
      </c>
      <c r="C109" s="70">
        <v>9.7560975999999994E-3</v>
      </c>
      <c r="D109" s="15">
        <v>419</v>
      </c>
      <c r="E109" s="32">
        <f t="shared" ref="E109:E112" si="54">IF(ISNUMBER(D109), (D109 - $B109) / $B109, "")</f>
        <v>1.2077294685990338E-2</v>
      </c>
      <c r="F109" s="18">
        <f>IF(ISNUMBER(D109), $B118 * E109, "")</f>
        <v>1811.5942028985507</v>
      </c>
      <c r="G109" s="31">
        <v>427</v>
      </c>
      <c r="H109" s="32">
        <f t="shared" ref="H109:H112" si="55">IF(ISNUMBER(G109), (G109 - $B109) / $B109, "")</f>
        <v>3.140096618357488E-2</v>
      </c>
      <c r="I109" s="91">
        <f>IF(ISNUMBER(G109), $B118 * H109, "")</f>
        <v>4710.144927536232</v>
      </c>
      <c r="J109" s="15">
        <v>430</v>
      </c>
      <c r="K109" s="32">
        <f t="shared" ref="K109:K112" si="56">IF(ISNUMBER(J109), (J109 - $B109) / $B109, "")</f>
        <v>3.864734299516908E-2</v>
      </c>
      <c r="L109" s="18">
        <f>IF(ISNUMBER(J109), $B118 * K109, "")</f>
        <v>5797.101449275362</v>
      </c>
      <c r="M109" s="31">
        <v>429</v>
      </c>
      <c r="N109" s="32">
        <f t="shared" ref="N109:N112" si="57">IF(ISNUMBER(M109), (M109 - $B109) / $B109, "")</f>
        <v>3.6231884057971016E-2</v>
      </c>
      <c r="O109" s="18">
        <f>IF(ISNUMBER(M109), $B118 * N109, "")</f>
        <v>5434.782608695652</v>
      </c>
      <c r="Q109" s="176"/>
      <c r="R109" s="177"/>
      <c r="S109" s="178"/>
    </row>
    <row r="110" spans="1:19" ht="17.25" thickBot="1">
      <c r="A110" s="109" t="s">
        <v>244</v>
      </c>
      <c r="B110" s="110">
        <v>104</v>
      </c>
      <c r="C110" s="70">
        <v>9.7087379000000001E-3</v>
      </c>
      <c r="D110" s="15">
        <v>103</v>
      </c>
      <c r="E110" s="32">
        <f t="shared" si="54"/>
        <v>-9.6153846153846159E-3</v>
      </c>
      <c r="F110" s="18">
        <f>IF(ISNUMBER(D110), $B118 * E110, "")</f>
        <v>-1442.3076923076924</v>
      </c>
      <c r="G110" s="31">
        <v>104</v>
      </c>
      <c r="H110" s="32">
        <f t="shared" si="55"/>
        <v>0</v>
      </c>
      <c r="I110" s="91">
        <f>IF(ISNUMBER(G110), $B118 * H110, "")</f>
        <v>0</v>
      </c>
      <c r="J110" s="15">
        <v>104</v>
      </c>
      <c r="K110" s="32">
        <f t="shared" si="56"/>
        <v>0</v>
      </c>
      <c r="L110" s="18">
        <f>IF(ISNUMBER(J110), $B118 * K110, "")</f>
        <v>0</v>
      </c>
      <c r="M110" s="31">
        <v>104</v>
      </c>
      <c r="N110" s="32">
        <f t="shared" si="57"/>
        <v>0</v>
      </c>
      <c r="O110" s="18">
        <f>IF(ISNUMBER(M110), $B118 * N110, "")</f>
        <v>0</v>
      </c>
      <c r="Q110" s="161"/>
      <c r="R110" s="161"/>
      <c r="S110" s="161"/>
    </row>
    <row r="111" spans="1:19" ht="17.25" thickBot="1">
      <c r="A111" s="109" t="s">
        <v>75</v>
      </c>
      <c r="B111" s="110">
        <v>9870</v>
      </c>
      <c r="C111" s="70">
        <v>9.2024540000000005E-3</v>
      </c>
      <c r="D111" s="15">
        <v>10030</v>
      </c>
      <c r="E111" s="32">
        <f t="shared" si="54"/>
        <v>1.6210739614994935E-2</v>
      </c>
      <c r="F111" s="18">
        <f>IF(ISNUMBER(D111), $B118 * E111, "")</f>
        <v>2431.6109422492405</v>
      </c>
      <c r="G111" s="31">
        <v>10050</v>
      </c>
      <c r="H111" s="32">
        <f t="shared" si="55"/>
        <v>1.82370820668693E-2</v>
      </c>
      <c r="I111" s="91">
        <f>IF(ISNUMBER(G111), $B118 * H111, "")</f>
        <v>2735.5623100303951</v>
      </c>
      <c r="J111" s="15">
        <v>10020</v>
      </c>
      <c r="K111" s="32">
        <f t="shared" si="56"/>
        <v>1.5197568389057751E-2</v>
      </c>
      <c r="L111" s="18">
        <f>IF(ISNUMBER(J111), $B118 * K111, "")</f>
        <v>2279.6352583586627</v>
      </c>
      <c r="M111" s="31">
        <v>9910</v>
      </c>
      <c r="N111" s="32">
        <f t="shared" si="57"/>
        <v>4.0526849037487338E-3</v>
      </c>
      <c r="O111" s="18">
        <f>IF(ISNUMBER(M111), $B118 * N111, "")</f>
        <v>607.90273556231011</v>
      </c>
      <c r="Q111" s="156"/>
      <c r="R111" s="156"/>
      <c r="S111" s="156"/>
    </row>
    <row r="112" spans="1:19" ht="17.25" thickBot="1">
      <c r="A112" s="111" t="s">
        <v>322</v>
      </c>
      <c r="B112" s="112">
        <v>85630</v>
      </c>
      <c r="C112" s="71">
        <v>9.192693E-3</v>
      </c>
      <c r="D112" s="20">
        <v>87480</v>
      </c>
      <c r="E112" s="21">
        <f t="shared" si="54"/>
        <v>2.1604577834870957E-2</v>
      </c>
      <c r="F112" s="22">
        <f>IF(ISNUMBER(D112), $B118 * E112, "")</f>
        <v>3240.6866752306437</v>
      </c>
      <c r="G112" s="30">
        <v>88020</v>
      </c>
      <c r="H112" s="21">
        <f t="shared" si="55"/>
        <v>2.7910778932617075E-2</v>
      </c>
      <c r="I112" s="95">
        <f>IF(ISNUMBER(G112), $B118 * H112, "")</f>
        <v>4186.6168398925611</v>
      </c>
      <c r="J112" s="20">
        <v>88200</v>
      </c>
      <c r="K112" s="21">
        <f t="shared" si="56"/>
        <v>3.0012845965199111E-2</v>
      </c>
      <c r="L112" s="22">
        <f>IF(ISNUMBER(J112), $B118 * K112, "")</f>
        <v>4501.9268947798664</v>
      </c>
      <c r="M112" s="30">
        <v>86780</v>
      </c>
      <c r="N112" s="21">
        <f t="shared" si="57"/>
        <v>1.3429872708163027E-2</v>
      </c>
      <c r="O112" s="22">
        <f>IF(ISNUMBER(M112), $B118 * N112, "")</f>
        <v>2014.480906224454</v>
      </c>
      <c r="Q112" s="156"/>
      <c r="R112" s="156"/>
      <c r="S112" s="156"/>
    </row>
    <row r="113" spans="1:19" ht="17.25" thickBot="1">
      <c r="A113" s="109" t="s">
        <v>87</v>
      </c>
      <c r="B113" s="113">
        <v>56430</v>
      </c>
      <c r="C113" s="73">
        <v>8.3988563000000002E-3</v>
      </c>
      <c r="D113" s="96">
        <v>56880</v>
      </c>
      <c r="E113" s="97">
        <f>IF(ISNUMBER(D113), (D113 - $B113) / $B113, "")</f>
        <v>7.9744816586921844E-3</v>
      </c>
      <c r="F113" s="98">
        <f>IF(ISNUMBER(D113), $B118 * E113, "")</f>
        <v>1196.1722488038276</v>
      </c>
      <c r="G113" s="99">
        <v>56750</v>
      </c>
      <c r="H113" s="97">
        <f>IF(ISNUMBER(G113), (G113 - $B113) / $B113, "")</f>
        <v>5.6707425128477758E-3</v>
      </c>
      <c r="I113" s="100">
        <f>IF(ISNUMBER(G113), $B118 * H113, "")</f>
        <v>850.61137692716636</v>
      </c>
      <c r="J113" s="96">
        <v>56830</v>
      </c>
      <c r="K113" s="97">
        <f>IF(ISNUMBER(J113), (J113 - $B113) / $B113, "")</f>
        <v>7.0884281410597202E-3</v>
      </c>
      <c r="L113" s="98">
        <f>IF(ISNUMBER(J113), $B118 * K113, "")</f>
        <v>1063.264221158958</v>
      </c>
      <c r="M113" s="99">
        <v>56460</v>
      </c>
      <c r="N113" s="97">
        <f>IF(ISNUMBER(M113), (M113 - $B113) / $B113, "")</f>
        <v>5.3163211057947904E-4</v>
      </c>
      <c r="O113" s="98">
        <f>IF(ISNUMBER(M113), $B118 * N113, "")</f>
        <v>79.744816586921857</v>
      </c>
      <c r="Q113" s="161"/>
      <c r="R113" s="161"/>
      <c r="S113" s="161"/>
    </row>
    <row r="114" spans="1:19" ht="17.25" thickBot="1">
      <c r="A114" s="109" t="s">
        <v>71</v>
      </c>
      <c r="B114" s="110">
        <v>12.1</v>
      </c>
      <c r="C114" s="70">
        <v>8.3333333000000006E-3</v>
      </c>
      <c r="D114" s="15">
        <v>12</v>
      </c>
      <c r="E114" s="32">
        <f t="shared" ref="E114:E117" si="58">IF(ISNUMBER(D114), (D114 - $B114) / $B114, "")</f>
        <v>-8.2644628099173261E-3</v>
      </c>
      <c r="F114" s="18">
        <f>IF(ISNUMBER(D114), $B118 * E114, "")</f>
        <v>-1239.6694214875988</v>
      </c>
      <c r="G114" s="31">
        <v>11.9</v>
      </c>
      <c r="H114" s="32">
        <f t="shared" ref="H114:H117" si="59">IF(ISNUMBER(G114), (G114 - $B114) / $B114, "")</f>
        <v>-1.6528925619834652E-2</v>
      </c>
      <c r="I114" s="91">
        <f>IF(ISNUMBER(G114), $B118 * H114, "")</f>
        <v>-2479.3388429751976</v>
      </c>
      <c r="J114" s="15">
        <v>12</v>
      </c>
      <c r="K114" s="32">
        <f t="shared" ref="K114:K117" si="60">IF(ISNUMBER(J114), (J114 - $B114) / $B114, "")</f>
        <v>-8.2644628099173261E-3</v>
      </c>
      <c r="L114" s="18">
        <f>IF(ISNUMBER(J114), $B118 * K114, "")</f>
        <v>-1239.6694214875988</v>
      </c>
      <c r="M114" s="31">
        <v>11.9</v>
      </c>
      <c r="N114" s="32">
        <f t="shared" ref="N114:N117" si="61">IF(ISNUMBER(M114), (M114 - $B114) / $B114, "")</f>
        <v>-1.6528925619834652E-2</v>
      </c>
      <c r="O114" s="18">
        <f>IF(ISNUMBER(M114), $B118 * N114, "")</f>
        <v>-2479.3388429751976</v>
      </c>
      <c r="Q114" s="161"/>
      <c r="R114" s="161"/>
      <c r="S114" s="161"/>
    </row>
    <row r="115" spans="1:19" ht="17.25" thickBot="1">
      <c r="A115" s="109" t="s">
        <v>93</v>
      </c>
      <c r="B115" s="110">
        <v>1691000</v>
      </c>
      <c r="C115" s="70">
        <v>7.1471114000000004E-3</v>
      </c>
      <c r="D115" s="15">
        <v>1726000</v>
      </c>
      <c r="E115" s="32">
        <f t="shared" si="58"/>
        <v>2.0697811945594322E-2</v>
      </c>
      <c r="F115" s="18">
        <f>IF(ISNUMBER(D115), $B118 * E115, "")</f>
        <v>3104.6717918391482</v>
      </c>
      <c r="G115" s="31">
        <v>1725000</v>
      </c>
      <c r="H115" s="32">
        <f t="shared" si="59"/>
        <v>2.0106445890005913E-2</v>
      </c>
      <c r="I115" s="91">
        <f>IF(ISNUMBER(G115), $B118 * H115, "")</f>
        <v>3015.966883500887</v>
      </c>
      <c r="J115" s="15">
        <v>1726000</v>
      </c>
      <c r="K115" s="32">
        <f t="shared" si="60"/>
        <v>2.0697811945594322E-2</v>
      </c>
      <c r="L115" s="18">
        <f>IF(ISNUMBER(J115), $B118 * K115, "")</f>
        <v>3104.6717918391482</v>
      </c>
      <c r="M115" s="31">
        <v>1708000</v>
      </c>
      <c r="N115" s="32">
        <f t="shared" si="61"/>
        <v>1.0053222945002957E-2</v>
      </c>
      <c r="O115" s="18">
        <f>IF(ISNUMBER(M115), $B118 * N115, "")</f>
        <v>1507.9834417504435</v>
      </c>
      <c r="Q115" s="161"/>
      <c r="R115" s="161"/>
      <c r="S115" s="161"/>
    </row>
    <row r="116" spans="1:19">
      <c r="A116" s="109" t="s">
        <v>236</v>
      </c>
      <c r="B116" s="110">
        <v>2825</v>
      </c>
      <c r="C116" s="70">
        <v>7.1301248000000001E-3</v>
      </c>
      <c r="D116" s="15">
        <v>2830</v>
      </c>
      <c r="E116" s="32">
        <f t="shared" si="58"/>
        <v>1.7699115044247787E-3</v>
      </c>
      <c r="F116" s="18">
        <f>IF(ISNUMBER(D116), $B118 * E116, "")</f>
        <v>265.48672566371681</v>
      </c>
      <c r="G116" s="31">
        <v>2825</v>
      </c>
      <c r="H116" s="32">
        <f t="shared" si="59"/>
        <v>0</v>
      </c>
      <c r="I116" s="91">
        <f>IF(ISNUMBER(G116), $B118 * H116, "")</f>
        <v>0</v>
      </c>
      <c r="J116" s="15">
        <v>2820</v>
      </c>
      <c r="K116" s="32">
        <f t="shared" si="60"/>
        <v>-1.7699115044247787E-3</v>
      </c>
      <c r="L116" s="18">
        <f>IF(ISNUMBER(J116), $B118 * K116, "")</f>
        <v>-265.48672566371681</v>
      </c>
      <c r="M116" s="31">
        <v>2825</v>
      </c>
      <c r="N116" s="32">
        <f t="shared" si="61"/>
        <v>0</v>
      </c>
      <c r="O116" s="18">
        <f>IF(ISNUMBER(M116), $B118 * N116, "")</f>
        <v>0</v>
      </c>
      <c r="Q116" s="183"/>
      <c r="R116" s="184"/>
      <c r="S116" s="185"/>
    </row>
    <row r="117" spans="1:19" ht="17.25" thickBot="1">
      <c r="A117" s="114" t="s">
        <v>320</v>
      </c>
      <c r="B117" s="115">
        <v>2275</v>
      </c>
      <c r="C117" s="72">
        <v>6.6371681000000002E-3</v>
      </c>
      <c r="D117" s="24">
        <v>2355</v>
      </c>
      <c r="E117" s="25">
        <f t="shared" si="58"/>
        <v>3.5164835164835165E-2</v>
      </c>
      <c r="F117" s="94">
        <f>IF(ISNUMBER(D117), $B118 * E117, "")</f>
        <v>5274.7252747252751</v>
      </c>
      <c r="G117" s="92">
        <v>2345</v>
      </c>
      <c r="H117" s="25">
        <f t="shared" si="59"/>
        <v>3.0769230769230771E-2</v>
      </c>
      <c r="I117" s="93">
        <f>IF(ISNUMBER(G117), $B118 * H117, "")</f>
        <v>4615.3846153846152</v>
      </c>
      <c r="J117" s="24">
        <v>2365</v>
      </c>
      <c r="K117" s="25">
        <f t="shared" si="60"/>
        <v>3.9560439560439559E-2</v>
      </c>
      <c r="L117" s="94">
        <f>IF(ISNUMBER(J117), $B118 * K117, "")</f>
        <v>5934.065934065934</v>
      </c>
      <c r="M117" s="92">
        <v>2325</v>
      </c>
      <c r="N117" s="25">
        <f t="shared" si="61"/>
        <v>2.197802197802198E-2</v>
      </c>
      <c r="O117" s="94">
        <f>IF(ISNUMBER(M117), $B118 * N117, "")</f>
        <v>3296.7032967032969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7.2435457800882671E-3</v>
      </c>
      <c r="F118" s="28">
        <f>SUM(F98:F117)</f>
        <v>21730.637340264802</v>
      </c>
      <c r="G118" s="26" t="s">
        <v>261</v>
      </c>
      <c r="H118" s="27">
        <f>IF(COUNT(H98:H117), SUM(H98:H117) / COUNT(H98:H117), 0)</f>
        <v>7.8071626559700607E-4</v>
      </c>
      <c r="I118" s="28">
        <f>SUM(I98:I117)</f>
        <v>2342.1487967910161</v>
      </c>
      <c r="J118" s="26" t="s">
        <v>261</v>
      </c>
      <c r="K118" s="27">
        <f>IF(COUNT(K98:K117), SUM(K98:K117) / COUNT(K98:K117), 0)</f>
        <v>6.5505165689930421E-3</v>
      </c>
      <c r="L118" s="28">
        <f>SUM(L98:L117)</f>
        <v>19651.549706979124</v>
      </c>
      <c r="M118" s="26" t="s">
        <v>261</v>
      </c>
      <c r="N118" s="27">
        <f>IF(COUNT(N98:N117), SUM(N98:N117) / COUNT(N98:N117), 0)</f>
        <v>-5.3982939041280183E-3</v>
      </c>
      <c r="O118" s="28">
        <f>SUM(O98:O117)</f>
        <v>-16194.88171238406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2022-12-05(월) 오전 00:00</v>
      </c>
      <c r="C123" s="199"/>
      <c r="D123" s="158" t="str">
        <f>TEXT($G$1, "[$-ko-KR]yyyy-mm-dd(ddd) ") &amp; "오후 14:00"</f>
        <v>2022-12-05(월) 오후 14:00</v>
      </c>
      <c r="E123" s="159"/>
      <c r="F123" s="160"/>
      <c r="G123" s="158" t="str">
        <f>TEXT($G$1, "[$-ko-KR]yyyy-mm-dd(ddd) ") &amp; "오후 19:00"</f>
        <v>2022-12-05(월) 오후 19:00</v>
      </c>
      <c r="H123" s="159"/>
      <c r="I123" s="160"/>
      <c r="J123" s="158" t="str">
        <f>TEXT($G$1, "[$-ko-KR]yyyy-mm-dd(ddd) ") &amp; "오후 21:00"</f>
        <v>2022-12-05(월) 오후 21:00</v>
      </c>
      <c r="K123" s="159"/>
      <c r="L123" s="160"/>
      <c r="M123" s="158" t="str">
        <f>TEXT($G$1+1, "[$-ko-KR]yyyy-mm-dd(ddd) ") &amp; "오전 00:00"</f>
        <v>2022-12-06(화)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333</v>
      </c>
      <c r="B125" s="108">
        <v>63.8</v>
      </c>
      <c r="C125" s="69">
        <v>-7.7760498000000004E-3</v>
      </c>
      <c r="D125" s="13">
        <v>65</v>
      </c>
      <c r="E125" s="14">
        <f>IF(ISNUMBER(D125), (D125 - $B125) / $B125, "")</f>
        <v>1.8808777429467131E-2</v>
      </c>
      <c r="F125" s="16">
        <f>IF(ISNUMBER(D125), $B145 * E125, "")</f>
        <v>2821.3166144200695</v>
      </c>
      <c r="G125" s="29">
        <v>65.099999999999994</v>
      </c>
      <c r="H125" s="14">
        <f>IF(ISNUMBER(G125), (G125 - $B125) / $B125, "")</f>
        <v>2.0376175548589299E-2</v>
      </c>
      <c r="I125" s="90">
        <f>IF(ISNUMBER(G125), $B145 * H125, "")</f>
        <v>3056.4263322883949</v>
      </c>
      <c r="J125" s="13">
        <v>65.099999999999994</v>
      </c>
      <c r="K125" s="14">
        <f>IF(ISNUMBER(J125), (J125 - $B125) / $B125, "")</f>
        <v>2.0376175548589299E-2</v>
      </c>
      <c r="L125" s="16">
        <f>IF(ISNUMBER(J125), $B145 * K125, "")</f>
        <v>3056.4263322883949</v>
      </c>
      <c r="M125" s="29">
        <v>64.900000000000006</v>
      </c>
      <c r="N125" s="14">
        <f>IF(ISNUMBER(M125), (M125 - $B125) / $B125, "")</f>
        <v>1.7241379310344963E-2</v>
      </c>
      <c r="O125" s="16">
        <f>IF(ISNUMBER(M125), $B145 * N125, "")</f>
        <v>2586.2068965517442</v>
      </c>
      <c r="Q125" s="156"/>
      <c r="R125" s="156"/>
      <c r="S125" s="156"/>
    </row>
    <row r="126" spans="1:19" ht="17.25" thickBot="1">
      <c r="A126" s="109" t="s">
        <v>64</v>
      </c>
      <c r="B126" s="110">
        <v>11.5</v>
      </c>
      <c r="C126" s="70">
        <v>-8.6206896999999998E-3</v>
      </c>
      <c r="D126" s="15">
        <v>11.6</v>
      </c>
      <c r="E126" s="32">
        <f t="shared" ref="E126:E129" si="62">IF(ISNUMBER(D126), (D126 - $B126) / $B126, "")</f>
        <v>8.6956521739130124E-3</v>
      </c>
      <c r="F126" s="18">
        <f>IF(ISNUMBER(D126), $B145 * E126, "")</f>
        <v>1304.347826086952</v>
      </c>
      <c r="G126" s="31">
        <v>11.6</v>
      </c>
      <c r="H126" s="32">
        <f t="shared" ref="H126:H129" si="63">IF(ISNUMBER(G126), (G126 - $B126) / $B126, "")</f>
        <v>8.6956521739130124E-3</v>
      </c>
      <c r="I126" s="91">
        <f>IF(ISNUMBER(G126), $B145 * H126, "")</f>
        <v>1304.347826086952</v>
      </c>
      <c r="J126" s="15">
        <v>11.6</v>
      </c>
      <c r="K126" s="32">
        <f t="shared" ref="K126:K129" si="64">IF(ISNUMBER(J126), (J126 - $B126) / $B126, "")</f>
        <v>8.6956521739130124E-3</v>
      </c>
      <c r="L126" s="18">
        <f>IF(ISNUMBER(J126), $B145 * K126, "")</f>
        <v>1304.347826086952</v>
      </c>
      <c r="M126" s="31">
        <v>11.5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156"/>
      <c r="R126" s="156"/>
      <c r="S126" s="156"/>
    </row>
    <row r="127" spans="1:19" ht="17.25" thickBot="1">
      <c r="A127" s="109" t="s">
        <v>210</v>
      </c>
      <c r="B127" s="110">
        <v>66.8</v>
      </c>
      <c r="C127" s="70">
        <v>-8.9020772000000005E-3</v>
      </c>
      <c r="D127" s="15">
        <v>68.900000000000006</v>
      </c>
      <c r="E127" s="32">
        <f t="shared" si="62"/>
        <v>3.1437125748503124E-2</v>
      </c>
      <c r="F127" s="18">
        <f>IF(ISNUMBER(D127), $B145 * E127, "")</f>
        <v>4715.5688622754687</v>
      </c>
      <c r="G127" s="31">
        <v>67.599999999999994</v>
      </c>
      <c r="H127" s="32">
        <f t="shared" si="63"/>
        <v>1.1976047904191574E-2</v>
      </c>
      <c r="I127" s="91">
        <f>IF(ISNUMBER(G127), $B145 * H127, "")</f>
        <v>1796.4071856287362</v>
      </c>
      <c r="J127" s="15">
        <v>67.8</v>
      </c>
      <c r="K127" s="32">
        <f t="shared" si="64"/>
        <v>1.4970059880239521E-2</v>
      </c>
      <c r="L127" s="18">
        <f>IF(ISNUMBER(J127), $B145 * K127, "")</f>
        <v>2245.5089820359281</v>
      </c>
      <c r="M127" s="31">
        <v>67.400000000000006</v>
      </c>
      <c r="N127" s="32">
        <f t="shared" si="65"/>
        <v>8.9820359281438406E-3</v>
      </c>
      <c r="O127" s="18">
        <f>IF(ISNUMBER(M127), $B145 * N127, "")</f>
        <v>1347.3053892215762</v>
      </c>
      <c r="Q127" s="161"/>
      <c r="R127" s="161"/>
      <c r="S127" s="161"/>
    </row>
    <row r="128" spans="1:19" ht="17.25" thickBot="1">
      <c r="A128" s="109" t="s">
        <v>191</v>
      </c>
      <c r="B128" s="110">
        <v>52.9</v>
      </c>
      <c r="C128" s="70">
        <v>-9.3632959000000005E-3</v>
      </c>
      <c r="D128" s="15">
        <v>53</v>
      </c>
      <c r="E128" s="32">
        <f t="shared" si="62"/>
        <v>1.8903591682419929E-3</v>
      </c>
      <c r="F128" s="18">
        <f>IF(ISNUMBER(D128), $B145 * E128, "")</f>
        <v>283.55387523629895</v>
      </c>
      <c r="G128" s="31">
        <v>53.1</v>
      </c>
      <c r="H128" s="32">
        <f t="shared" si="63"/>
        <v>3.7807183364839858E-3</v>
      </c>
      <c r="I128" s="91">
        <f>IF(ISNUMBER(G128), $B145 * H128, "")</f>
        <v>567.1077504725979</v>
      </c>
      <c r="J128" s="15">
        <v>53.2</v>
      </c>
      <c r="K128" s="32">
        <f t="shared" si="64"/>
        <v>5.671077504725979E-3</v>
      </c>
      <c r="L128" s="18">
        <f>IF(ISNUMBER(J128), $B145 * K128, "")</f>
        <v>850.66162570889685</v>
      </c>
      <c r="M128" s="31">
        <v>53.1</v>
      </c>
      <c r="N128" s="32">
        <f t="shared" si="65"/>
        <v>3.7807183364839858E-3</v>
      </c>
      <c r="O128" s="18">
        <f>IF(ISNUMBER(M128), $B145 * N128, "")</f>
        <v>567.1077504725979</v>
      </c>
      <c r="Q128" s="161"/>
      <c r="R128" s="161"/>
      <c r="S128" s="161"/>
    </row>
    <row r="129" spans="1:19" ht="17.25" thickBot="1">
      <c r="A129" s="111" t="s">
        <v>155</v>
      </c>
      <c r="B129" s="112">
        <v>30.8</v>
      </c>
      <c r="C129" s="71">
        <v>-9.6463022999999995E-3</v>
      </c>
      <c r="D129" s="20">
        <v>30.9</v>
      </c>
      <c r="E129" s="21">
        <f t="shared" si="62"/>
        <v>3.2467532467531776E-3</v>
      </c>
      <c r="F129" s="22">
        <f>IF(ISNUMBER(D129), $B145 * E129, "")</f>
        <v>487.01298701297662</v>
      </c>
      <c r="G129" s="30">
        <v>30.9</v>
      </c>
      <c r="H129" s="21">
        <f t="shared" si="63"/>
        <v>3.2467532467531776E-3</v>
      </c>
      <c r="I129" s="95">
        <f>IF(ISNUMBER(G129), $B145 * H129, "")</f>
        <v>487.01298701297662</v>
      </c>
      <c r="J129" s="20">
        <v>30.9</v>
      </c>
      <c r="K129" s="21">
        <f t="shared" si="64"/>
        <v>3.2467532467531776E-3</v>
      </c>
      <c r="L129" s="22">
        <f>IF(ISNUMBER(J129), $B145 * K129, "")</f>
        <v>487.01298701297662</v>
      </c>
      <c r="M129" s="30">
        <v>30.9</v>
      </c>
      <c r="N129" s="21">
        <f t="shared" si="65"/>
        <v>3.2467532467531776E-3</v>
      </c>
      <c r="O129" s="22">
        <f>IF(ISNUMBER(M129), $B145 * N129, "")</f>
        <v>487.01298701297662</v>
      </c>
      <c r="Q129" s="161"/>
      <c r="R129" s="161"/>
      <c r="S129" s="161"/>
    </row>
    <row r="130" spans="1:19" ht="17.25" thickBot="1">
      <c r="A130" s="109" t="s">
        <v>138</v>
      </c>
      <c r="B130" s="113">
        <v>28.8</v>
      </c>
      <c r="C130" s="73">
        <v>-1.03092784E-2</v>
      </c>
      <c r="D130" s="96">
        <v>29.1</v>
      </c>
      <c r="E130" s="97">
        <f>IF(ISNUMBER(D130), (D130 - $B130) / $B130, "")</f>
        <v>1.041666666666669E-2</v>
      </c>
      <c r="F130" s="98">
        <f>IF(ISNUMBER(D130), $B145 * E130, "")</f>
        <v>1562.5000000000036</v>
      </c>
      <c r="G130" s="99">
        <v>29.1</v>
      </c>
      <c r="H130" s="97">
        <f>IF(ISNUMBER(G130), (G130 - $B130) / $B130, "")</f>
        <v>1.041666666666669E-2</v>
      </c>
      <c r="I130" s="100">
        <f>IF(ISNUMBER(G130), $B145 * H130, "")</f>
        <v>1562.5000000000036</v>
      </c>
      <c r="J130" s="96">
        <v>29</v>
      </c>
      <c r="K130" s="97">
        <f>IF(ISNUMBER(J130), (J130 - $B130) / $B130, "")</f>
        <v>6.9444444444444198E-3</v>
      </c>
      <c r="L130" s="98">
        <f>IF(ISNUMBER(J130), $B145 * K130, "")</f>
        <v>1041.6666666666629</v>
      </c>
      <c r="M130" s="99">
        <v>28.8</v>
      </c>
      <c r="N130" s="97">
        <f>IF(ISNUMBER(M130), (M130 - $B130) / $B130, "")</f>
        <v>0</v>
      </c>
      <c r="O130" s="98">
        <f>IF(ISNUMBER(M130), $B145 * N130, "")</f>
        <v>0</v>
      </c>
      <c r="Q130" s="161"/>
      <c r="R130" s="161"/>
      <c r="S130" s="161"/>
    </row>
    <row r="131" spans="1:19" ht="17.25" thickBot="1">
      <c r="A131" s="109" t="s">
        <v>212</v>
      </c>
      <c r="B131" s="110">
        <v>87.9</v>
      </c>
      <c r="C131" s="70">
        <v>-1.1248593899999999E-2</v>
      </c>
      <c r="D131" s="15">
        <v>88.4</v>
      </c>
      <c r="E131" s="32">
        <f t="shared" ref="E131:E134" si="66">IF(ISNUMBER(D131), (D131 - $B131) / $B131, "")</f>
        <v>5.6882821387940841E-3</v>
      </c>
      <c r="F131" s="18">
        <f>IF(ISNUMBER(D131), $B145 * E131, "")</f>
        <v>853.24232081911259</v>
      </c>
      <c r="G131" s="31">
        <v>88.5</v>
      </c>
      <c r="H131" s="32">
        <f t="shared" ref="H131:H134" si="67">IF(ISNUMBER(G131), (G131 - $B131) / $B131, "")</f>
        <v>6.825938566552836E-3</v>
      </c>
      <c r="I131" s="91">
        <f>IF(ISNUMBER(G131), $B145 * H131, "")</f>
        <v>1023.8907849829254</v>
      </c>
      <c r="J131" s="15">
        <v>88.3</v>
      </c>
      <c r="K131" s="32">
        <f t="shared" ref="K131:K134" si="68">IF(ISNUMBER(J131), (J131 - $B131) / $B131, "")</f>
        <v>4.55062571103517E-3</v>
      </c>
      <c r="L131" s="18">
        <f>IF(ISNUMBER(J131), $B145 * K131, "")</f>
        <v>682.59385665527554</v>
      </c>
      <c r="M131" s="31">
        <v>87.9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161"/>
      <c r="R131" s="161"/>
      <c r="S131" s="161"/>
    </row>
    <row r="132" spans="1:19" ht="17.25" thickBot="1">
      <c r="A132" s="109" t="s">
        <v>228</v>
      </c>
      <c r="B132" s="110">
        <v>66.3</v>
      </c>
      <c r="C132" s="70">
        <v>-1.19225037E-2</v>
      </c>
      <c r="D132" s="15">
        <v>66.3</v>
      </c>
      <c r="E132" s="32">
        <f t="shared" si="66"/>
        <v>0</v>
      </c>
      <c r="F132" s="18">
        <f>IF(ISNUMBER(D132), $B145 * E132, "")</f>
        <v>0</v>
      </c>
      <c r="G132" s="31">
        <v>65.599999999999994</v>
      </c>
      <c r="H132" s="32">
        <f t="shared" si="67"/>
        <v>-1.0558069381598837E-2</v>
      </c>
      <c r="I132" s="91">
        <f>IF(ISNUMBER(G132), $B145 * H132, "")</f>
        <v>-1583.7104072398256</v>
      </c>
      <c r="J132" s="15">
        <v>65.8</v>
      </c>
      <c r="K132" s="32">
        <f t="shared" si="68"/>
        <v>-7.5414781297134239E-3</v>
      </c>
      <c r="L132" s="18">
        <f>IF(ISNUMBER(J132), $B145 * K132, "")</f>
        <v>-1131.2217194570135</v>
      </c>
      <c r="M132" s="31">
        <v>65.5</v>
      </c>
      <c r="N132" s="32">
        <f t="shared" si="69"/>
        <v>-1.2066365007541435E-2</v>
      </c>
      <c r="O132" s="18">
        <f>IF(ISNUMBER(M132), $B145 * N132, "")</f>
        <v>-1809.9547511312153</v>
      </c>
      <c r="Q132" s="161"/>
      <c r="R132" s="161"/>
      <c r="S132" s="161"/>
    </row>
    <row r="133" spans="1:19" ht="17.25" thickBot="1">
      <c r="A133" s="109" t="s">
        <v>206</v>
      </c>
      <c r="B133" s="110">
        <v>3.58</v>
      </c>
      <c r="C133" s="70">
        <v>-1.3774104699999999E-2</v>
      </c>
      <c r="D133" s="15">
        <v>3.55</v>
      </c>
      <c r="E133" s="32">
        <f t="shared" si="66"/>
        <v>-8.3798882681564938E-3</v>
      </c>
      <c r="F133" s="18">
        <f>IF(ISNUMBER(D133), $B145 * E133, "")</f>
        <v>-1256.983240223474</v>
      </c>
      <c r="G133" s="31">
        <v>3.52</v>
      </c>
      <c r="H133" s="32">
        <f t="shared" si="67"/>
        <v>-1.6759776536312863E-2</v>
      </c>
      <c r="I133" s="91">
        <f>IF(ISNUMBER(G133), $B145 * H133, "")</f>
        <v>-2513.9664804469294</v>
      </c>
      <c r="J133" s="15">
        <v>3.53</v>
      </c>
      <c r="K133" s="32">
        <f t="shared" si="68"/>
        <v>-1.3966480446927448E-2</v>
      </c>
      <c r="L133" s="18">
        <f>IF(ISNUMBER(J133), $B145 * K133, "")</f>
        <v>-2094.9720670391171</v>
      </c>
      <c r="M133" s="31">
        <v>3.53</v>
      </c>
      <c r="N133" s="32">
        <f t="shared" si="69"/>
        <v>-1.3966480446927448E-2</v>
      </c>
      <c r="O133" s="18">
        <f>IF(ISNUMBER(M133), $B145 * N133, "")</f>
        <v>-2094.9720670391171</v>
      </c>
      <c r="Q133" s="33"/>
      <c r="R133" s="33"/>
    </row>
    <row r="134" spans="1:19" ht="17.25" thickBot="1">
      <c r="A134" s="114" t="s">
        <v>145</v>
      </c>
      <c r="B134" s="115">
        <v>71.400000000000006</v>
      </c>
      <c r="C134" s="72">
        <v>-1.3812154700000001E-2</v>
      </c>
      <c r="D134" s="24">
        <v>71.2</v>
      </c>
      <c r="E134" s="25">
        <f t="shared" si="66"/>
        <v>-2.8011204481793112E-3</v>
      </c>
      <c r="F134" s="94">
        <f>IF(ISNUMBER(D134), $B145 * E134, "")</f>
        <v>-420.16806722689665</v>
      </c>
      <c r="G134" s="92">
        <v>71.5</v>
      </c>
      <c r="H134" s="25">
        <f t="shared" si="67"/>
        <v>1.4005602240895561E-3</v>
      </c>
      <c r="I134" s="93">
        <f>IF(ISNUMBER(G134), $B145 * H134, "")</f>
        <v>210.08403361343341</v>
      </c>
      <c r="J134" s="24">
        <v>71.3</v>
      </c>
      <c r="K134" s="25">
        <f t="shared" si="68"/>
        <v>-1.4005602240897551E-3</v>
      </c>
      <c r="L134" s="94">
        <f>IF(ISNUMBER(J134), $B145 * K134, "")</f>
        <v>-210.08403361346328</v>
      </c>
      <c r="M134" s="92">
        <v>71.3</v>
      </c>
      <c r="N134" s="25">
        <f t="shared" si="69"/>
        <v>-1.4005602240897551E-3</v>
      </c>
      <c r="O134" s="94">
        <f>IF(ISNUMBER(M134), $B145 * N134, "")</f>
        <v>-210.08403361346328</v>
      </c>
      <c r="Q134" s="170"/>
      <c r="R134" s="171"/>
      <c r="S134" s="172"/>
    </row>
    <row r="135" spans="1:19">
      <c r="A135" s="107" t="s">
        <v>141</v>
      </c>
      <c r="B135" s="108">
        <v>3.5</v>
      </c>
      <c r="C135" s="69">
        <v>-1.4084507E-2</v>
      </c>
      <c r="D135" s="13">
        <v>3.51</v>
      </c>
      <c r="E135" s="14">
        <f>IF(ISNUMBER(D135), (D135 - $B135) / $B135, "")</f>
        <v>2.8571428571427964E-3</v>
      </c>
      <c r="F135" s="16">
        <f>IF(ISNUMBER(D135), $B145 * E135, "")</f>
        <v>428.57142857141946</v>
      </c>
      <c r="G135" s="29">
        <v>3.5</v>
      </c>
      <c r="H135" s="14">
        <f>IF(ISNUMBER(G135), (G135 - $B135) / $B135, "")</f>
        <v>0</v>
      </c>
      <c r="I135" s="90">
        <f>IF(ISNUMBER(G135), $B145 * H135, "")</f>
        <v>0</v>
      </c>
      <c r="J135" s="13">
        <v>3.5</v>
      </c>
      <c r="K135" s="14">
        <f>IF(ISNUMBER(J135), (J135 - $B135) / $B135, "")</f>
        <v>0</v>
      </c>
      <c r="L135" s="16">
        <f>IF(ISNUMBER(J135), $B145 * K135, "")</f>
        <v>0</v>
      </c>
      <c r="M135" s="29">
        <v>3.49</v>
      </c>
      <c r="N135" s="14">
        <f>IF(ISNUMBER(M135), (M135 - $B135) / $B135, "")</f>
        <v>-2.8571428571427964E-3</v>
      </c>
      <c r="O135" s="16">
        <f>IF(ISNUMBER(M135), $B145 * N135, "")</f>
        <v>-428.57142857141946</v>
      </c>
      <c r="Q135" s="173"/>
      <c r="R135" s="174"/>
      <c r="S135" s="175"/>
    </row>
    <row r="136" spans="1:19" ht="17.25" thickBot="1">
      <c r="A136" s="109" t="s">
        <v>132</v>
      </c>
      <c r="B136" s="110">
        <v>60.7</v>
      </c>
      <c r="C136" s="70">
        <v>-1.4610389600000001E-2</v>
      </c>
      <c r="D136" s="15">
        <v>61</v>
      </c>
      <c r="E136" s="32">
        <f t="shared" ref="E136:E139" si="70">IF(ISNUMBER(D136), (D136 - $B136) / $B136, "")</f>
        <v>4.9423393739702988E-3</v>
      </c>
      <c r="F136" s="18">
        <f>IF(ISNUMBER(D136), $B145 * E136, "")</f>
        <v>741.35090609554481</v>
      </c>
      <c r="G136" s="31">
        <v>61.1</v>
      </c>
      <c r="H136" s="32">
        <f t="shared" ref="H136:H139" si="71">IF(ISNUMBER(G136), (G136 - $B136) / $B136, "")</f>
        <v>6.589785831960438E-3</v>
      </c>
      <c r="I136" s="91">
        <f>IF(ISNUMBER(G136), $B145 * H136, "")</f>
        <v>988.46787479406566</v>
      </c>
      <c r="J136" s="15">
        <v>61.1</v>
      </c>
      <c r="K136" s="32">
        <f t="shared" ref="K136:K139" si="72">IF(ISNUMBER(J136), (J136 - $B136) / $B136, "")</f>
        <v>6.589785831960438E-3</v>
      </c>
      <c r="L136" s="18">
        <f>IF(ISNUMBER(J136), $B145 * K136, "")</f>
        <v>988.46787479406566</v>
      </c>
      <c r="M136" s="31">
        <v>60.7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76"/>
      <c r="R136" s="177"/>
      <c r="S136" s="178"/>
    </row>
    <row r="137" spans="1:19" ht="17.25" thickBot="1">
      <c r="A137" s="109" t="s">
        <v>181</v>
      </c>
      <c r="B137" s="110">
        <v>4.51</v>
      </c>
      <c r="C137" s="70">
        <v>-1.5283842799999999E-2</v>
      </c>
      <c r="D137" s="15">
        <v>4.5</v>
      </c>
      <c r="E137" s="32">
        <f t="shared" si="70"/>
        <v>-2.2172949002216822E-3</v>
      </c>
      <c r="F137" s="18">
        <f>IF(ISNUMBER(D137), $B145 * E137, "")</f>
        <v>-332.59423503325235</v>
      </c>
      <c r="G137" s="31">
        <v>4.5199999999999996</v>
      </c>
      <c r="H137" s="32">
        <f t="shared" si="71"/>
        <v>2.2172949002216822E-3</v>
      </c>
      <c r="I137" s="91">
        <f>IF(ISNUMBER(G137), $B145 * H137, "")</f>
        <v>332.59423503325235</v>
      </c>
      <c r="J137" s="15">
        <v>4.49</v>
      </c>
      <c r="K137" s="32">
        <f t="shared" si="72"/>
        <v>-4.4345898004433644E-3</v>
      </c>
      <c r="L137" s="18">
        <f>IF(ISNUMBER(J137), $B145 * K137, "")</f>
        <v>-665.18847006650469</v>
      </c>
      <c r="M137" s="31">
        <v>4.4800000000000004</v>
      </c>
      <c r="N137" s="32">
        <f t="shared" si="73"/>
        <v>-6.6518847006650471E-3</v>
      </c>
      <c r="O137" s="18">
        <f>IF(ISNUMBER(M137), $B145 * N137, "")</f>
        <v>-997.7827050997571</v>
      </c>
      <c r="Q137" s="161"/>
      <c r="R137" s="161"/>
      <c r="S137" s="161"/>
    </row>
    <row r="138" spans="1:19" ht="17.25" thickBot="1">
      <c r="A138" s="109" t="s">
        <v>118</v>
      </c>
      <c r="B138" s="110">
        <v>7.06</v>
      </c>
      <c r="C138" s="70">
        <v>-1.5341701500000001E-2</v>
      </c>
      <c r="D138" s="15">
        <v>7.09</v>
      </c>
      <c r="E138" s="32">
        <f t="shared" si="70"/>
        <v>4.2492917847025847E-3</v>
      </c>
      <c r="F138" s="18">
        <f>IF(ISNUMBER(D138), $B145 * E138, "")</f>
        <v>637.39376770538775</v>
      </c>
      <c r="G138" s="31">
        <v>7.03</v>
      </c>
      <c r="H138" s="32">
        <f t="shared" si="71"/>
        <v>-4.2492917847024589E-3</v>
      </c>
      <c r="I138" s="91">
        <f>IF(ISNUMBER(G138), $B145 * H138, "")</f>
        <v>-637.39376770536887</v>
      </c>
      <c r="J138" s="15">
        <v>7.01</v>
      </c>
      <c r="K138" s="32">
        <f t="shared" si="72"/>
        <v>-7.0821529745042243E-3</v>
      </c>
      <c r="L138" s="18">
        <f>IF(ISNUMBER(J138), $B145 * K138, "")</f>
        <v>-1062.3229461756337</v>
      </c>
      <c r="M138" s="31">
        <v>7.01</v>
      </c>
      <c r="N138" s="32">
        <f t="shared" si="73"/>
        <v>-7.0821529745042243E-3</v>
      </c>
      <c r="O138" s="18">
        <f>IF(ISNUMBER(M138), $B145 * N138, "")</f>
        <v>-1062.3229461756337</v>
      </c>
      <c r="Q138" s="156"/>
      <c r="R138" s="156"/>
      <c r="S138" s="156"/>
    </row>
    <row r="139" spans="1:19" ht="17.25" thickBot="1">
      <c r="A139" s="111" t="s">
        <v>338</v>
      </c>
      <c r="B139" s="112">
        <v>5.09</v>
      </c>
      <c r="C139" s="71">
        <v>-1.5473887800000001E-2</v>
      </c>
      <c r="D139" s="20">
        <v>5.07</v>
      </c>
      <c r="E139" s="21">
        <f t="shared" si="70"/>
        <v>-3.9292730844792878E-3</v>
      </c>
      <c r="F139" s="22">
        <f>IF(ISNUMBER(D139), $B145 * E139, "")</f>
        <v>-589.39096267189313</v>
      </c>
      <c r="G139" s="30">
        <v>5.1100000000000003</v>
      </c>
      <c r="H139" s="21">
        <f t="shared" si="71"/>
        <v>3.9292730844794621E-3</v>
      </c>
      <c r="I139" s="95">
        <f>IF(ISNUMBER(G139), $B145 * H139, "")</f>
        <v>589.39096267191928</v>
      </c>
      <c r="J139" s="20">
        <v>5.0999999999999996</v>
      </c>
      <c r="K139" s="21">
        <f t="shared" si="72"/>
        <v>1.9646365422396439E-3</v>
      </c>
      <c r="L139" s="22">
        <f>IF(ISNUMBER(J139), $B145 * K139, "")</f>
        <v>294.69548133594657</v>
      </c>
      <c r="M139" s="30">
        <v>5.09</v>
      </c>
      <c r="N139" s="21">
        <f t="shared" si="73"/>
        <v>0</v>
      </c>
      <c r="O139" s="22">
        <f>IF(ISNUMBER(M139), $B145 * N139, "")</f>
        <v>0</v>
      </c>
      <c r="Q139" s="156"/>
      <c r="R139" s="156"/>
      <c r="S139" s="156"/>
    </row>
    <row r="140" spans="1:19" ht="17.25" thickBot="1">
      <c r="A140" s="109" t="s">
        <v>195</v>
      </c>
      <c r="B140" s="113">
        <v>6.78</v>
      </c>
      <c r="C140" s="73">
        <v>-2.3054755E-2</v>
      </c>
      <c r="D140" s="96">
        <v>6.79</v>
      </c>
      <c r="E140" s="97">
        <f>IF(ISNUMBER(D140), (D140 - $B140) / $B140, "")</f>
        <v>1.4749262536872842E-3</v>
      </c>
      <c r="F140" s="98">
        <f>IF(ISNUMBER(D140), $B145 * E140, "")</f>
        <v>221.23893805309262</v>
      </c>
      <c r="G140" s="99">
        <v>6.78</v>
      </c>
      <c r="H140" s="97">
        <f>IF(ISNUMBER(G140), (G140 - $B140) / $B140, "")</f>
        <v>0</v>
      </c>
      <c r="I140" s="100">
        <f>IF(ISNUMBER(G140), $B145 * H140, "")</f>
        <v>0</v>
      </c>
      <c r="J140" s="96">
        <v>6.8</v>
      </c>
      <c r="K140" s="97">
        <f>IF(ISNUMBER(J140), (J140 - $B140) / $B140, "")</f>
        <v>2.9498525073745683E-3</v>
      </c>
      <c r="L140" s="98">
        <f>IF(ISNUMBER(J140), $B145 * K140, "")</f>
        <v>442.47787610618525</v>
      </c>
      <c r="M140" s="99">
        <v>6.78</v>
      </c>
      <c r="N140" s="97">
        <f>IF(ISNUMBER(M140), (M140 - $B140) / $B140, "")</f>
        <v>0</v>
      </c>
      <c r="O140" s="98">
        <f>IF(ISNUMBER(M140), $B145 * N140, "")</f>
        <v>0</v>
      </c>
      <c r="Q140" s="161"/>
      <c r="R140" s="161"/>
      <c r="S140" s="161"/>
    </row>
    <row r="141" spans="1:19" ht="17.25" thickBot="1">
      <c r="A141" s="109" t="s">
        <v>198</v>
      </c>
      <c r="B141" s="110">
        <v>9.26</v>
      </c>
      <c r="C141" s="70">
        <v>-2.52631579E-2</v>
      </c>
      <c r="D141" s="15">
        <v>9.17</v>
      </c>
      <c r="E141" s="32">
        <f t="shared" ref="E141:E144" si="74">IF(ISNUMBER(D141), (D141 - $B141) / $B141, "")</f>
        <v>-9.7192224622030081E-3</v>
      </c>
      <c r="F141" s="18">
        <f>IF(ISNUMBER(D141), $B145 * E141, "")</f>
        <v>-1457.8833693304512</v>
      </c>
      <c r="G141" s="31">
        <v>9.01</v>
      </c>
      <c r="H141" s="32">
        <f t="shared" ref="H141:H144" si="75">IF(ISNUMBER(G141), (G141 - $B141) / $B141, "")</f>
        <v>-2.6997840172786176E-2</v>
      </c>
      <c r="I141" s="91">
        <f>IF(ISNUMBER(G141), $B145 * H141, "")</f>
        <v>-4049.6760259179264</v>
      </c>
      <c r="J141" s="15">
        <v>8.86</v>
      </c>
      <c r="K141" s="32">
        <f t="shared" ref="K141:K144" si="76">IF(ISNUMBER(J141), (J141 - $B141) / $B141, "")</f>
        <v>-4.3196544276457922E-2</v>
      </c>
      <c r="L141" s="18">
        <f>IF(ISNUMBER(J141), $B145 * K141, "")</f>
        <v>-6479.4816414686884</v>
      </c>
      <c r="M141" s="31">
        <v>8.7799999999999994</v>
      </c>
      <c r="N141" s="32">
        <f t="shared" ref="N141:N144" si="77">IF(ISNUMBER(M141), (M141 - $B141) / $B141, "")</f>
        <v>-5.1835853131749508E-2</v>
      </c>
      <c r="O141" s="18">
        <f>IF(ISNUMBER(M141), $B145 * N141, "")</f>
        <v>-7775.3779697624259</v>
      </c>
      <c r="Q141" s="161"/>
      <c r="R141" s="161"/>
      <c r="S141" s="161"/>
    </row>
    <row r="142" spans="1:19" ht="17.25" thickBot="1">
      <c r="A142" s="109" t="s">
        <v>107</v>
      </c>
      <c r="B142" s="110">
        <v>44.3</v>
      </c>
      <c r="C142" s="70">
        <v>-2.6373626399999999E-2</v>
      </c>
      <c r="D142" s="15">
        <v>44</v>
      </c>
      <c r="E142" s="32">
        <f t="shared" si="74"/>
        <v>-6.772009029345309E-3</v>
      </c>
      <c r="F142" s="18">
        <f>IF(ISNUMBER(D142), $B145 * E142, "")</f>
        <v>-1015.8013544017964</v>
      </c>
      <c r="G142" s="31">
        <v>43.3</v>
      </c>
      <c r="H142" s="32">
        <f t="shared" si="75"/>
        <v>-2.2573363431151242E-2</v>
      </c>
      <c r="I142" s="91">
        <f>IF(ISNUMBER(G142), $B145 * H142, "")</f>
        <v>-3386.0045146726861</v>
      </c>
      <c r="J142" s="15">
        <v>43.3</v>
      </c>
      <c r="K142" s="32">
        <f t="shared" si="76"/>
        <v>-2.2573363431151242E-2</v>
      </c>
      <c r="L142" s="18">
        <f>IF(ISNUMBER(J142), $B145 * K142, "")</f>
        <v>-3386.0045146726861</v>
      </c>
      <c r="M142" s="31">
        <v>43.2</v>
      </c>
      <c r="N142" s="32">
        <f t="shared" si="77"/>
        <v>-2.4830699774266239E-2</v>
      </c>
      <c r="O142" s="18">
        <f>IF(ISNUMBER(M142), $B145 * N142, "")</f>
        <v>-3724.6049661399361</v>
      </c>
      <c r="Q142" s="161"/>
      <c r="R142" s="161"/>
      <c r="S142" s="161"/>
    </row>
    <row r="143" spans="1:19">
      <c r="A143" s="109" t="s">
        <v>350</v>
      </c>
      <c r="B143" s="110">
        <v>8.48</v>
      </c>
      <c r="C143" s="70">
        <v>-3.3067274799999997E-2</v>
      </c>
      <c r="D143" s="15">
        <v>8.19</v>
      </c>
      <c r="E143" s="32">
        <f t="shared" si="74"/>
        <v>-3.419811320754728E-2</v>
      </c>
      <c r="F143" s="18">
        <f>IF(ISNUMBER(D143), $B145 * E143, "")</f>
        <v>-5129.7169811320919</v>
      </c>
      <c r="G143" s="31">
        <v>8.0399999999999991</v>
      </c>
      <c r="H143" s="32">
        <f t="shared" si="75"/>
        <v>-5.1886792452830337E-2</v>
      </c>
      <c r="I143" s="91">
        <f>IF(ISNUMBER(G143), $B145 * H143, "")</f>
        <v>-7783.0188679245502</v>
      </c>
      <c r="J143" s="15">
        <v>8.0500000000000007</v>
      </c>
      <c r="K143" s="32">
        <f t="shared" si="76"/>
        <v>-5.0707547169811282E-2</v>
      </c>
      <c r="L143" s="18">
        <f>IF(ISNUMBER(J143), $B145 * K143, "")</f>
        <v>-7606.1320754716926</v>
      </c>
      <c r="M143" s="31">
        <v>7.99</v>
      </c>
      <c r="N143" s="32">
        <f t="shared" si="77"/>
        <v>-5.778301886792455E-2</v>
      </c>
      <c r="O143" s="18">
        <f>IF(ISNUMBER(M143), $B145 * N143, "")</f>
        <v>-8667.4528301886821</v>
      </c>
      <c r="Q143" s="183"/>
      <c r="R143" s="184"/>
      <c r="S143" s="185"/>
    </row>
    <row r="144" spans="1:19" ht="17.25" thickBot="1">
      <c r="A144" s="114" t="s">
        <v>200</v>
      </c>
      <c r="B144" s="115">
        <v>7.01</v>
      </c>
      <c r="C144" s="72">
        <v>-3.8408779099999998E-2</v>
      </c>
      <c r="D144" s="24">
        <v>7.12</v>
      </c>
      <c r="E144" s="25">
        <f t="shared" si="74"/>
        <v>1.5691868758915879E-2</v>
      </c>
      <c r="F144" s="94">
        <f>IF(ISNUMBER(D144), $B145 * E144, "")</f>
        <v>2353.780313837382</v>
      </c>
      <c r="G144" s="92">
        <v>7.02</v>
      </c>
      <c r="H144" s="25">
        <f t="shared" si="75"/>
        <v>1.4265335235377728E-3</v>
      </c>
      <c r="I144" s="93">
        <f>IF(ISNUMBER(G144), $B145 * H144, "")</f>
        <v>213.98002853066592</v>
      </c>
      <c r="J144" s="24">
        <v>7.06</v>
      </c>
      <c r="K144" s="25">
        <f t="shared" si="76"/>
        <v>7.1326676176889908E-3</v>
      </c>
      <c r="L144" s="94">
        <f>IF(ISNUMBER(J144), $B145 * K144, "")</f>
        <v>1069.9001426533487</v>
      </c>
      <c r="M144" s="92">
        <v>7.04</v>
      </c>
      <c r="N144" s="25">
        <f t="shared" si="77"/>
        <v>4.2796005706134451E-3</v>
      </c>
      <c r="O144" s="94">
        <f>IF(ISNUMBER(M144), $B145 * N144, "")</f>
        <v>641.94008559201677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2.0691132100312832E-3</v>
      </c>
      <c r="F145" s="28">
        <f>SUM(F125:F144)</f>
        <v>6207.3396300938575</v>
      </c>
      <c r="G145" s="26" t="s">
        <v>261</v>
      </c>
      <c r="H145" s="27">
        <f>IF(COUNT(H125:H144), SUM(H125:H144) / COUNT(H125:H144), 0)</f>
        <v>-2.6071866875971204E-3</v>
      </c>
      <c r="I145" s="28">
        <f>SUM(I125:I144)</f>
        <v>-7821.5600627913618</v>
      </c>
      <c r="J145" s="26" t="s">
        <v>261</v>
      </c>
      <c r="K145" s="27">
        <f>IF(COUNT(K125:K144), SUM(K125:K144) / COUNT(K125:K144), 0)</f>
        <v>-3.390549272206723E-3</v>
      </c>
      <c r="L145" s="28">
        <f>SUM(L125:L144)</f>
        <v>-10171.647816620167</v>
      </c>
      <c r="M145" s="26" t="s">
        <v>261</v>
      </c>
      <c r="N145" s="27">
        <f>IF(COUNT(N125:N144), SUM(N125:N144) / COUNT(N125:N144), 0)</f>
        <v>-7.0471835296235796E-3</v>
      </c>
      <c r="O145" s="28">
        <f>SUM(O125:O144)</f>
        <v>-21141.550588870734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2022-12-05(월) 오전 00:00</v>
      </c>
      <c r="C150" s="199"/>
      <c r="D150" s="158" t="str">
        <f>TEXT($G$1, "[$-ko-KR]yyyy-mm-dd(ddd) ") &amp; "오후 14:00"</f>
        <v>2022-12-05(월) 오후 14:00</v>
      </c>
      <c r="E150" s="159"/>
      <c r="F150" s="160"/>
      <c r="G150" s="158" t="str">
        <f>TEXT($G$1, "[$-ko-KR]yyyy-mm-dd(ddd) ") &amp; "오후 19:00"</f>
        <v>2022-12-05(월) 오후 19:00</v>
      </c>
      <c r="H150" s="159"/>
      <c r="I150" s="160"/>
      <c r="J150" s="158" t="str">
        <f>TEXT($G$1, "[$-ko-KR]yyyy-mm-dd(ddd) ") &amp; "오후 21:00"</f>
        <v>2022-12-05(월) 오후 21:00</v>
      </c>
      <c r="K150" s="159"/>
      <c r="L150" s="160"/>
      <c r="M150" s="158" t="str">
        <f>TEXT($G$1+1, "[$-ko-KR]yyyy-mm-dd(ddd) ") &amp; "오전 00:00"</f>
        <v>2022-12-06(화)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226</v>
      </c>
      <c r="B152" s="108">
        <v>238</v>
      </c>
      <c r="C152" s="69">
        <v>-4.1841003999999998E-3</v>
      </c>
      <c r="D152" s="13">
        <v>238</v>
      </c>
      <c r="E152" s="14">
        <f>IF(ISNUMBER(D152), (D152 - $B152) / $B152, "")</f>
        <v>0</v>
      </c>
      <c r="F152" s="16">
        <f>IF(ISNUMBER(D152), $B172 * E152, "")</f>
        <v>0</v>
      </c>
      <c r="G152" s="29">
        <v>237</v>
      </c>
      <c r="H152" s="14">
        <f>IF(ISNUMBER(G152), (G152 - $B152) / $B152, "")</f>
        <v>-4.2016806722689074E-3</v>
      </c>
      <c r="I152" s="90">
        <f>IF(ISNUMBER(G152), $B172 * H152, "")</f>
        <v>-630.25210084033608</v>
      </c>
      <c r="J152" s="13">
        <v>238</v>
      </c>
      <c r="K152" s="14">
        <f>IF(ISNUMBER(J152), (J152 - $B152) / $B152, "")</f>
        <v>0</v>
      </c>
      <c r="L152" s="16">
        <f>IF(ISNUMBER(J152), $B172 * K152, "")</f>
        <v>0</v>
      </c>
      <c r="M152" s="29">
        <v>238</v>
      </c>
      <c r="N152" s="14">
        <f>IF(ISNUMBER(M152), (M152 - $B152) / $B152, "")</f>
        <v>0</v>
      </c>
      <c r="O152" s="16">
        <f>IF(ISNUMBER(M152), $B172 * N152, "")</f>
        <v>0</v>
      </c>
      <c r="Q152" s="156"/>
      <c r="R152" s="156"/>
      <c r="S152" s="156"/>
    </row>
    <row r="153" spans="1:19" ht="17.25" thickBot="1">
      <c r="A153" s="109" t="s">
        <v>85</v>
      </c>
      <c r="B153" s="110">
        <v>223</v>
      </c>
      <c r="C153" s="70">
        <v>-4.4642856999999999E-3</v>
      </c>
      <c r="D153" s="15">
        <v>224</v>
      </c>
      <c r="E153" s="32">
        <f t="shared" ref="E153:E156" si="78">IF(ISNUMBER(D153), (D153 - $B153) / $B153, "")</f>
        <v>4.4843049327354259E-3</v>
      </c>
      <c r="F153" s="18">
        <f>IF(ISNUMBER(D153), $B172 * E153, "")</f>
        <v>672.64573991031386</v>
      </c>
      <c r="G153" s="31">
        <v>224</v>
      </c>
      <c r="H153" s="32">
        <f t="shared" ref="H153:H156" si="79">IF(ISNUMBER(G153), (G153 - $B153) / $B153, "")</f>
        <v>4.4843049327354259E-3</v>
      </c>
      <c r="I153" s="91">
        <f>IF(ISNUMBER(G153), $B172 * H153, "")</f>
        <v>672.64573991031386</v>
      </c>
      <c r="J153" s="15">
        <v>223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222</v>
      </c>
      <c r="N153" s="32">
        <f t="shared" ref="N153:N156" si="81">IF(ISNUMBER(M153), (M153 - $B153) / $B153, "")</f>
        <v>-4.4843049327354259E-3</v>
      </c>
      <c r="O153" s="18">
        <f>IF(ISNUMBER(M153), $B172 * N153, "")</f>
        <v>-672.64573991031386</v>
      </c>
      <c r="Q153" s="156"/>
      <c r="R153" s="156"/>
      <c r="S153" s="156"/>
    </row>
    <row r="154" spans="1:19" ht="17.25" thickBot="1">
      <c r="A154" s="109" t="s">
        <v>153</v>
      </c>
      <c r="B154" s="110">
        <v>443</v>
      </c>
      <c r="C154" s="70">
        <v>-4.4943819999999999E-3</v>
      </c>
      <c r="D154" s="15">
        <v>451</v>
      </c>
      <c r="E154" s="32">
        <f t="shared" si="78"/>
        <v>1.8058690744920992E-2</v>
      </c>
      <c r="F154" s="18">
        <f>IF(ISNUMBER(D154), $B172 * E154, "")</f>
        <v>2708.8036117381489</v>
      </c>
      <c r="G154" s="31">
        <v>450</v>
      </c>
      <c r="H154" s="32">
        <f t="shared" si="79"/>
        <v>1.580135440180587E-2</v>
      </c>
      <c r="I154" s="91">
        <f>IF(ISNUMBER(G154), $B172 * H154, "")</f>
        <v>2370.2031602708803</v>
      </c>
      <c r="J154" s="15">
        <v>450</v>
      </c>
      <c r="K154" s="32">
        <f t="shared" si="80"/>
        <v>1.580135440180587E-2</v>
      </c>
      <c r="L154" s="18">
        <f>IF(ISNUMBER(J154), $B172 * K154, "")</f>
        <v>2370.2031602708803</v>
      </c>
      <c r="M154" s="31">
        <v>447</v>
      </c>
      <c r="N154" s="32">
        <f t="shared" si="81"/>
        <v>9.0293453724604959E-3</v>
      </c>
      <c r="O154" s="18">
        <f>IF(ISNUMBER(M154), $B172 * N154, "")</f>
        <v>1354.4018058690745</v>
      </c>
      <c r="Q154" s="161"/>
      <c r="R154" s="161"/>
      <c r="S154" s="161"/>
    </row>
    <row r="155" spans="1:19" ht="17.25" thickBot="1">
      <c r="A155" s="109" t="s">
        <v>159</v>
      </c>
      <c r="B155" s="110">
        <v>208</v>
      </c>
      <c r="C155" s="70">
        <v>-4.784689E-3</v>
      </c>
      <c r="D155" s="15">
        <v>208</v>
      </c>
      <c r="E155" s="32">
        <f t="shared" si="78"/>
        <v>0</v>
      </c>
      <c r="F155" s="18">
        <f>IF(ISNUMBER(D155), $B172 * E155, "")</f>
        <v>0</v>
      </c>
      <c r="G155" s="31">
        <v>210</v>
      </c>
      <c r="H155" s="32">
        <f t="shared" si="79"/>
        <v>9.6153846153846159E-3</v>
      </c>
      <c r="I155" s="91">
        <f>IF(ISNUMBER(G155), $B172 * H155, "")</f>
        <v>1442.3076923076924</v>
      </c>
      <c r="J155" s="15">
        <v>209</v>
      </c>
      <c r="K155" s="32">
        <f t="shared" si="80"/>
        <v>4.807692307692308E-3</v>
      </c>
      <c r="L155" s="18">
        <f>IF(ISNUMBER(J155), $B172 * K155, "")</f>
        <v>721.15384615384619</v>
      </c>
      <c r="M155" s="31">
        <v>209</v>
      </c>
      <c r="N155" s="32">
        <f t="shared" si="81"/>
        <v>4.807692307692308E-3</v>
      </c>
      <c r="O155" s="18">
        <f>IF(ISNUMBER(M155), $B172 * N155, "")</f>
        <v>721.15384615384619</v>
      </c>
      <c r="Q155" s="161"/>
      <c r="R155" s="161"/>
      <c r="S155" s="161"/>
    </row>
    <row r="156" spans="1:19" ht="17.25" thickBot="1">
      <c r="A156" s="111" t="s">
        <v>167</v>
      </c>
      <c r="B156" s="112">
        <v>203</v>
      </c>
      <c r="C156" s="71">
        <v>-4.9019607999999998E-3</v>
      </c>
      <c r="D156" s="20">
        <v>203</v>
      </c>
      <c r="E156" s="21">
        <f t="shared" si="78"/>
        <v>0</v>
      </c>
      <c r="F156" s="22">
        <f>IF(ISNUMBER(D156), $B172 * E156, "")</f>
        <v>0</v>
      </c>
      <c r="G156" s="30">
        <v>204</v>
      </c>
      <c r="H156" s="21">
        <f t="shared" si="79"/>
        <v>4.9261083743842365E-3</v>
      </c>
      <c r="I156" s="95">
        <f>IF(ISNUMBER(G156), $B172 * H156, "")</f>
        <v>738.91625615763553</v>
      </c>
      <c r="J156" s="20">
        <v>204</v>
      </c>
      <c r="K156" s="21">
        <f t="shared" si="80"/>
        <v>4.9261083743842365E-3</v>
      </c>
      <c r="L156" s="22">
        <f>IF(ISNUMBER(J156), $B172 * K156, "")</f>
        <v>738.91625615763553</v>
      </c>
      <c r="M156" s="30">
        <v>204</v>
      </c>
      <c r="N156" s="21">
        <f t="shared" si="81"/>
        <v>4.9261083743842365E-3</v>
      </c>
      <c r="O156" s="22">
        <f>IF(ISNUMBER(M156), $B172 * N156, "")</f>
        <v>738.91625615763553</v>
      </c>
      <c r="Q156" s="161"/>
      <c r="R156" s="161"/>
      <c r="S156" s="161"/>
    </row>
    <row r="157" spans="1:19" ht="17.25" thickBot="1">
      <c r="A157" s="109" t="s">
        <v>234</v>
      </c>
      <c r="B157" s="113">
        <v>374</v>
      </c>
      <c r="C157" s="73">
        <v>-5.3191489E-3</v>
      </c>
      <c r="D157" s="96">
        <v>376</v>
      </c>
      <c r="E157" s="97">
        <f>IF(ISNUMBER(D157), (D157 - $B157) / $B157, "")</f>
        <v>5.3475935828877002E-3</v>
      </c>
      <c r="F157" s="98">
        <f>IF(ISNUMBER(D157), $B172 * E157, "")</f>
        <v>802.13903743315507</v>
      </c>
      <c r="G157" s="99">
        <v>374</v>
      </c>
      <c r="H157" s="97">
        <f>IF(ISNUMBER(G157), (G157 - $B157) / $B157, "")</f>
        <v>0</v>
      </c>
      <c r="I157" s="100">
        <f>IF(ISNUMBER(G157), $B172 * H157, "")</f>
        <v>0</v>
      </c>
      <c r="J157" s="96">
        <v>374</v>
      </c>
      <c r="K157" s="97">
        <f>IF(ISNUMBER(J157), (J157 - $B157) / $B157, "")</f>
        <v>0</v>
      </c>
      <c r="L157" s="98">
        <f>IF(ISNUMBER(J157), $B172 * K157, "")</f>
        <v>0</v>
      </c>
      <c r="M157" s="99">
        <v>372</v>
      </c>
      <c r="N157" s="97">
        <f>IF(ISNUMBER(M157), (M157 - $B157) / $B157, "")</f>
        <v>-5.3475935828877002E-3</v>
      </c>
      <c r="O157" s="98">
        <f>IF(ISNUMBER(M157), $B172 * N157, "")</f>
        <v>-802.13903743315507</v>
      </c>
      <c r="Q157" s="161"/>
      <c r="R157" s="161"/>
      <c r="S157" s="161"/>
    </row>
    <row r="158" spans="1:19" ht="17.25" thickBot="1">
      <c r="A158" s="109" t="s">
        <v>232</v>
      </c>
      <c r="B158" s="110">
        <v>300</v>
      </c>
      <c r="C158" s="70">
        <v>-6.6225166000000004E-3</v>
      </c>
      <c r="D158" s="15">
        <v>300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301</v>
      </c>
      <c r="H158" s="32">
        <f t="shared" ref="H158:H161" si="83">IF(ISNUMBER(G158), (G158 - $B158) / $B158, "")</f>
        <v>3.3333333333333335E-3</v>
      </c>
      <c r="I158" s="91">
        <f>IF(ISNUMBER(G158), $B172 * H158, "")</f>
        <v>500.00000000000006</v>
      </c>
      <c r="J158" s="15">
        <v>300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298</v>
      </c>
      <c r="N158" s="32">
        <f t="shared" ref="N158:N161" si="85">IF(ISNUMBER(M158), (M158 - $B158) / $B158, "")</f>
        <v>-6.6666666666666671E-3</v>
      </c>
      <c r="O158" s="18">
        <f>IF(ISNUMBER(M158), $B172 * N158, "")</f>
        <v>-1000.0000000000001</v>
      </c>
      <c r="Q158" s="161"/>
      <c r="R158" s="161"/>
      <c r="S158" s="161"/>
    </row>
    <row r="159" spans="1:19" ht="17.25" thickBot="1">
      <c r="A159" s="109" t="s">
        <v>342</v>
      </c>
      <c r="B159" s="110">
        <v>140</v>
      </c>
      <c r="C159" s="70">
        <v>-7.0921986000000003E-3</v>
      </c>
      <c r="D159" s="15">
        <v>140</v>
      </c>
      <c r="E159" s="32">
        <f t="shared" si="82"/>
        <v>0</v>
      </c>
      <c r="F159" s="18">
        <f>IF(ISNUMBER(D159), $B172 * E159, "")</f>
        <v>0</v>
      </c>
      <c r="G159" s="31">
        <v>139</v>
      </c>
      <c r="H159" s="32">
        <f t="shared" si="83"/>
        <v>-7.1428571428571426E-3</v>
      </c>
      <c r="I159" s="91">
        <f>IF(ISNUMBER(G159), $B172 * H159, "")</f>
        <v>-1071.4285714285713</v>
      </c>
      <c r="J159" s="15">
        <v>140</v>
      </c>
      <c r="K159" s="32">
        <f t="shared" si="84"/>
        <v>0</v>
      </c>
      <c r="L159" s="18">
        <f>IF(ISNUMBER(J159), $B172 * K159, "")</f>
        <v>0</v>
      </c>
      <c r="M159" s="31">
        <v>140</v>
      </c>
      <c r="N159" s="32">
        <f t="shared" si="85"/>
        <v>0</v>
      </c>
      <c r="O159" s="18">
        <f>IF(ISNUMBER(M159), $B172 * N159, "")</f>
        <v>0</v>
      </c>
      <c r="Q159" s="161"/>
      <c r="R159" s="161"/>
      <c r="S159" s="161"/>
    </row>
    <row r="160" spans="1:19" ht="17.25" thickBot="1">
      <c r="A160" s="109" t="s">
        <v>51</v>
      </c>
      <c r="B160" s="110">
        <v>117</v>
      </c>
      <c r="C160" s="70">
        <v>-8.4745762999999998E-3</v>
      </c>
      <c r="D160" s="15">
        <v>118</v>
      </c>
      <c r="E160" s="32">
        <f t="shared" si="82"/>
        <v>8.5470085470085479E-3</v>
      </c>
      <c r="F160" s="18">
        <f>IF(ISNUMBER(D160), $B172 * E160, "")</f>
        <v>1282.0512820512822</v>
      </c>
      <c r="G160" s="31">
        <v>119</v>
      </c>
      <c r="H160" s="32">
        <f t="shared" si="83"/>
        <v>1.7094017094017096E-2</v>
      </c>
      <c r="I160" s="91">
        <f>IF(ISNUMBER(G160), $B172 * H160, "")</f>
        <v>2564.1025641025644</v>
      </c>
      <c r="J160" s="15">
        <v>119</v>
      </c>
      <c r="K160" s="32">
        <f t="shared" si="84"/>
        <v>1.7094017094017096E-2</v>
      </c>
      <c r="L160" s="18">
        <f>IF(ISNUMBER(J160), $B172 * K160, "")</f>
        <v>2564.1025641025644</v>
      </c>
      <c r="M160" s="31">
        <v>117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14" t="s">
        <v>337</v>
      </c>
      <c r="B161" s="115">
        <v>333</v>
      </c>
      <c r="C161" s="72">
        <v>-8.9285713999999999E-3</v>
      </c>
      <c r="D161" s="24">
        <v>337</v>
      </c>
      <c r="E161" s="25">
        <f t="shared" si="82"/>
        <v>1.2012012012012012E-2</v>
      </c>
      <c r="F161" s="94">
        <f>IF(ISNUMBER(D161), $B172 * E161, "")</f>
        <v>1801.8018018018017</v>
      </c>
      <c r="G161" s="92">
        <v>336</v>
      </c>
      <c r="H161" s="25">
        <f t="shared" si="83"/>
        <v>9.0090090090090089E-3</v>
      </c>
      <c r="I161" s="93">
        <f>IF(ISNUMBER(G161), $B172 * H161, "")</f>
        <v>1351.3513513513512</v>
      </c>
      <c r="J161" s="24">
        <v>336</v>
      </c>
      <c r="K161" s="25">
        <f t="shared" si="84"/>
        <v>9.0090090090090089E-3</v>
      </c>
      <c r="L161" s="94">
        <f>IF(ISNUMBER(J161), $B172 * K161, "")</f>
        <v>1351.3513513513512</v>
      </c>
      <c r="M161" s="92">
        <v>338</v>
      </c>
      <c r="N161" s="25">
        <f t="shared" si="85"/>
        <v>1.5015015015015015E-2</v>
      </c>
      <c r="O161" s="94">
        <f>IF(ISNUMBER(M161), $B172 * N161, "")</f>
        <v>2252.2522522522522</v>
      </c>
      <c r="Q161" s="170"/>
      <c r="R161" s="171"/>
      <c r="S161" s="172"/>
    </row>
    <row r="162" spans="1:19">
      <c r="A162" s="107" t="s">
        <v>216</v>
      </c>
      <c r="B162" s="108">
        <v>521</v>
      </c>
      <c r="C162" s="69">
        <v>-9.5057033999999992E-3</v>
      </c>
      <c r="D162" s="13">
        <v>525</v>
      </c>
      <c r="E162" s="14">
        <f>IF(ISNUMBER(D162), (D162 - $B162) / $B162, "")</f>
        <v>7.677543186180422E-3</v>
      </c>
      <c r="F162" s="16">
        <f>IF(ISNUMBER(D162), $B172 * E162, "")</f>
        <v>1151.6314779270633</v>
      </c>
      <c r="G162" s="29">
        <v>526</v>
      </c>
      <c r="H162" s="14">
        <f>IF(ISNUMBER(G162), (G162 - $B162) / $B162, "")</f>
        <v>9.5969289827255271E-3</v>
      </c>
      <c r="I162" s="90">
        <f>IF(ISNUMBER(G162), $B172 * H162, "")</f>
        <v>1439.5393474088291</v>
      </c>
      <c r="J162" s="13">
        <v>524</v>
      </c>
      <c r="K162" s="14">
        <f>IF(ISNUMBER(J162), (J162 - $B162) / $B162, "")</f>
        <v>5.7581573896353169E-3</v>
      </c>
      <c r="L162" s="16">
        <f>IF(ISNUMBER(J162), $B172 * K162, "")</f>
        <v>863.72360844529749</v>
      </c>
      <c r="M162" s="29">
        <v>522</v>
      </c>
      <c r="N162" s="14">
        <f>IF(ISNUMBER(M162), (M162 - $B162) / $B162, "")</f>
        <v>1.9193857965451055E-3</v>
      </c>
      <c r="O162" s="16">
        <f>IF(ISNUMBER(M162), $B172 * N162, "")</f>
        <v>287.90786948176583</v>
      </c>
      <c r="Q162" s="173"/>
      <c r="R162" s="174"/>
      <c r="S162" s="175"/>
    </row>
    <row r="163" spans="1:19" ht="17.25" thickBot="1">
      <c r="A163" s="109" t="s">
        <v>238</v>
      </c>
      <c r="B163" s="110">
        <v>647</v>
      </c>
      <c r="C163" s="70">
        <v>-1.07033639E-2</v>
      </c>
      <c r="D163" s="15">
        <v>646</v>
      </c>
      <c r="E163" s="32">
        <f t="shared" ref="E163:E166" si="86">IF(ISNUMBER(D163), (D163 - $B163) / $B163, "")</f>
        <v>-1.5455950540958269E-3</v>
      </c>
      <c r="F163" s="18">
        <f>IF(ISNUMBER(D163), $B172 * E163, "")</f>
        <v>-231.83925811437402</v>
      </c>
      <c r="G163" s="31">
        <v>646</v>
      </c>
      <c r="H163" s="32">
        <f t="shared" ref="H163:H166" si="87">IF(ISNUMBER(G163), (G163 - $B163) / $B163, "")</f>
        <v>-1.5455950540958269E-3</v>
      </c>
      <c r="I163" s="91">
        <f>IF(ISNUMBER(G163), $B172 * H163, "")</f>
        <v>-231.83925811437402</v>
      </c>
      <c r="J163" s="15">
        <v>647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643</v>
      </c>
      <c r="N163" s="32">
        <f t="shared" ref="N163:N166" si="89">IF(ISNUMBER(M163), (M163 - $B163) / $B163, "")</f>
        <v>-6.1823802163833074E-3</v>
      </c>
      <c r="O163" s="18">
        <f>IF(ISNUMBER(M163), $B172 * N163, "")</f>
        <v>-927.35703245749608</v>
      </c>
      <c r="Q163" s="176"/>
      <c r="R163" s="177"/>
      <c r="S163" s="178"/>
    </row>
    <row r="164" spans="1:19" ht="17.25" thickBot="1">
      <c r="A164" s="109" t="s">
        <v>204</v>
      </c>
      <c r="B164" s="110">
        <v>273</v>
      </c>
      <c r="C164" s="70">
        <v>-1.08695652E-2</v>
      </c>
      <c r="D164" s="15">
        <v>275</v>
      </c>
      <c r="E164" s="32">
        <f t="shared" si="86"/>
        <v>7.326007326007326E-3</v>
      </c>
      <c r="F164" s="18">
        <f>IF(ISNUMBER(D164), $B172 * E164, "")</f>
        <v>1098.901098901099</v>
      </c>
      <c r="G164" s="31">
        <v>279</v>
      </c>
      <c r="H164" s="32">
        <f t="shared" si="87"/>
        <v>2.197802197802198E-2</v>
      </c>
      <c r="I164" s="91">
        <f>IF(ISNUMBER(G164), $B172 * H164, "")</f>
        <v>3296.7032967032969</v>
      </c>
      <c r="J164" s="15">
        <v>279</v>
      </c>
      <c r="K164" s="32">
        <f t="shared" si="88"/>
        <v>2.197802197802198E-2</v>
      </c>
      <c r="L164" s="18">
        <f>IF(ISNUMBER(J164), $B172 * K164, "")</f>
        <v>3296.7032967032969</v>
      </c>
      <c r="M164" s="31">
        <v>278</v>
      </c>
      <c r="N164" s="32">
        <f t="shared" si="89"/>
        <v>1.8315018315018316E-2</v>
      </c>
      <c r="O164" s="18">
        <f>IF(ISNUMBER(M164), $B172 * N164, "")</f>
        <v>2747.2527472527472</v>
      </c>
      <c r="Q164" s="161"/>
      <c r="R164" s="161"/>
      <c r="S164" s="161"/>
    </row>
    <row r="165" spans="1:19" ht="17.25" thickBot="1">
      <c r="A165" s="109" t="s">
        <v>105</v>
      </c>
      <c r="B165" s="110">
        <v>241</v>
      </c>
      <c r="C165" s="70">
        <v>-1.2295082000000001E-2</v>
      </c>
      <c r="D165" s="15">
        <v>245</v>
      </c>
      <c r="E165" s="32">
        <f t="shared" si="86"/>
        <v>1.6597510373443983E-2</v>
      </c>
      <c r="F165" s="18">
        <f>IF(ISNUMBER(D165), $B172 * E165, "")</f>
        <v>2489.6265560165975</v>
      </c>
      <c r="G165" s="31">
        <v>245</v>
      </c>
      <c r="H165" s="32">
        <f t="shared" si="87"/>
        <v>1.6597510373443983E-2</v>
      </c>
      <c r="I165" s="91">
        <f>IF(ISNUMBER(G165), $B172 * H165, "")</f>
        <v>2489.6265560165975</v>
      </c>
      <c r="J165" s="15">
        <v>245</v>
      </c>
      <c r="K165" s="32">
        <f t="shared" si="88"/>
        <v>1.6597510373443983E-2</v>
      </c>
      <c r="L165" s="18">
        <f>IF(ISNUMBER(J165), $B172 * K165, "")</f>
        <v>2489.6265560165975</v>
      </c>
      <c r="M165" s="31">
        <v>244</v>
      </c>
      <c r="N165" s="32">
        <f t="shared" si="89"/>
        <v>1.2448132780082987E-2</v>
      </c>
      <c r="O165" s="18">
        <f>IF(ISNUMBER(M165), $B172 * N165, "")</f>
        <v>1867.2199170124479</v>
      </c>
      <c r="Q165" s="156"/>
      <c r="R165" s="156"/>
      <c r="S165" s="156"/>
    </row>
    <row r="166" spans="1:19" ht="17.25" thickBot="1">
      <c r="A166" s="111" t="s">
        <v>242</v>
      </c>
      <c r="B166" s="112">
        <v>470</v>
      </c>
      <c r="C166" s="71">
        <v>-1.2605042E-2</v>
      </c>
      <c r="D166" s="20">
        <v>469</v>
      </c>
      <c r="E166" s="21">
        <f t="shared" si="86"/>
        <v>-2.1276595744680851E-3</v>
      </c>
      <c r="F166" s="22">
        <f>IF(ISNUMBER(D166), $B172 * E166, "")</f>
        <v>-319.14893617021278</v>
      </c>
      <c r="G166" s="30">
        <v>467</v>
      </c>
      <c r="H166" s="21">
        <f t="shared" si="87"/>
        <v>-6.382978723404255E-3</v>
      </c>
      <c r="I166" s="95">
        <f>IF(ISNUMBER(G166), $B172 * H166, "")</f>
        <v>-957.44680851063822</v>
      </c>
      <c r="J166" s="20">
        <v>469</v>
      </c>
      <c r="K166" s="21">
        <f t="shared" si="88"/>
        <v>-2.1276595744680851E-3</v>
      </c>
      <c r="L166" s="22">
        <f>IF(ISNUMBER(J166), $B172 * K166, "")</f>
        <v>-319.14893617021278</v>
      </c>
      <c r="M166" s="30">
        <v>467</v>
      </c>
      <c r="N166" s="21">
        <f t="shared" si="89"/>
        <v>-6.382978723404255E-3</v>
      </c>
      <c r="O166" s="22">
        <f>IF(ISNUMBER(M166), $B172 * N166, "")</f>
        <v>-957.44680851063822</v>
      </c>
      <c r="Q166" s="156"/>
      <c r="R166" s="156"/>
      <c r="S166" s="156"/>
    </row>
    <row r="167" spans="1:19" ht="17.25" thickBot="1">
      <c r="A167" s="109" t="s">
        <v>196</v>
      </c>
      <c r="B167" s="113">
        <v>296</v>
      </c>
      <c r="C167" s="73">
        <v>-1.33333333E-2</v>
      </c>
      <c r="D167" s="96">
        <v>295</v>
      </c>
      <c r="E167" s="97">
        <f>IF(ISNUMBER(D167), (D167 - $B167) / $B167, "")</f>
        <v>-3.3783783783783786E-3</v>
      </c>
      <c r="F167" s="98">
        <f>IF(ISNUMBER(D167), $B172 * E167, "")</f>
        <v>-506.75675675675677</v>
      </c>
      <c r="G167" s="99">
        <v>299</v>
      </c>
      <c r="H167" s="97">
        <f>IF(ISNUMBER(G167), (G167 - $B167) / $B167, "")</f>
        <v>1.0135135135135136E-2</v>
      </c>
      <c r="I167" s="100">
        <f>IF(ISNUMBER(G167), $B172 * H167, "")</f>
        <v>1520.2702702702704</v>
      </c>
      <c r="J167" s="96">
        <v>297</v>
      </c>
      <c r="K167" s="97">
        <f>IF(ISNUMBER(J167), (J167 - $B167) / $B167, "")</f>
        <v>3.3783783783783786E-3</v>
      </c>
      <c r="L167" s="98">
        <f>IF(ISNUMBER(J167), $B172 * K167, "")</f>
        <v>506.75675675675677</v>
      </c>
      <c r="M167" s="99">
        <v>296</v>
      </c>
      <c r="N167" s="97">
        <f>IF(ISNUMBER(M167), (M167 - $B167) / $B167, "")</f>
        <v>0</v>
      </c>
      <c r="O167" s="98">
        <f>IF(ISNUMBER(M167), $B172 * N167, "")</f>
        <v>0</v>
      </c>
      <c r="Q167" s="161"/>
      <c r="R167" s="161"/>
      <c r="S167" s="161"/>
    </row>
    <row r="168" spans="1:19" ht="17.25" thickBot="1">
      <c r="A168" s="109" t="s">
        <v>176</v>
      </c>
      <c r="B168" s="110">
        <v>348</v>
      </c>
      <c r="C168" s="70">
        <v>-1.41643059E-2</v>
      </c>
      <c r="D168" s="15">
        <v>350</v>
      </c>
      <c r="E168" s="32">
        <f t="shared" ref="E168:E171" si="90">IF(ISNUMBER(D168), (D168 - $B168) / $B168, "")</f>
        <v>5.7471264367816091E-3</v>
      </c>
      <c r="F168" s="18">
        <f>IF(ISNUMBER(D168), $B172 * E168, "")</f>
        <v>862.06896551724139</v>
      </c>
      <c r="G168" s="31">
        <v>349</v>
      </c>
      <c r="H168" s="32">
        <f t="shared" ref="H168:H171" si="91">IF(ISNUMBER(G168), (G168 - $B168) / $B168, "")</f>
        <v>2.8735632183908046E-3</v>
      </c>
      <c r="I168" s="91">
        <f>IF(ISNUMBER(G168), $B172 * H168, "")</f>
        <v>431.0344827586207</v>
      </c>
      <c r="J168" s="15">
        <v>349</v>
      </c>
      <c r="K168" s="32">
        <f t="shared" ref="K168:K171" si="92">IF(ISNUMBER(J168), (J168 - $B168) / $B168, "")</f>
        <v>2.8735632183908046E-3</v>
      </c>
      <c r="L168" s="18">
        <f>IF(ISNUMBER(J168), $B172 * K168, "")</f>
        <v>431.0344827586207</v>
      </c>
      <c r="M168" s="31">
        <v>348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161"/>
      <c r="R168" s="161"/>
      <c r="S168" s="161"/>
    </row>
    <row r="169" spans="1:19" ht="17.25" thickBot="1">
      <c r="A169" s="109" t="s">
        <v>222</v>
      </c>
      <c r="B169" s="110">
        <v>484</v>
      </c>
      <c r="C169" s="70">
        <v>-1.4256619099999999E-2</v>
      </c>
      <c r="D169" s="15">
        <v>487</v>
      </c>
      <c r="E169" s="32">
        <f t="shared" si="90"/>
        <v>6.1983471074380167E-3</v>
      </c>
      <c r="F169" s="18">
        <f>IF(ISNUMBER(D169), $B172 * E169, "")</f>
        <v>929.75206611570252</v>
      </c>
      <c r="G169" s="31">
        <v>488</v>
      </c>
      <c r="H169" s="32">
        <f t="shared" si="91"/>
        <v>8.2644628099173556E-3</v>
      </c>
      <c r="I169" s="91">
        <f>IF(ISNUMBER(G169), $B172 * H169, "")</f>
        <v>1239.6694214876034</v>
      </c>
      <c r="J169" s="15">
        <v>488</v>
      </c>
      <c r="K169" s="32">
        <f t="shared" si="92"/>
        <v>8.2644628099173556E-3</v>
      </c>
      <c r="L169" s="18">
        <f>IF(ISNUMBER(J169), $B172 * K169, "")</f>
        <v>1239.6694214876034</v>
      </c>
      <c r="M169" s="31">
        <v>487</v>
      </c>
      <c r="N169" s="32">
        <f t="shared" si="93"/>
        <v>6.1983471074380167E-3</v>
      </c>
      <c r="O169" s="18">
        <f>IF(ISNUMBER(M169), $B172 * N169, "")</f>
        <v>929.75206611570252</v>
      </c>
      <c r="Q169" s="161"/>
      <c r="R169" s="161"/>
      <c r="S169" s="161"/>
    </row>
    <row r="170" spans="1:19">
      <c r="A170" s="109" t="s">
        <v>120</v>
      </c>
      <c r="B170" s="110">
        <v>137</v>
      </c>
      <c r="C170" s="70">
        <v>-1.43884892E-2</v>
      </c>
      <c r="D170" s="15">
        <v>138</v>
      </c>
      <c r="E170" s="32">
        <f t="shared" si="90"/>
        <v>7.2992700729927005E-3</v>
      </c>
      <c r="F170" s="18">
        <f>IF(ISNUMBER(D170), $B172 * E170, "")</f>
        <v>1094.8905109489051</v>
      </c>
      <c r="G170" s="31">
        <v>137</v>
      </c>
      <c r="H170" s="32">
        <f t="shared" si="91"/>
        <v>0</v>
      </c>
      <c r="I170" s="91">
        <f>IF(ISNUMBER(G170), $B172 * H170, "")</f>
        <v>0</v>
      </c>
      <c r="J170" s="15">
        <v>137</v>
      </c>
      <c r="K170" s="32">
        <f t="shared" si="92"/>
        <v>0</v>
      </c>
      <c r="L170" s="18">
        <f>IF(ISNUMBER(J170), $B172 * K170, "")</f>
        <v>0</v>
      </c>
      <c r="M170" s="31">
        <v>137</v>
      </c>
      <c r="N170" s="32">
        <f t="shared" si="93"/>
        <v>0</v>
      </c>
      <c r="O170" s="18">
        <f>IF(ISNUMBER(M170), $B172 * N170, "")</f>
        <v>0</v>
      </c>
      <c r="Q170" s="183"/>
      <c r="R170" s="184"/>
      <c r="S170" s="185"/>
    </row>
    <row r="171" spans="1:19" ht="17.25" thickBot="1">
      <c r="A171" s="114" t="s">
        <v>218</v>
      </c>
      <c r="B171" s="115">
        <v>358</v>
      </c>
      <c r="C171" s="72">
        <v>-2.98102981E-2</v>
      </c>
      <c r="D171" s="24">
        <v>366</v>
      </c>
      <c r="E171" s="25">
        <f t="shared" si="90"/>
        <v>2.23463687150838E-2</v>
      </c>
      <c r="F171" s="94">
        <f>IF(ISNUMBER(D171), $B172 * E171, "")</f>
        <v>3351.9553072625699</v>
      </c>
      <c r="G171" s="92">
        <v>358</v>
      </c>
      <c r="H171" s="25">
        <f t="shared" si="91"/>
        <v>0</v>
      </c>
      <c r="I171" s="93">
        <f>IF(ISNUMBER(G171), $B172 * H171, "")</f>
        <v>0</v>
      </c>
      <c r="J171" s="24">
        <v>360</v>
      </c>
      <c r="K171" s="25">
        <f t="shared" si="92"/>
        <v>5.5865921787709499E-3</v>
      </c>
      <c r="L171" s="94">
        <f>IF(ISNUMBER(J171), $B172 * K171, "")</f>
        <v>837.98882681564248</v>
      </c>
      <c r="M171" s="92">
        <v>358</v>
      </c>
      <c r="N171" s="25">
        <f t="shared" si="93"/>
        <v>0</v>
      </c>
      <c r="O171" s="94">
        <f>IF(ISNUMBER(M171), $B172 * N171, "")</f>
        <v>0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5.7295075015275122E-3</v>
      </c>
      <c r="F172" s="28">
        <f>SUM(F152:F171)</f>
        <v>17188.522504582539</v>
      </c>
      <c r="G172" s="26" t="s">
        <v>261</v>
      </c>
      <c r="H172" s="27">
        <f>IF(COUNT(H152:H171), SUM(H152:H171) / COUNT(H152:H171), 0)</f>
        <v>5.721801133283912E-3</v>
      </c>
      <c r="I172" s="28">
        <f>SUM(I152:I171)</f>
        <v>17165.403399851737</v>
      </c>
      <c r="J172" s="26" t="s">
        <v>261</v>
      </c>
      <c r="K172" s="27">
        <f>IF(COUNT(K152:K171), SUM(K152:K171) / COUNT(K152:K171), 0)</f>
        <v>5.6973603969499593E-3</v>
      </c>
      <c r="L172" s="28">
        <f>SUM(L152:L171)</f>
        <v>17092.08119084988</v>
      </c>
      <c r="M172" s="26" t="s">
        <v>261</v>
      </c>
      <c r="N172" s="27">
        <f>IF(COUNT(N152:N171), SUM(N152:N171) / COUNT(N152:N171), 0)</f>
        <v>2.1797560473279564E-3</v>
      </c>
      <c r="O172" s="28">
        <f>SUM(O152:O171)</f>
        <v>6539.2681419838682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2022-12-05(월) 오전 00:00</v>
      </c>
      <c r="C177" s="199"/>
      <c r="D177" s="158" t="str">
        <f>TEXT($G$1, "[$-ko-KR]yyyy-mm-dd(ddd) ") &amp; "오후 14:00"</f>
        <v>2022-12-05(월) 오후 14:00</v>
      </c>
      <c r="E177" s="159"/>
      <c r="F177" s="160"/>
      <c r="G177" s="158" t="str">
        <f>TEXT($G$1, "[$-ko-KR]yyyy-mm-dd(ddd) ") &amp; "오후 19:00"</f>
        <v>2022-12-05(월) 오후 19:00</v>
      </c>
      <c r="H177" s="159"/>
      <c r="I177" s="160"/>
      <c r="J177" s="158" t="str">
        <f>TEXT($G$1, "[$-ko-KR]yyyy-mm-dd(ddd) ") &amp; "오후 21:00"</f>
        <v>2022-12-05(월) 오후 21:00</v>
      </c>
      <c r="K177" s="159"/>
      <c r="L177" s="160"/>
      <c r="M177" s="158" t="str">
        <f>TEXT($G$1+1, "[$-ko-KR]yyyy-mm-dd(ddd) ") &amp; "오전 00:00"</f>
        <v>2022-12-06(화)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242</v>
      </c>
      <c r="B179" s="108">
        <v>470</v>
      </c>
      <c r="C179" s="69">
        <v>-1.2605042E-2</v>
      </c>
      <c r="D179" s="13">
        <v>469</v>
      </c>
      <c r="E179" s="14">
        <f>IF(ISNUMBER(D179), (D179 - $B179) / $B179, "")</f>
        <v>-2.1276595744680851E-3</v>
      </c>
      <c r="F179" s="16">
        <f>IF(ISNUMBER(D179), $B199 * E179, "")</f>
        <v>-319.14893617021278</v>
      </c>
      <c r="G179" s="29">
        <v>467</v>
      </c>
      <c r="H179" s="14">
        <f>IF(ISNUMBER(G179), (G179 - $B179) / $B179, "")</f>
        <v>-6.382978723404255E-3</v>
      </c>
      <c r="I179" s="90">
        <f>IF(ISNUMBER(G179), $B199 * H179, "")</f>
        <v>-957.44680851063822</v>
      </c>
      <c r="J179" s="13">
        <v>469</v>
      </c>
      <c r="K179" s="14">
        <f>IF(ISNUMBER(J179), (J179 - $B179) / $B179, "")</f>
        <v>-2.1276595744680851E-3</v>
      </c>
      <c r="L179" s="16">
        <f>IF(ISNUMBER(J179), $B199 * K179, "")</f>
        <v>-319.14893617021278</v>
      </c>
      <c r="M179" s="29">
        <v>467</v>
      </c>
      <c r="N179" s="14">
        <f>IF(ISNUMBER(M179), (M179 - $B179) / $B179, "")</f>
        <v>-6.382978723404255E-3</v>
      </c>
      <c r="O179" s="16">
        <f>IF(ISNUMBER(M179), $B199 * N179, "")</f>
        <v>-957.44680851063822</v>
      </c>
      <c r="Q179" s="156"/>
      <c r="R179" s="156"/>
      <c r="S179" s="156"/>
    </row>
    <row r="180" spans="1:19" ht="17.25" thickBot="1">
      <c r="A180" s="109" t="s">
        <v>214</v>
      </c>
      <c r="B180" s="110">
        <v>1145</v>
      </c>
      <c r="C180" s="70">
        <v>-1.2931034500000001E-2</v>
      </c>
      <c r="D180" s="15">
        <v>1155</v>
      </c>
      <c r="E180" s="32">
        <f t="shared" ref="E180:E183" si="94">IF(ISNUMBER(D180), (D180 - $B180) / $B180, "")</f>
        <v>8.7336244541484712E-3</v>
      </c>
      <c r="F180" s="18">
        <f>IF(ISNUMBER(D180), $B199 * E180, "")</f>
        <v>1310.0436681222707</v>
      </c>
      <c r="G180" s="31">
        <v>1150</v>
      </c>
      <c r="H180" s="32">
        <f t="shared" ref="H180:H183" si="95">IF(ISNUMBER(G180), (G180 - $B180) / $B180, "")</f>
        <v>4.3668122270742356E-3</v>
      </c>
      <c r="I180" s="91">
        <f>IF(ISNUMBER(G180), $B199 * H180, "")</f>
        <v>655.02183406113534</v>
      </c>
      <c r="J180" s="15">
        <v>1150</v>
      </c>
      <c r="K180" s="32">
        <f t="shared" ref="K180:K183" si="96">IF(ISNUMBER(J180), (J180 - $B180) / $B180, "")</f>
        <v>4.3668122270742356E-3</v>
      </c>
      <c r="L180" s="18">
        <f>IF(ISNUMBER(J180), $B199 * K180, "")</f>
        <v>655.02183406113534</v>
      </c>
      <c r="M180" s="31">
        <v>1135</v>
      </c>
      <c r="N180" s="32">
        <f t="shared" ref="N180:N183" si="97">IF(ISNUMBER(M180), (M180 - $B180) / $B180, "")</f>
        <v>-8.7336244541484712E-3</v>
      </c>
      <c r="O180" s="18">
        <f>IF(ISNUMBER(M180), $B199 * N180, "")</f>
        <v>-1310.0436681222707</v>
      </c>
      <c r="Q180" s="156"/>
      <c r="R180" s="156"/>
      <c r="S180" s="156"/>
    </row>
    <row r="181" spans="1:19" ht="17.25" thickBot="1">
      <c r="A181" s="109" t="s">
        <v>196</v>
      </c>
      <c r="B181" s="110">
        <v>296</v>
      </c>
      <c r="C181" s="70">
        <v>-1.33333333E-2</v>
      </c>
      <c r="D181" s="15">
        <v>295</v>
      </c>
      <c r="E181" s="32">
        <f t="shared" si="94"/>
        <v>-3.3783783783783786E-3</v>
      </c>
      <c r="F181" s="18">
        <f>IF(ISNUMBER(D181), $B199 * E181, "")</f>
        <v>-506.75675675675677</v>
      </c>
      <c r="G181" s="31">
        <v>299</v>
      </c>
      <c r="H181" s="32">
        <f t="shared" si="95"/>
        <v>1.0135135135135136E-2</v>
      </c>
      <c r="I181" s="91">
        <f>IF(ISNUMBER(G181), $B199 * H181, "")</f>
        <v>1520.2702702702704</v>
      </c>
      <c r="J181" s="15">
        <v>297</v>
      </c>
      <c r="K181" s="32">
        <f t="shared" si="96"/>
        <v>3.3783783783783786E-3</v>
      </c>
      <c r="L181" s="18">
        <f>IF(ISNUMBER(J181), $B199 * K181, "")</f>
        <v>506.75675675675677</v>
      </c>
      <c r="M181" s="31">
        <v>296</v>
      </c>
      <c r="N181" s="32">
        <f t="shared" si="97"/>
        <v>0</v>
      </c>
      <c r="O181" s="18">
        <f>IF(ISNUMBER(M181), $B199 * N181, "")</f>
        <v>0</v>
      </c>
      <c r="Q181" s="161"/>
      <c r="R181" s="161"/>
      <c r="S181" s="161"/>
    </row>
    <row r="182" spans="1:19" ht="17.25" thickBot="1">
      <c r="A182" s="109" t="s">
        <v>206</v>
      </c>
      <c r="B182" s="110">
        <v>3.58</v>
      </c>
      <c r="C182" s="70">
        <v>-1.3774104699999999E-2</v>
      </c>
      <c r="D182" s="15">
        <v>3.55</v>
      </c>
      <c r="E182" s="32">
        <f t="shared" si="94"/>
        <v>-8.3798882681564938E-3</v>
      </c>
      <c r="F182" s="18">
        <f>IF(ISNUMBER(D182), $B199 * E182, "")</f>
        <v>-1256.983240223474</v>
      </c>
      <c r="G182" s="31">
        <v>3.52</v>
      </c>
      <c r="H182" s="32">
        <f t="shared" si="95"/>
        <v>-1.6759776536312863E-2</v>
      </c>
      <c r="I182" s="91">
        <f>IF(ISNUMBER(G182), $B199 * H182, "")</f>
        <v>-2513.9664804469294</v>
      </c>
      <c r="J182" s="15">
        <v>3.53</v>
      </c>
      <c r="K182" s="32">
        <f t="shared" si="96"/>
        <v>-1.3966480446927448E-2</v>
      </c>
      <c r="L182" s="18">
        <f>IF(ISNUMBER(J182), $B199 * K182, "")</f>
        <v>-2094.9720670391171</v>
      </c>
      <c r="M182" s="31">
        <v>3.53</v>
      </c>
      <c r="N182" s="32">
        <f t="shared" si="97"/>
        <v>-1.3966480446927448E-2</v>
      </c>
      <c r="O182" s="18">
        <f>IF(ISNUMBER(M182), $B199 * N182, "")</f>
        <v>-2094.9720670391171</v>
      </c>
      <c r="Q182" s="161"/>
      <c r="R182" s="161"/>
      <c r="S182" s="161"/>
    </row>
    <row r="183" spans="1:19" ht="17.25" thickBot="1">
      <c r="A183" s="111" t="s">
        <v>145</v>
      </c>
      <c r="B183" s="112">
        <v>71.400000000000006</v>
      </c>
      <c r="C183" s="71">
        <v>-1.3812154700000001E-2</v>
      </c>
      <c r="D183" s="20">
        <v>71.2</v>
      </c>
      <c r="E183" s="21">
        <f t="shared" si="94"/>
        <v>-2.8011204481793112E-3</v>
      </c>
      <c r="F183" s="22">
        <f>IF(ISNUMBER(D183), $B199 * E183, "")</f>
        <v>-420.16806722689665</v>
      </c>
      <c r="G183" s="30">
        <v>71.5</v>
      </c>
      <c r="H183" s="21">
        <f t="shared" si="95"/>
        <v>1.4005602240895561E-3</v>
      </c>
      <c r="I183" s="95">
        <f>IF(ISNUMBER(G183), $B199 * H183, "")</f>
        <v>210.08403361343341</v>
      </c>
      <c r="J183" s="20">
        <v>71.3</v>
      </c>
      <c r="K183" s="21">
        <f t="shared" si="96"/>
        <v>-1.4005602240897551E-3</v>
      </c>
      <c r="L183" s="22">
        <f>IF(ISNUMBER(J183), $B199 * K183, "")</f>
        <v>-210.08403361346328</v>
      </c>
      <c r="M183" s="30">
        <v>71.3</v>
      </c>
      <c r="N183" s="21">
        <f t="shared" si="97"/>
        <v>-1.4005602240897551E-3</v>
      </c>
      <c r="O183" s="22">
        <f>IF(ISNUMBER(M183), $B199 * N183, "")</f>
        <v>-210.08403361346328</v>
      </c>
      <c r="Q183" s="161"/>
      <c r="R183" s="161"/>
      <c r="S183" s="161"/>
    </row>
    <row r="184" spans="1:19" ht="17.25" thickBot="1">
      <c r="A184" s="109" t="s">
        <v>141</v>
      </c>
      <c r="B184" s="113">
        <v>3.5</v>
      </c>
      <c r="C184" s="73">
        <v>-1.4084507E-2</v>
      </c>
      <c r="D184" s="96">
        <v>3.51</v>
      </c>
      <c r="E184" s="97">
        <f>IF(ISNUMBER(D184), (D184 - $B184) / $B184, "")</f>
        <v>2.8571428571427964E-3</v>
      </c>
      <c r="F184" s="98">
        <f>IF(ISNUMBER(D184), $B199 * E184, "")</f>
        <v>428.57142857141946</v>
      </c>
      <c r="G184" s="99">
        <v>3.5</v>
      </c>
      <c r="H184" s="97">
        <f>IF(ISNUMBER(G184), (G184 - $B184) / $B184, "")</f>
        <v>0</v>
      </c>
      <c r="I184" s="100">
        <f>IF(ISNUMBER(G184), $B199 * H184, "")</f>
        <v>0</v>
      </c>
      <c r="J184" s="96">
        <v>3.5</v>
      </c>
      <c r="K184" s="97">
        <f>IF(ISNUMBER(J184), (J184 - $B184) / $B184, "")</f>
        <v>0</v>
      </c>
      <c r="L184" s="98">
        <f>IF(ISNUMBER(J184), $B199 * K184, "")</f>
        <v>0</v>
      </c>
      <c r="M184" s="99">
        <v>3.49</v>
      </c>
      <c r="N184" s="97">
        <f>IF(ISNUMBER(M184), (M184 - $B184) / $B184, "")</f>
        <v>-2.8571428571427964E-3</v>
      </c>
      <c r="O184" s="98">
        <f>IF(ISNUMBER(M184), $B199 * N184, "")</f>
        <v>-428.57142857141946</v>
      </c>
      <c r="Q184" s="161"/>
      <c r="R184" s="161"/>
      <c r="S184" s="161"/>
    </row>
    <row r="185" spans="1:19" ht="17.25" thickBot="1">
      <c r="A185" s="109" t="s">
        <v>176</v>
      </c>
      <c r="B185" s="110">
        <v>348</v>
      </c>
      <c r="C185" s="70">
        <v>-1.41643059E-2</v>
      </c>
      <c r="D185" s="15">
        <v>350</v>
      </c>
      <c r="E185" s="32">
        <f t="shared" ref="E185:E188" si="98">IF(ISNUMBER(D185), (D185 - $B185) / $B185, "")</f>
        <v>5.7471264367816091E-3</v>
      </c>
      <c r="F185" s="18">
        <f>IF(ISNUMBER(D185), $B199 * E185, "")</f>
        <v>862.06896551724139</v>
      </c>
      <c r="G185" s="31">
        <v>349</v>
      </c>
      <c r="H185" s="32">
        <f t="shared" ref="H185:H188" si="99">IF(ISNUMBER(G185), (G185 - $B185) / $B185, "")</f>
        <v>2.8735632183908046E-3</v>
      </c>
      <c r="I185" s="91">
        <f>IF(ISNUMBER(G185), $B199 * H185, "")</f>
        <v>431.0344827586207</v>
      </c>
      <c r="J185" s="15">
        <v>349</v>
      </c>
      <c r="K185" s="32">
        <f t="shared" ref="K185:K188" si="100">IF(ISNUMBER(J185), (J185 - $B185) / $B185, "")</f>
        <v>2.8735632183908046E-3</v>
      </c>
      <c r="L185" s="18">
        <f>IF(ISNUMBER(J185), $B199 * K185, "")</f>
        <v>431.0344827586207</v>
      </c>
      <c r="M185" s="31">
        <v>348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61"/>
      <c r="R185" s="161"/>
      <c r="S185" s="161"/>
    </row>
    <row r="186" spans="1:19" ht="17.25" thickBot="1">
      <c r="A186" s="109" t="s">
        <v>222</v>
      </c>
      <c r="B186" s="110">
        <v>484</v>
      </c>
      <c r="C186" s="70">
        <v>-1.4256619099999999E-2</v>
      </c>
      <c r="D186" s="15">
        <v>487</v>
      </c>
      <c r="E186" s="32">
        <f t="shared" si="98"/>
        <v>6.1983471074380167E-3</v>
      </c>
      <c r="F186" s="18">
        <f>IF(ISNUMBER(D186), $B199 * E186, "")</f>
        <v>929.75206611570252</v>
      </c>
      <c r="G186" s="31">
        <v>488</v>
      </c>
      <c r="H186" s="32">
        <f t="shared" si="99"/>
        <v>8.2644628099173556E-3</v>
      </c>
      <c r="I186" s="91">
        <f>IF(ISNUMBER(G186), $B199 * H186, "")</f>
        <v>1239.6694214876034</v>
      </c>
      <c r="J186" s="15">
        <v>488</v>
      </c>
      <c r="K186" s="32">
        <f t="shared" si="100"/>
        <v>8.2644628099173556E-3</v>
      </c>
      <c r="L186" s="18">
        <f>IF(ISNUMBER(J186), $B199 * K186, "")</f>
        <v>1239.6694214876034</v>
      </c>
      <c r="M186" s="31">
        <v>487</v>
      </c>
      <c r="N186" s="32">
        <f t="shared" si="101"/>
        <v>6.1983471074380167E-3</v>
      </c>
      <c r="O186" s="18">
        <f>IF(ISNUMBER(M186), $B199 * N186, "")</f>
        <v>929.75206611570252</v>
      </c>
      <c r="Q186" s="161"/>
      <c r="R186" s="161"/>
      <c r="S186" s="161"/>
    </row>
    <row r="187" spans="1:19" ht="17.25" thickBot="1">
      <c r="A187" s="109" t="s">
        <v>120</v>
      </c>
      <c r="B187" s="110">
        <v>137</v>
      </c>
      <c r="C187" s="70">
        <v>-1.43884892E-2</v>
      </c>
      <c r="D187" s="15">
        <v>138</v>
      </c>
      <c r="E187" s="32">
        <f t="shared" si="98"/>
        <v>7.2992700729927005E-3</v>
      </c>
      <c r="F187" s="18">
        <f>IF(ISNUMBER(D187), $B199 * E187, "")</f>
        <v>1094.8905109489051</v>
      </c>
      <c r="G187" s="31">
        <v>137</v>
      </c>
      <c r="H187" s="32">
        <f t="shared" si="99"/>
        <v>0</v>
      </c>
      <c r="I187" s="91">
        <f>IF(ISNUMBER(G187), $B199 * H187, "")</f>
        <v>0</v>
      </c>
      <c r="J187" s="15">
        <v>137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14" t="s">
        <v>132</v>
      </c>
      <c r="B188" s="115">
        <v>60.7</v>
      </c>
      <c r="C188" s="72">
        <v>-1.4610389600000001E-2</v>
      </c>
      <c r="D188" s="24">
        <v>61</v>
      </c>
      <c r="E188" s="25">
        <f t="shared" si="98"/>
        <v>4.9423393739702988E-3</v>
      </c>
      <c r="F188" s="94">
        <f>IF(ISNUMBER(D188), $B199 * E188, "")</f>
        <v>741.35090609554481</v>
      </c>
      <c r="G188" s="92">
        <v>61.1</v>
      </c>
      <c r="H188" s="25">
        <f t="shared" si="99"/>
        <v>6.589785831960438E-3</v>
      </c>
      <c r="I188" s="93">
        <f>IF(ISNUMBER(G188), $B199 * H188, "")</f>
        <v>988.46787479406566</v>
      </c>
      <c r="J188" s="24">
        <v>61.1</v>
      </c>
      <c r="K188" s="25">
        <f t="shared" si="100"/>
        <v>6.589785831960438E-3</v>
      </c>
      <c r="L188" s="94">
        <f>IF(ISNUMBER(J188), $B199 * K188, "")</f>
        <v>988.46787479406566</v>
      </c>
      <c r="M188" s="92">
        <v>60.7</v>
      </c>
      <c r="N188" s="25">
        <f t="shared" si="101"/>
        <v>0</v>
      </c>
      <c r="O188" s="94">
        <f>IF(ISNUMBER(M188), $B199 * N188, "")</f>
        <v>0</v>
      </c>
      <c r="Q188" s="170"/>
      <c r="R188" s="171"/>
      <c r="S188" s="172"/>
    </row>
    <row r="189" spans="1:19">
      <c r="A189" s="107" t="s">
        <v>136</v>
      </c>
      <c r="B189" s="108">
        <v>2965</v>
      </c>
      <c r="C189" s="69">
        <v>-1.49501661E-2</v>
      </c>
      <c r="D189" s="13">
        <v>2960</v>
      </c>
      <c r="E189" s="14">
        <f>IF(ISNUMBER(D189), (D189 - $B189) / $B189, "")</f>
        <v>-1.6863406408094434E-3</v>
      </c>
      <c r="F189" s="16">
        <f>IF(ISNUMBER(D189), $B199 * E189, "")</f>
        <v>-252.95109612141653</v>
      </c>
      <c r="G189" s="29">
        <v>2955</v>
      </c>
      <c r="H189" s="14">
        <f>IF(ISNUMBER(G189), (G189 - $B189) / $B189, "")</f>
        <v>-3.3726812816188868E-3</v>
      </c>
      <c r="I189" s="90">
        <f>IF(ISNUMBER(G189), $B199 * H189, "")</f>
        <v>-505.90219224283305</v>
      </c>
      <c r="J189" s="13">
        <v>2960</v>
      </c>
      <c r="K189" s="14">
        <f>IF(ISNUMBER(J189), (J189 - $B189) / $B189, "")</f>
        <v>-1.6863406408094434E-3</v>
      </c>
      <c r="L189" s="16">
        <f>IF(ISNUMBER(J189), $B199 * K189, "")</f>
        <v>-252.95109612141653</v>
      </c>
      <c r="M189" s="29">
        <v>2950</v>
      </c>
      <c r="N189" s="14">
        <f>IF(ISNUMBER(M189), (M189 - $B189) / $B189, "")</f>
        <v>-5.0590219224283303E-3</v>
      </c>
      <c r="O189" s="16">
        <f>IF(ISNUMBER(M189), $B199 * N189, "")</f>
        <v>-758.85328836424958</v>
      </c>
      <c r="Q189" s="173"/>
      <c r="R189" s="174"/>
      <c r="S189" s="175"/>
    </row>
    <row r="190" spans="1:19" ht="17.25" thickBot="1">
      <c r="A190" s="109" t="s">
        <v>181</v>
      </c>
      <c r="B190" s="110">
        <v>4.51</v>
      </c>
      <c r="C190" s="70">
        <v>-1.5283842799999999E-2</v>
      </c>
      <c r="D190" s="15">
        <v>4.5</v>
      </c>
      <c r="E190" s="32">
        <f t="shared" ref="E190:E193" si="102">IF(ISNUMBER(D190), (D190 - $B190) / $B190, "")</f>
        <v>-2.2172949002216822E-3</v>
      </c>
      <c r="F190" s="18">
        <f>IF(ISNUMBER(D190), $B199 * E190, "")</f>
        <v>-332.59423503325235</v>
      </c>
      <c r="G190" s="31">
        <v>4.5199999999999996</v>
      </c>
      <c r="H190" s="32">
        <f t="shared" ref="H190:H193" si="103">IF(ISNUMBER(G190), (G190 - $B190) / $B190, "")</f>
        <v>2.2172949002216822E-3</v>
      </c>
      <c r="I190" s="91">
        <f>IF(ISNUMBER(G190), $B199 * H190, "")</f>
        <v>332.59423503325235</v>
      </c>
      <c r="J190" s="15">
        <v>4.49</v>
      </c>
      <c r="K190" s="32">
        <f t="shared" ref="K190:K193" si="104">IF(ISNUMBER(J190), (J190 - $B190) / $B190, "")</f>
        <v>-4.4345898004433644E-3</v>
      </c>
      <c r="L190" s="18">
        <f>IF(ISNUMBER(J190), $B199 * K190, "")</f>
        <v>-665.18847006650469</v>
      </c>
      <c r="M190" s="31">
        <v>4.4800000000000004</v>
      </c>
      <c r="N190" s="32">
        <f t="shared" ref="N190:N193" si="105">IF(ISNUMBER(M190), (M190 - $B190) / $B190, "")</f>
        <v>-6.6518847006650471E-3</v>
      </c>
      <c r="O190" s="18">
        <f>IF(ISNUMBER(M190), $B199 * N190, "")</f>
        <v>-997.7827050997571</v>
      </c>
      <c r="Q190" s="176"/>
      <c r="R190" s="177"/>
      <c r="S190" s="178"/>
    </row>
    <row r="191" spans="1:19" ht="17.25" thickBot="1">
      <c r="A191" s="109" t="s">
        <v>118</v>
      </c>
      <c r="B191" s="110">
        <v>7.06</v>
      </c>
      <c r="C191" s="70">
        <v>-1.5341701500000001E-2</v>
      </c>
      <c r="D191" s="15">
        <v>7.09</v>
      </c>
      <c r="E191" s="32">
        <f t="shared" si="102"/>
        <v>4.2492917847025847E-3</v>
      </c>
      <c r="F191" s="18">
        <f>IF(ISNUMBER(D191), $B199 * E191, "")</f>
        <v>637.39376770538775</v>
      </c>
      <c r="G191" s="31">
        <v>7.03</v>
      </c>
      <c r="H191" s="32">
        <f t="shared" si="103"/>
        <v>-4.2492917847024589E-3</v>
      </c>
      <c r="I191" s="91">
        <f>IF(ISNUMBER(G191), $B199 * H191, "")</f>
        <v>-637.39376770536887</v>
      </c>
      <c r="J191" s="15">
        <v>7.01</v>
      </c>
      <c r="K191" s="32">
        <f t="shared" si="104"/>
        <v>-7.0821529745042243E-3</v>
      </c>
      <c r="L191" s="18">
        <f>IF(ISNUMBER(J191), $B199 * K191, "")</f>
        <v>-1062.3229461756337</v>
      </c>
      <c r="M191" s="31">
        <v>7.01</v>
      </c>
      <c r="N191" s="32">
        <f t="shared" si="105"/>
        <v>-7.0821529745042243E-3</v>
      </c>
      <c r="O191" s="18">
        <f>IF(ISNUMBER(M191), $B199 * N191, "")</f>
        <v>-1062.3229461756337</v>
      </c>
      <c r="Q191" s="161"/>
      <c r="R191" s="161"/>
      <c r="S191" s="161"/>
    </row>
    <row r="192" spans="1:19" ht="17.25" thickBot="1">
      <c r="A192" s="109" t="s">
        <v>338</v>
      </c>
      <c r="B192" s="110">
        <v>5.09</v>
      </c>
      <c r="C192" s="70">
        <v>-1.5473887800000001E-2</v>
      </c>
      <c r="D192" s="15">
        <v>5.07</v>
      </c>
      <c r="E192" s="32">
        <f t="shared" si="102"/>
        <v>-3.9292730844792878E-3</v>
      </c>
      <c r="F192" s="18">
        <f>IF(ISNUMBER(D192), $B199 * E192, "")</f>
        <v>-589.39096267189313</v>
      </c>
      <c r="G192" s="31">
        <v>5.1100000000000003</v>
      </c>
      <c r="H192" s="32">
        <f t="shared" si="103"/>
        <v>3.9292730844794621E-3</v>
      </c>
      <c r="I192" s="91">
        <f>IF(ISNUMBER(G192), $B199 * H192, "")</f>
        <v>589.39096267191928</v>
      </c>
      <c r="J192" s="15">
        <v>5.0999999999999996</v>
      </c>
      <c r="K192" s="32">
        <f t="shared" si="104"/>
        <v>1.9646365422396439E-3</v>
      </c>
      <c r="L192" s="18">
        <f>IF(ISNUMBER(J192), $B199 * K192, "")</f>
        <v>294.69548133594657</v>
      </c>
      <c r="M192" s="31">
        <v>5.09</v>
      </c>
      <c r="N192" s="32">
        <f t="shared" si="105"/>
        <v>0</v>
      </c>
      <c r="O192" s="18">
        <f>IF(ISNUMBER(M192), $B199 * N192, "")</f>
        <v>0</v>
      </c>
      <c r="Q192" s="156"/>
      <c r="R192" s="156"/>
      <c r="S192" s="156"/>
    </row>
    <row r="193" spans="1:19" ht="17.25" thickBot="1">
      <c r="A193" s="111" t="s">
        <v>195</v>
      </c>
      <c r="B193" s="112">
        <v>6.78</v>
      </c>
      <c r="C193" s="71">
        <v>-2.3054755E-2</v>
      </c>
      <c r="D193" s="20">
        <v>6.79</v>
      </c>
      <c r="E193" s="21">
        <f t="shared" si="102"/>
        <v>1.4749262536872842E-3</v>
      </c>
      <c r="F193" s="22">
        <f>IF(ISNUMBER(D193), $B199 * E193, "")</f>
        <v>221.23893805309262</v>
      </c>
      <c r="G193" s="30">
        <v>6.78</v>
      </c>
      <c r="H193" s="21">
        <f t="shared" si="103"/>
        <v>0</v>
      </c>
      <c r="I193" s="95">
        <f>IF(ISNUMBER(G193), $B199 * H193, "")</f>
        <v>0</v>
      </c>
      <c r="J193" s="20">
        <v>6.8</v>
      </c>
      <c r="K193" s="21">
        <f t="shared" si="104"/>
        <v>2.9498525073745683E-3</v>
      </c>
      <c r="L193" s="22">
        <f>IF(ISNUMBER(J193), $B199 * K193, "")</f>
        <v>442.47787610618525</v>
      </c>
      <c r="M193" s="30">
        <v>6.78</v>
      </c>
      <c r="N193" s="21">
        <f t="shared" si="105"/>
        <v>0</v>
      </c>
      <c r="O193" s="22">
        <f>IF(ISNUMBER(M193), $B199 * N193, "")</f>
        <v>0</v>
      </c>
      <c r="Q193" s="156"/>
      <c r="R193" s="156"/>
      <c r="S193" s="156"/>
    </row>
    <row r="194" spans="1:19" ht="17.25" thickBot="1">
      <c r="A194" s="109" t="s">
        <v>198</v>
      </c>
      <c r="B194" s="113">
        <v>9.26</v>
      </c>
      <c r="C194" s="73">
        <v>-2.52631579E-2</v>
      </c>
      <c r="D194" s="96">
        <v>9.17</v>
      </c>
      <c r="E194" s="97">
        <f>IF(ISNUMBER(D194), (D194 - $B194) / $B194, "")</f>
        <v>-9.7192224622030081E-3</v>
      </c>
      <c r="F194" s="98">
        <f>IF(ISNUMBER(D194), $B199 * E194, "")</f>
        <v>-1457.8833693304512</v>
      </c>
      <c r="G194" s="99">
        <v>9.01</v>
      </c>
      <c r="H194" s="97">
        <f>IF(ISNUMBER(G194), (G194 - $B194) / $B194, "")</f>
        <v>-2.6997840172786176E-2</v>
      </c>
      <c r="I194" s="100">
        <f>IF(ISNUMBER(G194), $B199 * H194, "")</f>
        <v>-4049.6760259179264</v>
      </c>
      <c r="J194" s="96">
        <v>8.86</v>
      </c>
      <c r="K194" s="97">
        <f>IF(ISNUMBER(J194), (J194 - $B194) / $B194, "")</f>
        <v>-4.3196544276457922E-2</v>
      </c>
      <c r="L194" s="98">
        <f>IF(ISNUMBER(J194), $B199 * K194, "")</f>
        <v>-6479.4816414686884</v>
      </c>
      <c r="M194" s="99">
        <v>8.7799999999999994</v>
      </c>
      <c r="N194" s="97">
        <f>IF(ISNUMBER(M194), (M194 - $B194) / $B194, "")</f>
        <v>-5.1835853131749508E-2</v>
      </c>
      <c r="O194" s="98">
        <f>IF(ISNUMBER(M194), $B199 * N194, "")</f>
        <v>-7775.3779697624259</v>
      </c>
      <c r="Q194" s="161"/>
      <c r="R194" s="161"/>
      <c r="S194" s="161"/>
    </row>
    <row r="195" spans="1:19" ht="17.25" thickBot="1">
      <c r="A195" s="109" t="s">
        <v>107</v>
      </c>
      <c r="B195" s="110">
        <v>44.3</v>
      </c>
      <c r="C195" s="70">
        <v>-2.6373626399999999E-2</v>
      </c>
      <c r="D195" s="15">
        <v>44</v>
      </c>
      <c r="E195" s="32">
        <f t="shared" ref="E195:E198" si="106">IF(ISNUMBER(D195), (D195 - $B195) / $B195, "")</f>
        <v>-6.772009029345309E-3</v>
      </c>
      <c r="F195" s="18">
        <f>IF(ISNUMBER(D195), $B199 * E195, "")</f>
        <v>-1015.8013544017964</v>
      </c>
      <c r="G195" s="31">
        <v>43.3</v>
      </c>
      <c r="H195" s="32">
        <f t="shared" ref="H195:H198" si="107">IF(ISNUMBER(G195), (G195 - $B195) / $B195, "")</f>
        <v>-2.2573363431151242E-2</v>
      </c>
      <c r="I195" s="91">
        <f>IF(ISNUMBER(G195), $B199 * H195, "")</f>
        <v>-3386.0045146726861</v>
      </c>
      <c r="J195" s="15">
        <v>43.3</v>
      </c>
      <c r="K195" s="32">
        <f t="shared" ref="K195:K198" si="108">IF(ISNUMBER(J195), (J195 - $B195) / $B195, "")</f>
        <v>-2.2573363431151242E-2</v>
      </c>
      <c r="L195" s="18">
        <f>IF(ISNUMBER(J195), $B199 * K195, "")</f>
        <v>-3386.0045146726861</v>
      </c>
      <c r="M195" s="31">
        <v>43.2</v>
      </c>
      <c r="N195" s="32">
        <f t="shared" ref="N195:N198" si="109">IF(ISNUMBER(M195), (M195 - $B195) / $B195, "")</f>
        <v>-2.4830699774266239E-2</v>
      </c>
      <c r="O195" s="18">
        <f>IF(ISNUMBER(M195), $B199 * N195, "")</f>
        <v>-3724.6049661399361</v>
      </c>
      <c r="Q195" s="161"/>
      <c r="R195" s="161"/>
      <c r="S195" s="161"/>
    </row>
    <row r="196" spans="1:19" ht="17.25" thickBot="1">
      <c r="A196" s="109" t="s">
        <v>218</v>
      </c>
      <c r="B196" s="110">
        <v>358</v>
      </c>
      <c r="C196" s="70">
        <v>-2.98102981E-2</v>
      </c>
      <c r="D196" s="15">
        <v>366</v>
      </c>
      <c r="E196" s="32">
        <f t="shared" si="106"/>
        <v>2.23463687150838E-2</v>
      </c>
      <c r="F196" s="18">
        <f>IF(ISNUMBER(D196), $B199 * E196, "")</f>
        <v>3351.9553072625699</v>
      </c>
      <c r="G196" s="31">
        <v>358</v>
      </c>
      <c r="H196" s="32">
        <f t="shared" si="107"/>
        <v>0</v>
      </c>
      <c r="I196" s="91">
        <f>IF(ISNUMBER(G196), $B199 * H196, "")</f>
        <v>0</v>
      </c>
      <c r="J196" s="15">
        <v>360</v>
      </c>
      <c r="K196" s="32">
        <f t="shared" si="108"/>
        <v>5.5865921787709499E-3</v>
      </c>
      <c r="L196" s="18">
        <f>IF(ISNUMBER(J196), $B199 * K196, "")</f>
        <v>837.98882681564248</v>
      </c>
      <c r="M196" s="31">
        <v>358</v>
      </c>
      <c r="N196" s="32">
        <f t="shared" si="109"/>
        <v>0</v>
      </c>
      <c r="O196" s="18">
        <f>IF(ISNUMBER(M196), $B199 * N196, "")</f>
        <v>0</v>
      </c>
      <c r="Q196" s="161"/>
      <c r="R196" s="161"/>
      <c r="S196" s="161"/>
    </row>
    <row r="197" spans="1:19">
      <c r="A197" s="109" t="s">
        <v>350</v>
      </c>
      <c r="B197" s="110">
        <v>8.48</v>
      </c>
      <c r="C197" s="70">
        <v>-3.3067274799999997E-2</v>
      </c>
      <c r="D197" s="15">
        <v>8.19</v>
      </c>
      <c r="E197" s="32">
        <f t="shared" si="106"/>
        <v>-3.419811320754728E-2</v>
      </c>
      <c r="F197" s="18">
        <f>IF(ISNUMBER(D197), $B199 * E197, "")</f>
        <v>-5129.7169811320919</v>
      </c>
      <c r="G197" s="31">
        <v>8.0399999999999991</v>
      </c>
      <c r="H197" s="32">
        <f t="shared" si="107"/>
        <v>-5.1886792452830337E-2</v>
      </c>
      <c r="I197" s="91">
        <f>IF(ISNUMBER(G197), $B199 * H197, "")</f>
        <v>-7783.0188679245502</v>
      </c>
      <c r="J197" s="15">
        <v>8.0500000000000007</v>
      </c>
      <c r="K197" s="32">
        <f t="shared" si="108"/>
        <v>-5.0707547169811282E-2</v>
      </c>
      <c r="L197" s="18">
        <f>IF(ISNUMBER(J197), $B199 * K197, "")</f>
        <v>-7606.1320754716926</v>
      </c>
      <c r="M197" s="31">
        <v>7.99</v>
      </c>
      <c r="N197" s="32">
        <f t="shared" si="109"/>
        <v>-5.778301886792455E-2</v>
      </c>
      <c r="O197" s="18">
        <f>IF(ISNUMBER(M197), $B199 * N197, "")</f>
        <v>-8667.4528301886821</v>
      </c>
      <c r="Q197" s="183"/>
      <c r="R197" s="184"/>
      <c r="S197" s="185"/>
    </row>
    <row r="198" spans="1:19" ht="17.25" thickBot="1">
      <c r="A198" s="114" t="s">
        <v>200</v>
      </c>
      <c r="B198" s="115">
        <v>7.01</v>
      </c>
      <c r="C198" s="72">
        <v>-3.8408779099999998E-2</v>
      </c>
      <c r="D198" s="24">
        <v>7.12</v>
      </c>
      <c r="E198" s="25">
        <f t="shared" si="106"/>
        <v>1.5691868758915879E-2</v>
      </c>
      <c r="F198" s="94">
        <f>IF(ISNUMBER(D198), $B199 * E198, "")</f>
        <v>2353.780313837382</v>
      </c>
      <c r="G198" s="92">
        <v>7.02</v>
      </c>
      <c r="H198" s="25">
        <f t="shared" si="107"/>
        <v>1.4265335235377728E-3</v>
      </c>
      <c r="I198" s="93">
        <f>IF(ISNUMBER(G198), $B199 * H198, "")</f>
        <v>213.98002853066592</v>
      </c>
      <c r="J198" s="24">
        <v>7.06</v>
      </c>
      <c r="K198" s="25">
        <f t="shared" si="108"/>
        <v>7.1326676176889908E-3</v>
      </c>
      <c r="L198" s="94">
        <f>IF(ISNUMBER(J198), $B199 * K198, "")</f>
        <v>1069.9001426533487</v>
      </c>
      <c r="M198" s="92">
        <v>7.04</v>
      </c>
      <c r="N198" s="25">
        <f t="shared" si="109"/>
        <v>4.2796005706134451E-3</v>
      </c>
      <c r="O198" s="94">
        <f>IF(ISNUMBER(M198), $B199 * N198, "")</f>
        <v>641.94008559201677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2.1655029105375809E-4</v>
      </c>
      <c r="F199" s="28">
        <f>SUM(F179:F198)</f>
        <v>649.65087316127438</v>
      </c>
      <c r="G199" s="26" t="s">
        <v>261</v>
      </c>
      <c r="H199" s="27">
        <f>IF(COUNT(H179:H198), SUM(H179:H198) / COUNT(H179:H198), 0)</f>
        <v>-4.5509651713999885E-3</v>
      </c>
      <c r="I199" s="28">
        <f>SUM(I179:I198)</f>
        <v>-13652.895514199965</v>
      </c>
      <c r="J199" s="26" t="s">
        <v>261</v>
      </c>
      <c r="K199" s="27">
        <f>IF(COUNT(K179:K198), SUM(K179:K198) / COUNT(K179:K198), 0)</f>
        <v>-5.2034243613433701E-3</v>
      </c>
      <c r="L199" s="28">
        <f>SUM(L179:L198)</f>
        <v>-15610.27308403011</v>
      </c>
      <c r="M199" s="26" t="s">
        <v>261</v>
      </c>
      <c r="N199" s="27">
        <f>IF(COUNT(N179:N198), SUM(N179:N198) / COUNT(N179:N198), 0)</f>
        <v>-8.8052735199599594E-3</v>
      </c>
      <c r="O199" s="28">
        <f>SUM(O179:O198)</f>
        <v>-26415.820559879874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05" priority="157">
      <formula>AND($N17 &gt; 0, ISNUMBER($N17))</formula>
    </cfRule>
    <cfRule type="expression" dxfId="3904" priority="158">
      <formula>AND($N17 = 0 * ISNUMBER($N17))</formula>
    </cfRule>
    <cfRule type="expression" dxfId="3903" priority="159">
      <formula>AND($N17 &lt; 0, ISNUMBER($N17))</formula>
    </cfRule>
  </conditionalFormatting>
  <conditionalFormatting sqref="A17:F36">
    <cfRule type="expression" dxfId="3902" priority="166">
      <formula>AND($E17 &gt; 0, ISNUMBER($E17))</formula>
    </cfRule>
    <cfRule type="expression" dxfId="3901" priority="167">
      <formula>AND($E17 = 0 * ISNUMBER($E17))</formula>
    </cfRule>
    <cfRule type="expression" dxfId="3900" priority="168">
      <formula>AND($E17 &lt; 0, ISNUMBER($E17))</formula>
    </cfRule>
  </conditionalFormatting>
  <conditionalFormatting sqref="A17:C36 G17:I36">
    <cfRule type="expression" dxfId="3899" priority="163">
      <formula>AND($H17 &gt; 0, ISNUMBER($H17))</formula>
    </cfRule>
    <cfRule type="expression" dxfId="3898" priority="164">
      <formula>AND($H17 = 0 * ISNUMBER($H17))</formula>
    </cfRule>
    <cfRule type="expression" dxfId="3897" priority="165">
      <formula>AND($H17 &lt; 0, ISNUMBER($H17))</formula>
    </cfRule>
  </conditionalFormatting>
  <conditionalFormatting sqref="A17:C36 J17:L36">
    <cfRule type="expression" dxfId="3896" priority="160">
      <formula>AND($K17 &gt; 0, ISNUMBER($K17))</formula>
    </cfRule>
    <cfRule type="expression" dxfId="3895" priority="161">
      <formula>AND($K17 = 0 * ISNUMBER($K17))</formula>
    </cfRule>
    <cfRule type="expression" dxfId="3894" priority="162">
      <formula>AND($K17 &lt; 0, ISNUMBER($K17))</formula>
    </cfRule>
  </conditionalFormatting>
  <conditionalFormatting sqref="D15:F16 E37:F37">
    <cfRule type="expression" dxfId="3893" priority="154">
      <formula>$E$37 &gt; 0</formula>
    </cfRule>
    <cfRule type="expression" dxfId="3892" priority="155">
      <formula>$E$37 = 0</formula>
    </cfRule>
    <cfRule type="expression" dxfId="3891" priority="156">
      <formula>$E$37 &lt; 0</formula>
    </cfRule>
  </conditionalFormatting>
  <conditionalFormatting sqref="G15:I16 H37:I37">
    <cfRule type="expression" dxfId="3890" priority="151">
      <formula>$H$37 &gt; 0</formula>
    </cfRule>
    <cfRule type="expression" dxfId="3889" priority="152">
      <formula>$H$37 = 0</formula>
    </cfRule>
    <cfRule type="expression" dxfId="3888" priority="153">
      <formula>$H$37 &lt; 0</formula>
    </cfRule>
  </conditionalFormatting>
  <conditionalFormatting sqref="J15:L16 K37:L37">
    <cfRule type="expression" dxfId="3887" priority="148">
      <formula>$K$37 &gt; 0</formula>
    </cfRule>
    <cfRule type="expression" dxfId="3886" priority="149">
      <formula>$K$37 = 0</formula>
    </cfRule>
    <cfRule type="expression" dxfId="3885" priority="150">
      <formula>$K$37 &lt; 0</formula>
    </cfRule>
  </conditionalFormatting>
  <conditionalFormatting sqref="M15:O16 N37:O37">
    <cfRule type="expression" dxfId="3884" priority="145">
      <formula>$N$37 &gt; 0</formula>
    </cfRule>
    <cfRule type="expression" dxfId="3883" priority="146">
      <formula>$N$37 = 0</formula>
    </cfRule>
    <cfRule type="expression" dxfId="3882" priority="147">
      <formula>$N$37 &lt; 0</formula>
    </cfRule>
  </conditionalFormatting>
  <conditionalFormatting sqref="A44:C63 M44:O63">
    <cfRule type="expression" dxfId="3881" priority="133">
      <formula>AND($N44 &gt; 0, ISNUMBER($N44))</formula>
    </cfRule>
    <cfRule type="expression" dxfId="3880" priority="134">
      <formula>AND($N44 = 0 * ISNUMBER($N44))</formula>
    </cfRule>
    <cfRule type="expression" dxfId="3879" priority="135">
      <formula>AND($N44 &lt; 0, ISNUMBER($N44))</formula>
    </cfRule>
  </conditionalFormatting>
  <conditionalFormatting sqref="A44:F63">
    <cfRule type="expression" dxfId="3878" priority="142">
      <formula>AND($E44 &gt; 0, ISNUMBER($E44))</formula>
    </cfRule>
    <cfRule type="expression" dxfId="3877" priority="143">
      <formula>AND($E44 = 0 * ISNUMBER($E44))</formula>
    </cfRule>
    <cfRule type="expression" dxfId="3876" priority="144">
      <formula>AND($E44 &lt; 0, ISNUMBER($E44))</formula>
    </cfRule>
  </conditionalFormatting>
  <conditionalFormatting sqref="A44:C63 G44:I63">
    <cfRule type="expression" dxfId="3875" priority="139">
      <formula>AND($H44 &gt; 0, ISNUMBER($H44))</formula>
    </cfRule>
    <cfRule type="expression" dxfId="3874" priority="140">
      <formula>AND($H44 = 0 * ISNUMBER($H44))</formula>
    </cfRule>
    <cfRule type="expression" dxfId="3873" priority="141">
      <formula>AND($H44 &lt; 0, ISNUMBER($H44))</formula>
    </cfRule>
  </conditionalFormatting>
  <conditionalFormatting sqref="A44:C63 J44:L63">
    <cfRule type="expression" dxfId="3872" priority="136">
      <formula>AND($K44 &gt; 0, ISNUMBER($K44))</formula>
    </cfRule>
    <cfRule type="expression" dxfId="3871" priority="137">
      <formula>AND($K44 = 0 * ISNUMBER($K44))</formula>
    </cfRule>
    <cfRule type="expression" dxfId="3870" priority="138">
      <formula>AND($K44 &lt; 0, ISNUMBER($K44))</formula>
    </cfRule>
  </conditionalFormatting>
  <conditionalFormatting sqref="D42:F43 E64:F64">
    <cfRule type="expression" dxfId="3869" priority="130">
      <formula>$E$64 &gt; 0</formula>
    </cfRule>
    <cfRule type="expression" dxfId="3868" priority="131">
      <formula>$E$64 = 0</formula>
    </cfRule>
    <cfRule type="expression" dxfId="3867" priority="132">
      <formula>$E$64 &lt; 0</formula>
    </cfRule>
  </conditionalFormatting>
  <conditionalFormatting sqref="G42:I43 H64:I64">
    <cfRule type="expression" dxfId="3866" priority="127">
      <formula>$H$64 &gt; 0</formula>
    </cfRule>
    <cfRule type="expression" dxfId="3865" priority="128">
      <formula>$H$64 = 0</formula>
    </cfRule>
    <cfRule type="expression" dxfId="3864" priority="129">
      <formula>$H$64 &lt; 0</formula>
    </cfRule>
  </conditionalFormatting>
  <conditionalFormatting sqref="J42:L43 K64:L64">
    <cfRule type="expression" dxfId="3863" priority="124">
      <formula>$K$64 &gt; 0</formula>
    </cfRule>
    <cfRule type="expression" dxfId="3862" priority="125">
      <formula>$K$64 = 0</formula>
    </cfRule>
    <cfRule type="expression" dxfId="3861" priority="126">
      <formula>$K$64 &lt; 0</formula>
    </cfRule>
  </conditionalFormatting>
  <conditionalFormatting sqref="M42:O43 N64:O64">
    <cfRule type="expression" dxfId="3860" priority="121">
      <formula>$N$64 &gt; 0</formula>
    </cfRule>
    <cfRule type="expression" dxfId="3859" priority="122">
      <formula>$N$64 = 0</formula>
    </cfRule>
    <cfRule type="expression" dxfId="3858" priority="123">
      <formula>$N$64 &lt; 0</formula>
    </cfRule>
  </conditionalFormatting>
  <conditionalFormatting sqref="A71:C90 M71:O90">
    <cfRule type="expression" dxfId="3857" priority="109">
      <formula>AND($N71 &gt; 0, ISNUMBER($N71))</formula>
    </cfRule>
    <cfRule type="expression" dxfId="3856" priority="110">
      <formula>AND($N71 = 0 * ISNUMBER($N71))</formula>
    </cfRule>
    <cfRule type="expression" dxfId="3855" priority="111">
      <formula>AND($N71 &lt; 0, ISNUMBER($N71))</formula>
    </cfRule>
  </conditionalFormatting>
  <conditionalFormatting sqref="A71:F90">
    <cfRule type="expression" dxfId="3854" priority="118">
      <formula>AND($E71 &gt; 0, ISNUMBER($E71))</formula>
    </cfRule>
    <cfRule type="expression" dxfId="3853" priority="119">
      <formula>AND($E71 = 0 * ISNUMBER($E71))</formula>
    </cfRule>
    <cfRule type="expression" dxfId="3852" priority="120">
      <formula>AND($E71 &lt; 0, ISNUMBER($E71))</formula>
    </cfRule>
  </conditionalFormatting>
  <conditionalFormatting sqref="A71:C90 G71:I90">
    <cfRule type="expression" dxfId="3851" priority="115">
      <formula>AND($H71 &gt; 0, ISNUMBER($H71))</formula>
    </cfRule>
    <cfRule type="expression" dxfId="3850" priority="116">
      <formula>AND($H71 = 0 * ISNUMBER($H71))</formula>
    </cfRule>
    <cfRule type="expression" dxfId="3849" priority="117">
      <formula>AND($H71 &lt; 0, ISNUMBER($H71))</formula>
    </cfRule>
  </conditionalFormatting>
  <conditionalFormatting sqref="A71:C90 J71:L90">
    <cfRule type="expression" dxfId="3848" priority="112">
      <formula>AND($K71 &gt; 0, ISNUMBER($K71))</formula>
    </cfRule>
    <cfRule type="expression" dxfId="3847" priority="113">
      <formula>AND($K71 = 0 * ISNUMBER($K71))</formula>
    </cfRule>
    <cfRule type="expression" dxfId="3846" priority="114">
      <formula>AND($K71 &lt; 0, ISNUMBER($K71))</formula>
    </cfRule>
  </conditionalFormatting>
  <conditionalFormatting sqref="D69:F70 E91:F91">
    <cfRule type="expression" dxfId="3845" priority="106">
      <formula>$E$91 &gt; 0</formula>
    </cfRule>
    <cfRule type="expression" dxfId="3844" priority="107">
      <formula>$E$91 = 0</formula>
    </cfRule>
    <cfRule type="expression" dxfId="3843" priority="108">
      <formula>$E$91 &lt; 0</formula>
    </cfRule>
  </conditionalFormatting>
  <conditionalFormatting sqref="G69:I70 H91:I91">
    <cfRule type="expression" dxfId="3842" priority="103">
      <formula>$H$91 &gt; 0</formula>
    </cfRule>
    <cfRule type="expression" dxfId="3841" priority="104">
      <formula>$H$91 = 0</formula>
    </cfRule>
    <cfRule type="expression" dxfId="3840" priority="105">
      <formula>$H$91 &lt; 0</formula>
    </cfRule>
  </conditionalFormatting>
  <conditionalFormatting sqref="J69:L70 K91:L91">
    <cfRule type="expression" dxfId="3839" priority="100">
      <formula>$K$91 &gt; 0</formula>
    </cfRule>
    <cfRule type="expression" dxfId="3838" priority="101">
      <formula>$K$91 = 0</formula>
    </cfRule>
    <cfRule type="expression" dxfId="3837" priority="102">
      <formula>$K$91 &lt; 0</formula>
    </cfRule>
  </conditionalFormatting>
  <conditionalFormatting sqref="M69:O70 N91:O91">
    <cfRule type="expression" dxfId="3836" priority="97">
      <formula>$N$91 &gt; 0</formula>
    </cfRule>
    <cfRule type="expression" dxfId="3835" priority="98">
      <formula>$N$91 = 0</formula>
    </cfRule>
    <cfRule type="expression" dxfId="3834" priority="99">
      <formula>$N$91 &lt; 0</formula>
    </cfRule>
  </conditionalFormatting>
  <conditionalFormatting sqref="A98:C117 M98:O117">
    <cfRule type="expression" dxfId="3833" priority="85">
      <formula>AND($N98 &gt; 0, ISNUMBER($N98))</formula>
    </cfRule>
    <cfRule type="expression" dxfId="3832" priority="86">
      <formula>AND($N98 = 0 * ISNUMBER($N98))</formula>
    </cfRule>
    <cfRule type="expression" dxfId="3831" priority="87">
      <formula>AND($N98 &lt; 0, ISNUMBER($N98))</formula>
    </cfRule>
  </conditionalFormatting>
  <conditionalFormatting sqref="A98:F117">
    <cfRule type="expression" dxfId="3830" priority="94">
      <formula>AND($E98 &gt; 0, ISNUMBER($E98))</formula>
    </cfRule>
    <cfRule type="expression" dxfId="3829" priority="95">
      <formula>AND($E98 = 0 * ISNUMBER($E98))</formula>
    </cfRule>
    <cfRule type="expression" dxfId="3828" priority="96">
      <formula>AND($E98 &lt; 0, ISNUMBER($E98))</formula>
    </cfRule>
  </conditionalFormatting>
  <conditionalFormatting sqref="A98:C117 G98:I117">
    <cfRule type="expression" dxfId="3827" priority="91">
      <formula>AND($H98 &gt; 0, ISNUMBER($H98))</formula>
    </cfRule>
    <cfRule type="expression" dxfId="3826" priority="92">
      <formula>AND($H98 = 0 * ISNUMBER($H98))</formula>
    </cfRule>
    <cfRule type="expression" dxfId="3825" priority="93">
      <formula>AND($H98 &lt; 0, ISNUMBER($H98))</formula>
    </cfRule>
  </conditionalFormatting>
  <conditionalFormatting sqref="A98:C117 J98:L117">
    <cfRule type="expression" dxfId="3824" priority="88">
      <formula>AND($K98 &gt; 0, ISNUMBER($K98))</formula>
    </cfRule>
    <cfRule type="expression" dxfId="3823" priority="89">
      <formula>AND($K98 = 0 * ISNUMBER($K98))</formula>
    </cfRule>
    <cfRule type="expression" dxfId="3822" priority="90">
      <formula>AND($K98 &lt; 0, ISNUMBER($K98))</formula>
    </cfRule>
  </conditionalFormatting>
  <conditionalFormatting sqref="D96:F97 E118:F118">
    <cfRule type="expression" dxfId="3821" priority="82">
      <formula>$E$118 &gt; 0</formula>
    </cfRule>
    <cfRule type="expression" dxfId="3820" priority="83">
      <formula>$E$118 = 0</formula>
    </cfRule>
    <cfRule type="expression" dxfId="3819" priority="84">
      <formula>$E$118 &lt; 0</formula>
    </cfRule>
  </conditionalFormatting>
  <conditionalFormatting sqref="G96:I97 H118:I118">
    <cfRule type="expression" dxfId="3818" priority="79">
      <formula>$H$118 &gt; 0</formula>
    </cfRule>
    <cfRule type="expression" dxfId="3817" priority="80">
      <formula>$H$118 = 0</formula>
    </cfRule>
    <cfRule type="expression" dxfId="3816" priority="81">
      <formula>$H$118 &lt; 0</formula>
    </cfRule>
  </conditionalFormatting>
  <conditionalFormatting sqref="J96:L97 K118:L118">
    <cfRule type="expression" dxfId="3815" priority="76">
      <formula>$K$118 &gt; 0</formula>
    </cfRule>
    <cfRule type="expression" dxfId="3814" priority="77">
      <formula>$K$118 = 0</formula>
    </cfRule>
    <cfRule type="expression" dxfId="3813" priority="78">
      <formula>$K$118 &lt; 0</formula>
    </cfRule>
  </conditionalFormatting>
  <conditionalFormatting sqref="M96:O97 N118:O118">
    <cfRule type="expression" dxfId="3812" priority="73">
      <formula>$N$118 &gt; 0</formula>
    </cfRule>
    <cfRule type="expression" dxfId="3811" priority="74">
      <formula>$N$118 = 0</formula>
    </cfRule>
    <cfRule type="expression" dxfId="3810" priority="75">
      <formula>$N$118 &lt; 0</formula>
    </cfRule>
  </conditionalFormatting>
  <conditionalFormatting sqref="A125:C144 M125:O144">
    <cfRule type="expression" dxfId="3809" priority="61">
      <formula>AND($N125 &gt; 0, ISNUMBER($N125))</formula>
    </cfRule>
    <cfRule type="expression" dxfId="3808" priority="62">
      <formula>AND($N125 = 0 * ISNUMBER($N125))</formula>
    </cfRule>
    <cfRule type="expression" dxfId="3807" priority="63">
      <formula>AND($N125 &lt; 0, ISNUMBER($N125))</formula>
    </cfRule>
  </conditionalFormatting>
  <conditionalFormatting sqref="A125:F144">
    <cfRule type="expression" dxfId="3806" priority="70">
      <formula>AND($E125 &gt; 0, ISNUMBER($E125))</formula>
    </cfRule>
    <cfRule type="expression" dxfId="3805" priority="71">
      <formula>AND($E125 = 0 * ISNUMBER($E125))</formula>
    </cfRule>
    <cfRule type="expression" dxfId="3804" priority="72">
      <formula>AND($E125 &lt; 0, ISNUMBER($E125))</formula>
    </cfRule>
  </conditionalFormatting>
  <conditionalFormatting sqref="A125:C144 G125:I144">
    <cfRule type="expression" dxfId="3803" priority="67">
      <formula>AND($H125 &gt; 0, ISNUMBER($H125))</formula>
    </cfRule>
    <cfRule type="expression" dxfId="3802" priority="68">
      <formula>AND($H125 = 0 * ISNUMBER($H125))</formula>
    </cfRule>
    <cfRule type="expression" dxfId="3801" priority="69">
      <formula>AND($H125 &lt; 0, ISNUMBER($H125))</formula>
    </cfRule>
  </conditionalFormatting>
  <conditionalFormatting sqref="A125:C144 J125:L144">
    <cfRule type="expression" dxfId="3800" priority="64">
      <formula>AND($K125 &gt; 0, ISNUMBER($K125))</formula>
    </cfRule>
    <cfRule type="expression" dxfId="3799" priority="65">
      <formula>AND($K125 = 0 * ISNUMBER($K125))</formula>
    </cfRule>
    <cfRule type="expression" dxfId="3798" priority="66">
      <formula>AND($K125 &lt; 0, ISNUMBER($K125))</formula>
    </cfRule>
  </conditionalFormatting>
  <conditionalFormatting sqref="D123:F124 E145:F145">
    <cfRule type="expression" dxfId="3797" priority="58">
      <formula>$E$145 &gt; 0</formula>
    </cfRule>
    <cfRule type="expression" dxfId="3796" priority="59">
      <formula>$E$145 = 0</formula>
    </cfRule>
    <cfRule type="expression" dxfId="3795" priority="60">
      <formula>$E$145 &lt; 0</formula>
    </cfRule>
  </conditionalFormatting>
  <conditionalFormatting sqref="G123:I124 H145:I145">
    <cfRule type="expression" dxfId="3794" priority="55">
      <formula>$H$145 &gt; 0</formula>
    </cfRule>
    <cfRule type="expression" dxfId="3793" priority="56">
      <formula>$H$145 = 0</formula>
    </cfRule>
    <cfRule type="expression" dxfId="3792" priority="57">
      <formula>$H$145 &lt; 0</formula>
    </cfRule>
  </conditionalFormatting>
  <conditionalFormatting sqref="J123:L124 K145:L145">
    <cfRule type="expression" dxfId="3791" priority="52">
      <formula>$K$145 &gt; 0</formula>
    </cfRule>
    <cfRule type="expression" dxfId="3790" priority="53">
      <formula>$K$145 = 0</formula>
    </cfRule>
    <cfRule type="expression" dxfId="3789" priority="54">
      <formula>$K$145 &lt; 0</formula>
    </cfRule>
  </conditionalFormatting>
  <conditionalFormatting sqref="M123:O124 N145:O145">
    <cfRule type="expression" dxfId="3788" priority="49">
      <formula>$N$145 &gt; 0</formula>
    </cfRule>
    <cfRule type="expression" dxfId="3787" priority="50">
      <formula>$N$145 = 0</formula>
    </cfRule>
    <cfRule type="expression" dxfId="3786" priority="51">
      <formula>$N$145 &lt; 0</formula>
    </cfRule>
  </conditionalFormatting>
  <conditionalFormatting sqref="A152:C171 M152:O171">
    <cfRule type="expression" dxfId="3785" priority="37">
      <formula>AND($N152 &gt; 0, ISNUMBER($N152))</formula>
    </cfRule>
    <cfRule type="expression" dxfId="3784" priority="38">
      <formula>AND($N152 = 0 * ISNUMBER($N152))</formula>
    </cfRule>
    <cfRule type="expression" dxfId="3783" priority="39">
      <formula>AND($N152 &lt; 0, ISNUMBER($N152))</formula>
    </cfRule>
  </conditionalFormatting>
  <conditionalFormatting sqref="A152:F171">
    <cfRule type="expression" dxfId="3782" priority="46">
      <formula>AND($E152 &gt; 0, ISNUMBER($E152))</formula>
    </cfRule>
    <cfRule type="expression" dxfId="3781" priority="47">
      <formula>AND($E152 = 0 * ISNUMBER($E152))</formula>
    </cfRule>
    <cfRule type="expression" dxfId="3780" priority="48">
      <formula>AND($E152 &lt; 0, ISNUMBER($E152))</formula>
    </cfRule>
  </conditionalFormatting>
  <conditionalFormatting sqref="A152:C171 G152:I171">
    <cfRule type="expression" dxfId="3779" priority="43">
      <formula>AND($H152 &gt; 0, ISNUMBER($H152))</formula>
    </cfRule>
    <cfRule type="expression" dxfId="3778" priority="44">
      <formula>AND($H152 = 0 * ISNUMBER($H152))</formula>
    </cfRule>
    <cfRule type="expression" dxfId="3777" priority="45">
      <formula>AND($H152 &lt; 0, ISNUMBER($H152))</formula>
    </cfRule>
  </conditionalFormatting>
  <conditionalFormatting sqref="A152:C171 J152:L171">
    <cfRule type="expression" dxfId="3776" priority="40">
      <formula>AND($K152 &gt; 0, ISNUMBER($K152))</formula>
    </cfRule>
    <cfRule type="expression" dxfId="3775" priority="41">
      <formula>AND($K152 = 0 * ISNUMBER($K152))</formula>
    </cfRule>
    <cfRule type="expression" dxfId="3774" priority="42">
      <formula>AND($K152 &lt; 0, ISNUMBER($K152))</formula>
    </cfRule>
  </conditionalFormatting>
  <conditionalFormatting sqref="D150:F151 E172:F172">
    <cfRule type="expression" dxfId="3773" priority="34">
      <formula>$E$172 &gt; 0</formula>
    </cfRule>
    <cfRule type="expression" dxfId="3772" priority="35">
      <formula>$E$172 = 0</formula>
    </cfRule>
    <cfRule type="expression" dxfId="3771" priority="36">
      <formula>$E$172 &lt; 0</formula>
    </cfRule>
  </conditionalFormatting>
  <conditionalFormatting sqref="G150:I151 H172:I172">
    <cfRule type="expression" dxfId="3770" priority="31">
      <formula>$H$172 &gt; 0</formula>
    </cfRule>
    <cfRule type="expression" dxfId="3769" priority="32">
      <formula>$H$172 = 0</formula>
    </cfRule>
    <cfRule type="expression" dxfId="3768" priority="33">
      <formula>$H$172 &lt; 0</formula>
    </cfRule>
  </conditionalFormatting>
  <conditionalFormatting sqref="J150:L151 K172:L172">
    <cfRule type="expression" dxfId="3767" priority="28">
      <formula>$K$172 &gt; 0</formula>
    </cfRule>
    <cfRule type="expression" dxfId="3766" priority="29">
      <formula>$K$172 = 0</formula>
    </cfRule>
    <cfRule type="expression" dxfId="3765" priority="30">
      <formula>$K$172 &lt; 0</formula>
    </cfRule>
  </conditionalFormatting>
  <conditionalFormatting sqref="M150:O151 N172:O172">
    <cfRule type="expression" dxfId="3764" priority="25">
      <formula>$N$172 &gt; 0</formula>
    </cfRule>
    <cfRule type="expression" dxfId="3763" priority="26">
      <formula>$N$172 = 0</formula>
    </cfRule>
    <cfRule type="expression" dxfId="3762" priority="27">
      <formula>$N$172 &lt; 0</formula>
    </cfRule>
  </conditionalFormatting>
  <conditionalFormatting sqref="A179:C198 M179:O198">
    <cfRule type="expression" dxfId="3761" priority="13">
      <formula>AND($N179 &gt; 0, ISNUMBER($N179))</formula>
    </cfRule>
    <cfRule type="expression" dxfId="3760" priority="14">
      <formula>AND($N179 = 0 * ISNUMBER($N179))</formula>
    </cfRule>
    <cfRule type="expression" dxfId="3759" priority="15">
      <formula>AND($N179 &lt; 0, ISNUMBER($N179))</formula>
    </cfRule>
  </conditionalFormatting>
  <conditionalFormatting sqref="A179:F198">
    <cfRule type="expression" dxfId="3758" priority="22">
      <formula>AND($E179 &gt; 0, ISNUMBER($E179))</formula>
    </cfRule>
    <cfRule type="expression" dxfId="3757" priority="23">
      <formula>AND($E179 = 0 * ISNUMBER($E179))</formula>
    </cfRule>
    <cfRule type="expression" dxfId="3756" priority="24">
      <formula>AND($E179 &lt; 0, ISNUMBER($E179))</formula>
    </cfRule>
  </conditionalFormatting>
  <conditionalFormatting sqref="A179:C198 G179:I198">
    <cfRule type="expression" dxfId="3755" priority="19">
      <formula>AND($H179 &gt; 0, ISNUMBER($H179))</formula>
    </cfRule>
    <cfRule type="expression" dxfId="3754" priority="20">
      <formula>AND($H179 = 0 * ISNUMBER($H179))</formula>
    </cfRule>
    <cfRule type="expression" dxfId="3753" priority="21">
      <formula>AND($H179 &lt; 0, ISNUMBER($H179))</formula>
    </cfRule>
  </conditionalFormatting>
  <conditionalFormatting sqref="A179:C198 J179:L198">
    <cfRule type="expression" dxfId="3752" priority="16">
      <formula>AND($K179 &gt; 0, ISNUMBER($K179))</formula>
    </cfRule>
    <cfRule type="expression" dxfId="3751" priority="17">
      <formula>AND($K179 = 0 * ISNUMBER($K179))</formula>
    </cfRule>
    <cfRule type="expression" dxfId="3750" priority="18">
      <formula>AND($K179 &lt; 0, ISNUMBER($K179))</formula>
    </cfRule>
  </conditionalFormatting>
  <conditionalFormatting sqref="D177:F178 E199:F199">
    <cfRule type="expression" dxfId="3749" priority="10">
      <formula>$E$199 &gt; 0</formula>
    </cfRule>
    <cfRule type="expression" dxfId="3748" priority="11">
      <formula>$E$199 = 0</formula>
    </cfRule>
    <cfRule type="expression" dxfId="3747" priority="12">
      <formula>$E$199 &lt; 0</formula>
    </cfRule>
  </conditionalFormatting>
  <conditionalFormatting sqref="G177:I178 H199:I199">
    <cfRule type="expression" dxfId="3746" priority="7">
      <formula>$H$199 &gt; 0</formula>
    </cfRule>
    <cfRule type="expression" dxfId="3745" priority="8">
      <formula>$H$199 = 0</formula>
    </cfRule>
    <cfRule type="expression" dxfId="3744" priority="9">
      <formula>$H$199 &lt; 0</formula>
    </cfRule>
  </conditionalFormatting>
  <conditionalFormatting sqref="J177:L178 K199:L199">
    <cfRule type="expression" dxfId="3743" priority="4">
      <formula>$K$199 &gt; 0</formula>
    </cfRule>
    <cfRule type="expression" dxfId="3742" priority="5">
      <formula>$K$199 = 0</formula>
    </cfRule>
    <cfRule type="expression" dxfId="3741" priority="6">
      <formula>$K$199 &lt; 0</formula>
    </cfRule>
  </conditionalFormatting>
  <conditionalFormatting sqref="M177:O178 N199:O199">
    <cfRule type="expression" dxfId="3740" priority="1">
      <formula>$N$199 &gt; 0</formula>
    </cfRule>
    <cfRule type="expression" dxfId="3739" priority="2">
      <formula>$N$199 = 0</formula>
    </cfRule>
    <cfRule type="expression" dxfId="37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200F-E323-4A95-A5E8-3CC0E083E403}">
  <sheetPr codeName="Sheet12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44901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3,669 KRW (0.12%)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-24,070 KRW (-0.80%)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-11,001 KRW (-0.37%)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-32,264 KRW (-1.08%)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2022-12-06(화) 오전 00:00</v>
      </c>
      <c r="C15" s="202"/>
      <c r="D15" s="158" t="str">
        <f>TEXT($G$1, "[$-ko-KR]yyyy-mm-dd(ddd) ") &amp; "오후 14:00"</f>
        <v>2022-12-06(화) 오후 14:00</v>
      </c>
      <c r="E15" s="159"/>
      <c r="F15" s="160"/>
      <c r="G15" s="158" t="str">
        <f>TEXT($G$1, "[$-ko-KR]yyyy-mm-dd(ddd) ") &amp; "오후 19:00"</f>
        <v>2022-12-06(화) 오후 19:00</v>
      </c>
      <c r="H15" s="159"/>
      <c r="I15" s="160"/>
      <c r="J15" s="158" t="str">
        <f>TEXT($G$1, "[$-ko-KR]yyyy-mm-dd(ddd) ") &amp; "오후 21:00"</f>
        <v>2022-12-06(화) 오후 21:00</v>
      </c>
      <c r="K15" s="159"/>
      <c r="L15" s="160"/>
      <c r="M15" s="158" t="str">
        <f>TEXT($G$1+1, "[$-ko-KR]yyyy-mm-dd(ddd) ") &amp; "오전 00:00"</f>
        <v>2022-12-07(수)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2022-12-06(화) 오전 00:00</v>
      </c>
      <c r="C42" s="199"/>
      <c r="D42" s="158" t="str">
        <f>TEXT($G$1, "[$-ko-KR]yyyy-mm-dd(ddd) ") &amp; "오후 14:00"</f>
        <v>2022-12-06(화) 오후 14:00</v>
      </c>
      <c r="E42" s="159"/>
      <c r="F42" s="160"/>
      <c r="G42" s="158" t="str">
        <f>TEXT($G$1, "[$-ko-KR]yyyy-mm-dd(ddd) ") &amp; "오후 19:00"</f>
        <v>2022-12-06(화) 오후 19:00</v>
      </c>
      <c r="H42" s="159"/>
      <c r="I42" s="160"/>
      <c r="J42" s="158" t="str">
        <f>TEXT($G$1, "[$-ko-KR]yyyy-mm-dd(ddd) ") &amp; "오후 21:00"</f>
        <v>2022-12-06(화) 오후 21:00</v>
      </c>
      <c r="K42" s="159"/>
      <c r="L42" s="160"/>
      <c r="M42" s="158" t="str">
        <f>TEXT($G$1+1, "[$-ko-KR]yyyy-mm-dd(ddd) ") &amp; "오전 00:00"</f>
        <v>2022-12-07(수)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97</v>
      </c>
      <c r="B44" s="108">
        <v>1E-3</v>
      </c>
      <c r="C44" s="69">
        <v>0.11111111110000001</v>
      </c>
      <c r="D44" s="13">
        <v>1E-3</v>
      </c>
      <c r="E44" s="14">
        <f>IF(ISNUMBER(D44), (D44 - $B44) / $B44, "")</f>
        <v>0</v>
      </c>
      <c r="F44" s="16">
        <f>IF(ISNUMBER(D44), $B64 * E44, "")</f>
        <v>0</v>
      </c>
      <c r="G44" s="29">
        <v>1E-3</v>
      </c>
      <c r="H44" s="14">
        <f>IF(ISNUMBER(G44), (G44 - $B44) / $B44, "")</f>
        <v>0</v>
      </c>
      <c r="I44" s="90">
        <f>IF(ISNUMBER(G44), $B64 * H44, "")</f>
        <v>0</v>
      </c>
      <c r="J44" s="13">
        <v>1E-3</v>
      </c>
      <c r="K44" s="14">
        <f>IF(ISNUMBER(J44), (J44 - $B44) / $B44, "")</f>
        <v>0</v>
      </c>
      <c r="L44" s="16">
        <f>IF(ISNUMBER(J44), $B64 * K44, "")</f>
        <v>0</v>
      </c>
      <c r="M44" s="29">
        <v>1E-3</v>
      </c>
      <c r="N44" s="14">
        <f>IF(ISNUMBER(M44), (M44 - $B44) / $B44, "")</f>
        <v>0</v>
      </c>
      <c r="O44" s="16">
        <f>IF(ISNUMBER(M44), $B64 * N44, "")</f>
        <v>0</v>
      </c>
      <c r="Q44" s="156"/>
      <c r="R44" s="156"/>
      <c r="S44" s="156"/>
    </row>
    <row r="45" spans="1:19" ht="17.25" customHeight="1" thickBot="1">
      <c r="A45" s="109" t="s">
        <v>336</v>
      </c>
      <c r="B45" s="110">
        <v>93.1</v>
      </c>
      <c r="C45" s="70">
        <v>7.5057736700000002E-2</v>
      </c>
      <c r="D45" s="15">
        <v>89.2</v>
      </c>
      <c r="E45" s="32">
        <f t="shared" ref="E45:E48" si="14">IF(ISNUMBER(D45), (D45 - $B45) / $B45, "")</f>
        <v>-4.1890440386680897E-2</v>
      </c>
      <c r="F45" s="18">
        <f>IF(ISNUMBER(D45), $B64 * E45, "")</f>
        <v>-6283.5660580021349</v>
      </c>
      <c r="G45" s="31">
        <v>89</v>
      </c>
      <c r="H45" s="32">
        <f t="shared" ref="H45:H48" si="15">IF(ISNUMBER(G45), (G45 - $B45) / $B45, "")</f>
        <v>-4.4038668098818415E-2</v>
      </c>
      <c r="I45" s="91">
        <f>IF(ISNUMBER(G45), $B64 * H45, "")</f>
        <v>-6605.8002148227624</v>
      </c>
      <c r="J45" s="15">
        <v>88.3</v>
      </c>
      <c r="K45" s="32">
        <f t="shared" ref="K45:K48" si="16">IF(ISNUMBER(J45), (J45 - $B45) / $B45, "")</f>
        <v>-5.1557465091299652E-2</v>
      </c>
      <c r="L45" s="18">
        <f>IF(ISNUMBER(J45), $B64 * K45, "")</f>
        <v>-7733.6197636949482</v>
      </c>
      <c r="M45" s="31">
        <v>88.4</v>
      </c>
      <c r="N45" s="32">
        <f t="shared" ref="N45:N48" si="17">IF(ISNUMBER(M45), (M45 - $B45) / $B45, "")</f>
        <v>-5.0483351235230817E-2</v>
      </c>
      <c r="O45" s="18">
        <f>IF(ISNUMBER(M45), $B64 * N45, "")</f>
        <v>-7572.5026852846222</v>
      </c>
      <c r="Q45" s="156"/>
      <c r="R45" s="156"/>
      <c r="S45" s="156"/>
    </row>
    <row r="46" spans="1:19" ht="17.25" customHeight="1" thickBot="1">
      <c r="A46" s="109" t="s">
        <v>126</v>
      </c>
      <c r="B46" s="110">
        <v>30.8</v>
      </c>
      <c r="C46" s="70">
        <v>6.5359477000000001E-3</v>
      </c>
      <c r="D46" s="15">
        <v>30.4</v>
      </c>
      <c r="E46" s="32">
        <f t="shared" si="14"/>
        <v>-1.2987012987013056E-2</v>
      </c>
      <c r="F46" s="18">
        <f>IF(ISNUMBER(D46), $B64 * E46, "")</f>
        <v>-1948.0519480519583</v>
      </c>
      <c r="G46" s="31">
        <v>30.4</v>
      </c>
      <c r="H46" s="32">
        <f t="shared" si="15"/>
        <v>-1.2987012987013056E-2</v>
      </c>
      <c r="I46" s="91">
        <f>IF(ISNUMBER(G46), $B64 * H46, "")</f>
        <v>-1948.0519480519583</v>
      </c>
      <c r="J46" s="15">
        <v>30.6</v>
      </c>
      <c r="K46" s="32">
        <f t="shared" si="16"/>
        <v>-6.4935064935064705E-3</v>
      </c>
      <c r="L46" s="18">
        <f>IF(ISNUMBER(J46), $B64 * K46, "")</f>
        <v>-974.02597402597053</v>
      </c>
      <c r="M46" s="31">
        <v>30.4</v>
      </c>
      <c r="N46" s="32">
        <f t="shared" si="17"/>
        <v>-1.2987012987013056E-2</v>
      </c>
      <c r="O46" s="18">
        <f>IF(ISNUMBER(M46), $B64 * N46, "")</f>
        <v>-1948.0519480519583</v>
      </c>
      <c r="Q46" s="161"/>
      <c r="R46" s="161"/>
      <c r="S46" s="161"/>
    </row>
    <row r="47" spans="1:19" ht="17.25" customHeight="1" thickBot="1">
      <c r="A47" s="109" t="s">
        <v>333</v>
      </c>
      <c r="B47" s="110">
        <v>64.900000000000006</v>
      </c>
      <c r="C47" s="70">
        <v>6.2015504000000003E-3</v>
      </c>
      <c r="D47" s="15">
        <v>65.2</v>
      </c>
      <c r="E47" s="32">
        <f t="shared" si="14"/>
        <v>4.6224961479198329E-3</v>
      </c>
      <c r="F47" s="18">
        <f>IF(ISNUMBER(D47), $B64 * E47, "")</f>
        <v>693.37442218797491</v>
      </c>
      <c r="G47" s="31">
        <v>65.3</v>
      </c>
      <c r="H47" s="32">
        <f t="shared" si="15"/>
        <v>6.1633281972263707E-3</v>
      </c>
      <c r="I47" s="91">
        <f>IF(ISNUMBER(G47), $B64 * H47, "")</f>
        <v>924.49922958395564</v>
      </c>
      <c r="J47" s="15">
        <v>65.3</v>
      </c>
      <c r="K47" s="32">
        <f t="shared" si="16"/>
        <v>6.1633281972263707E-3</v>
      </c>
      <c r="L47" s="18">
        <f>IF(ISNUMBER(J47), $B64 * K47, "")</f>
        <v>924.49922958395564</v>
      </c>
      <c r="M47" s="31">
        <v>64.5</v>
      </c>
      <c r="N47" s="32">
        <f t="shared" si="17"/>
        <v>-6.1633281972265893E-3</v>
      </c>
      <c r="O47" s="18">
        <f>IF(ISNUMBER(M47), $B64 * N47, "")</f>
        <v>-924.49922958398838</v>
      </c>
      <c r="Q47" s="161"/>
      <c r="R47" s="161"/>
      <c r="S47" s="161"/>
    </row>
    <row r="48" spans="1:19" ht="17.25" customHeight="1" thickBot="1">
      <c r="A48" s="111" t="s">
        <v>240</v>
      </c>
      <c r="B48" s="112">
        <v>29.9</v>
      </c>
      <c r="C48" s="71">
        <v>3.3557047E-3</v>
      </c>
      <c r="D48" s="20">
        <v>29.8</v>
      </c>
      <c r="E48" s="21">
        <f t="shared" si="14"/>
        <v>-3.3444816053510994E-3</v>
      </c>
      <c r="F48" s="22">
        <f>IF(ISNUMBER(D48), $B64 * E48, "")</f>
        <v>-501.67224080266493</v>
      </c>
      <c r="G48" s="30">
        <v>29.7</v>
      </c>
      <c r="H48" s="21">
        <f t="shared" si="15"/>
        <v>-6.6889632107023176E-3</v>
      </c>
      <c r="I48" s="95">
        <f>IF(ISNUMBER(G48), $B64 * H48, "")</f>
        <v>-1003.3444816053476</v>
      </c>
      <c r="J48" s="20">
        <v>29.6</v>
      </c>
      <c r="K48" s="21">
        <f t="shared" si="16"/>
        <v>-1.0033444816053417E-2</v>
      </c>
      <c r="L48" s="22">
        <f>IF(ISNUMBER(J48), $B64 * K48, "")</f>
        <v>-1505.0167224080126</v>
      </c>
      <c r="M48" s="30">
        <v>29.7</v>
      </c>
      <c r="N48" s="21">
        <f t="shared" si="17"/>
        <v>-6.6889632107023176E-3</v>
      </c>
      <c r="O48" s="22">
        <f>IF(ISNUMBER(M48), $B64 * N48, "")</f>
        <v>-1003.3444816053476</v>
      </c>
      <c r="Q48" s="161"/>
      <c r="R48" s="161"/>
      <c r="S48" s="161"/>
    </row>
    <row r="49" spans="1:19" ht="17.25" customHeight="1" thickBot="1">
      <c r="A49" s="109" t="s">
        <v>145</v>
      </c>
      <c r="B49" s="113">
        <v>71.3</v>
      </c>
      <c r="C49" s="73">
        <v>1.4044944E-3</v>
      </c>
      <c r="D49" s="96">
        <v>70.7</v>
      </c>
      <c r="E49" s="97">
        <f>IF(ISNUMBER(D49), (D49 - $B49) / $B49, "")</f>
        <v>-8.4151472650770588E-3</v>
      </c>
      <c r="F49" s="98">
        <f>IF(ISNUMBER(D49), $B64 * E49, "")</f>
        <v>-1262.2720897615588</v>
      </c>
      <c r="G49" s="99">
        <v>70.900000000000006</v>
      </c>
      <c r="H49" s="97">
        <f>IF(ISNUMBER(G49), (G49 - $B49) / $B49, "")</f>
        <v>-5.6100981767179736E-3</v>
      </c>
      <c r="I49" s="100">
        <f>IF(ISNUMBER(G49), $B64 * H49, "")</f>
        <v>-841.51472650769608</v>
      </c>
      <c r="J49" s="96">
        <v>70.900000000000006</v>
      </c>
      <c r="K49" s="97">
        <f>IF(ISNUMBER(J49), (J49 - $B49) / $B49, "")</f>
        <v>-5.6100981767179736E-3</v>
      </c>
      <c r="L49" s="98">
        <f>IF(ISNUMBER(J49), $B64 * K49, "")</f>
        <v>-841.51472650769608</v>
      </c>
      <c r="M49" s="99">
        <v>71.3</v>
      </c>
      <c r="N49" s="97">
        <f>IF(ISNUMBER(M49), (M49 - $B49) / $B49, "")</f>
        <v>0</v>
      </c>
      <c r="O49" s="98">
        <f>IF(ISNUMBER(M49), $B64 * N49, "")</f>
        <v>0</v>
      </c>
      <c r="Q49" s="161"/>
      <c r="R49" s="161"/>
      <c r="S49" s="161"/>
    </row>
    <row r="50" spans="1:19" ht="17.25" customHeight="1" thickBot="1">
      <c r="A50" s="109" t="s">
        <v>64</v>
      </c>
      <c r="B50" s="110">
        <v>11.5</v>
      </c>
      <c r="C50" s="70">
        <v>0</v>
      </c>
      <c r="D50" s="15">
        <v>11.5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11.4</v>
      </c>
      <c r="H50" s="32">
        <f t="shared" ref="H50:H53" si="19">IF(ISNUMBER(G50), (G50 - $B50) / $B50, "")</f>
        <v>-8.6956521739130124E-3</v>
      </c>
      <c r="I50" s="91">
        <f>IF(ISNUMBER(G50), $B64 * H50, "")</f>
        <v>-1304.347826086952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161"/>
      <c r="R50" s="161"/>
      <c r="S50" s="161"/>
    </row>
    <row r="51" spans="1:19" ht="17.25" customHeight="1" thickBot="1">
      <c r="A51" s="109" t="s">
        <v>124</v>
      </c>
      <c r="B51" s="110">
        <v>34.1</v>
      </c>
      <c r="C51" s="70">
        <v>0</v>
      </c>
      <c r="D51" s="15">
        <v>33.4</v>
      </c>
      <c r="E51" s="32">
        <f t="shared" si="18"/>
        <v>-2.0527859237536739E-2</v>
      </c>
      <c r="F51" s="18">
        <f>IF(ISNUMBER(D51), $B64 * E51, "")</f>
        <v>-3079.1788856305111</v>
      </c>
      <c r="G51" s="31">
        <v>33.6</v>
      </c>
      <c r="H51" s="32">
        <f t="shared" si="19"/>
        <v>-1.4662756598240468E-2</v>
      </c>
      <c r="I51" s="91">
        <f>IF(ISNUMBER(G51), $B64 * H51, "")</f>
        <v>-2199.4134897360705</v>
      </c>
      <c r="J51" s="15">
        <v>33.700000000000003</v>
      </c>
      <c r="K51" s="32">
        <f t="shared" si="20"/>
        <v>-1.1730205278592334E-2</v>
      </c>
      <c r="L51" s="18">
        <f>IF(ISNUMBER(J51), $B64 * K51, "")</f>
        <v>-1759.5307917888501</v>
      </c>
      <c r="M51" s="31">
        <v>33.700000000000003</v>
      </c>
      <c r="N51" s="32">
        <f t="shared" si="21"/>
        <v>-1.1730205278592334E-2</v>
      </c>
      <c r="O51" s="18">
        <f>IF(ISNUMBER(M51), $B64 * N51, "")</f>
        <v>-1759.5307917888501</v>
      </c>
      <c r="Q51" s="161"/>
      <c r="R51" s="161"/>
      <c r="S51" s="161"/>
    </row>
    <row r="52" spans="1:19" ht="17.25" customHeight="1" thickBot="1">
      <c r="A52" s="109" t="s">
        <v>335</v>
      </c>
      <c r="B52" s="110">
        <v>3.95E-2</v>
      </c>
      <c r="C52" s="70">
        <v>0</v>
      </c>
      <c r="D52" s="15">
        <v>3.9600000000000003E-2</v>
      </c>
      <c r="E52" s="32">
        <f t="shared" si="18"/>
        <v>2.5316455696203256E-3</v>
      </c>
      <c r="F52" s="18">
        <f>IF(ISNUMBER(D52), $B64 * E52, "")</f>
        <v>379.74683544304884</v>
      </c>
      <c r="G52" s="31">
        <v>3.95E-2</v>
      </c>
      <c r="H52" s="32">
        <f t="shared" si="19"/>
        <v>0</v>
      </c>
      <c r="I52" s="91">
        <f>IF(ISNUMBER(G52), $B64 * H52, "")</f>
        <v>0</v>
      </c>
      <c r="J52" s="15">
        <v>3.95E-2</v>
      </c>
      <c r="K52" s="32">
        <f t="shared" si="20"/>
        <v>0</v>
      </c>
      <c r="L52" s="18">
        <f>IF(ISNUMBER(J52), $B64 * K52, "")</f>
        <v>0</v>
      </c>
      <c r="M52" s="31">
        <v>3.95E-2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14" t="s">
        <v>210</v>
      </c>
      <c r="B53" s="115">
        <v>67.400000000000006</v>
      </c>
      <c r="C53" s="72">
        <v>-2.9585799000000001E-3</v>
      </c>
      <c r="D53" s="24">
        <v>67.099999999999994</v>
      </c>
      <c r="E53" s="25">
        <f t="shared" si="18"/>
        <v>-4.4510385756678242E-3</v>
      </c>
      <c r="F53" s="94">
        <f>IF(ISNUMBER(D53), $B64 * E53, "")</f>
        <v>-667.65578635017368</v>
      </c>
      <c r="G53" s="92">
        <v>66.599999999999994</v>
      </c>
      <c r="H53" s="25">
        <f t="shared" si="19"/>
        <v>-1.1869436201780582E-2</v>
      </c>
      <c r="I53" s="93">
        <f>IF(ISNUMBER(G53), $B64 * H53, "")</f>
        <v>-1780.4154302670875</v>
      </c>
      <c r="J53" s="24">
        <v>66.599999999999994</v>
      </c>
      <c r="K53" s="25">
        <f t="shared" si="20"/>
        <v>-1.1869436201780582E-2</v>
      </c>
      <c r="L53" s="94">
        <f>IF(ISNUMBER(J53), $B64 * K53, "")</f>
        <v>-1780.4154302670875</v>
      </c>
      <c r="M53" s="92">
        <v>66.7</v>
      </c>
      <c r="N53" s="25">
        <f t="shared" si="21"/>
        <v>-1.0385756676557905E-2</v>
      </c>
      <c r="O53" s="94">
        <f>IF(ISNUMBER(M53), $B64 * N53, "")</f>
        <v>-1557.8635014836857</v>
      </c>
      <c r="Q53" s="170"/>
      <c r="R53" s="171"/>
      <c r="S53" s="172"/>
    </row>
    <row r="54" spans="1:19" ht="17.25" customHeight="1">
      <c r="A54" s="107" t="s">
        <v>191</v>
      </c>
      <c r="B54" s="108">
        <v>53.1</v>
      </c>
      <c r="C54" s="69">
        <v>-3.7523451999999999E-3</v>
      </c>
      <c r="D54" s="13">
        <v>52.4</v>
      </c>
      <c r="E54" s="14">
        <f>IF(ISNUMBER(D54), (D54 - $B54) / $B54, "")</f>
        <v>-1.3182674199623405E-2</v>
      </c>
      <c r="F54" s="16">
        <f>IF(ISNUMBER(D54), $B64 * E54, "")</f>
        <v>-1977.4011299435108</v>
      </c>
      <c r="G54" s="29">
        <v>52.3</v>
      </c>
      <c r="H54" s="14">
        <f>IF(ISNUMBER(G54), (G54 - $B54) / $B54, "")</f>
        <v>-1.5065913370998196E-2</v>
      </c>
      <c r="I54" s="90">
        <f>IF(ISNUMBER(G54), $B64 * H54, "")</f>
        <v>-2259.8870056497294</v>
      </c>
      <c r="J54" s="13">
        <v>52.4</v>
      </c>
      <c r="K54" s="14">
        <f>IF(ISNUMBER(J54), (J54 - $B54) / $B54, "")</f>
        <v>-1.3182674199623405E-2</v>
      </c>
      <c r="L54" s="16">
        <f>IF(ISNUMBER(J54), $B64 * K54, "")</f>
        <v>-1977.4011299435108</v>
      </c>
      <c r="M54" s="29">
        <v>52.5</v>
      </c>
      <c r="N54" s="14">
        <f>IF(ISNUMBER(M54), (M54 - $B54) / $B54, "")</f>
        <v>-1.1299435028248614E-2</v>
      </c>
      <c r="O54" s="16">
        <f>IF(ISNUMBER(M54), $B64 * N54, "")</f>
        <v>-1694.9152542372919</v>
      </c>
      <c r="Q54" s="173"/>
      <c r="R54" s="174"/>
      <c r="S54" s="175"/>
    </row>
    <row r="55" spans="1:19" ht="17.25" customHeight="1" thickBot="1">
      <c r="A55" s="109" t="s">
        <v>122</v>
      </c>
      <c r="B55" s="110">
        <v>25.8</v>
      </c>
      <c r="C55" s="70">
        <v>-3.8610038999999999E-3</v>
      </c>
      <c r="D55" s="15">
        <v>25.8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25.7</v>
      </c>
      <c r="H55" s="32">
        <f t="shared" ref="H55:H58" si="23">IF(ISNUMBER(G55), (G55 - $B55) / $B55, "")</f>
        <v>-3.875968992248117E-3</v>
      </c>
      <c r="I55" s="91">
        <f>IF(ISNUMBER(G55), $B64 * H55, "")</f>
        <v>-581.39534883721751</v>
      </c>
      <c r="J55" s="15">
        <v>25.8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25.6</v>
      </c>
      <c r="N55" s="32">
        <f t="shared" ref="N55:N58" si="25">IF(ISNUMBER(M55), (M55 - $B55) / $B55, "")</f>
        <v>-7.7519379844960962E-3</v>
      </c>
      <c r="O55" s="18">
        <f>IF(ISNUMBER(M55), $B64 * N55, "")</f>
        <v>-1162.7906976744143</v>
      </c>
      <c r="Q55" s="176"/>
      <c r="R55" s="177"/>
      <c r="S55" s="178"/>
    </row>
    <row r="56" spans="1:19" ht="17.25" customHeight="1" thickBot="1">
      <c r="A56" s="109" t="s">
        <v>195</v>
      </c>
      <c r="B56" s="110">
        <v>6.78</v>
      </c>
      <c r="C56" s="70">
        <v>-4.4052863000000001E-3</v>
      </c>
      <c r="D56" s="15">
        <v>6.8</v>
      </c>
      <c r="E56" s="32">
        <f t="shared" si="22"/>
        <v>2.9498525073745683E-3</v>
      </c>
      <c r="F56" s="18">
        <f>IF(ISNUMBER(D56), $B64 * E56, "")</f>
        <v>442.47787610618525</v>
      </c>
      <c r="G56" s="31">
        <v>6.79</v>
      </c>
      <c r="H56" s="32">
        <f t="shared" si="23"/>
        <v>1.4749262536872842E-3</v>
      </c>
      <c r="I56" s="91">
        <f>IF(ISNUMBER(G56), $B64 * H56, "")</f>
        <v>221.23893805309262</v>
      </c>
      <c r="J56" s="15">
        <v>6.78</v>
      </c>
      <c r="K56" s="32">
        <f t="shared" si="24"/>
        <v>0</v>
      </c>
      <c r="L56" s="18">
        <f>IF(ISNUMBER(J56), $B64 * K56, "")</f>
        <v>0</v>
      </c>
      <c r="M56" s="31">
        <v>6.78</v>
      </c>
      <c r="N56" s="32">
        <f t="shared" si="25"/>
        <v>0</v>
      </c>
      <c r="O56" s="18">
        <f>IF(ISNUMBER(M56), $B64 * N56, "")</f>
        <v>0</v>
      </c>
      <c r="Q56" s="161"/>
      <c r="R56" s="161"/>
      <c r="S56" s="161"/>
    </row>
    <row r="57" spans="1:19" ht="17.25" customHeight="1" thickBot="1">
      <c r="A57" s="109" t="s">
        <v>56</v>
      </c>
      <c r="B57" s="110">
        <v>43.8</v>
      </c>
      <c r="C57" s="70">
        <v>-4.5454544999999997E-3</v>
      </c>
      <c r="D57" s="15">
        <v>43.8</v>
      </c>
      <c r="E57" s="32">
        <f t="shared" si="22"/>
        <v>0</v>
      </c>
      <c r="F57" s="18">
        <f>IF(ISNUMBER(D57), $B64 * E57, "")</f>
        <v>0</v>
      </c>
      <c r="G57" s="31">
        <v>43.8</v>
      </c>
      <c r="H57" s="32">
        <f t="shared" si="23"/>
        <v>0</v>
      </c>
      <c r="I57" s="91">
        <f>IF(ISNUMBER(G57), $B64 * H57, "")</f>
        <v>0</v>
      </c>
      <c r="J57" s="15">
        <v>43.8</v>
      </c>
      <c r="K57" s="32">
        <f t="shared" si="24"/>
        <v>0</v>
      </c>
      <c r="L57" s="18">
        <f>IF(ISNUMBER(J57), $B64 * K57, "")</f>
        <v>0</v>
      </c>
      <c r="M57" s="31">
        <v>43.9</v>
      </c>
      <c r="N57" s="32">
        <f t="shared" si="25"/>
        <v>2.2831050228310826E-3</v>
      </c>
      <c r="O57" s="18">
        <f>IF(ISNUMBER(M57), $B64 * N57, "")</f>
        <v>342.46575342466241</v>
      </c>
      <c r="Q57" s="156"/>
      <c r="R57" s="156"/>
      <c r="S57" s="156"/>
    </row>
    <row r="58" spans="1:19" ht="17.25" customHeight="1" thickBot="1">
      <c r="A58" s="111" t="s">
        <v>193</v>
      </c>
      <c r="B58" s="112">
        <v>20</v>
      </c>
      <c r="C58" s="71">
        <v>-4.9751244000000002E-3</v>
      </c>
      <c r="D58" s="20">
        <v>19.899999999999999</v>
      </c>
      <c r="E58" s="21">
        <f t="shared" si="22"/>
        <v>-5.0000000000000712E-3</v>
      </c>
      <c r="F58" s="22">
        <f>IF(ISNUMBER(D58), $B64 * E58, "")</f>
        <v>-750.00000000001069</v>
      </c>
      <c r="G58" s="30">
        <v>19.899999999999999</v>
      </c>
      <c r="H58" s="21">
        <f t="shared" si="23"/>
        <v>-5.0000000000000712E-3</v>
      </c>
      <c r="I58" s="95">
        <f>IF(ISNUMBER(G58), $B64 * H58, "")</f>
        <v>-750.00000000001069</v>
      </c>
      <c r="J58" s="20">
        <v>20</v>
      </c>
      <c r="K58" s="21">
        <f t="shared" si="24"/>
        <v>0</v>
      </c>
      <c r="L58" s="22">
        <f>IF(ISNUMBER(J58), $B64 * K58, "")</f>
        <v>0</v>
      </c>
      <c r="M58" s="30">
        <v>20</v>
      </c>
      <c r="N58" s="21">
        <f t="shared" si="25"/>
        <v>0</v>
      </c>
      <c r="O58" s="22">
        <f>IF(ISNUMBER(M58), $B64 * N58, "")</f>
        <v>0</v>
      </c>
      <c r="Q58" s="156"/>
      <c r="R58" s="156"/>
      <c r="S58" s="156"/>
    </row>
    <row r="59" spans="1:19" ht="17.25" customHeight="1" thickBot="1">
      <c r="A59" s="109" t="s">
        <v>185</v>
      </c>
      <c r="B59" s="113">
        <v>33.4</v>
      </c>
      <c r="C59" s="73">
        <v>-5.9523809999999996E-3</v>
      </c>
      <c r="D59" s="96">
        <v>32.9</v>
      </c>
      <c r="E59" s="97">
        <f>IF(ISNUMBER(D59), (D59 - $B59) / $B59, "")</f>
        <v>-1.4970059880239521E-2</v>
      </c>
      <c r="F59" s="98">
        <f>IF(ISNUMBER(D59), $B64 * E59, "")</f>
        <v>-2245.5089820359281</v>
      </c>
      <c r="G59" s="99">
        <v>32.799999999999997</v>
      </c>
      <c r="H59" s="97">
        <f>IF(ISNUMBER(G59), (G59 - $B59) / $B59, "")</f>
        <v>-1.796407185628747E-2</v>
      </c>
      <c r="I59" s="100">
        <f>IF(ISNUMBER(G59), $B64 * H59, "")</f>
        <v>-2694.6107784431206</v>
      </c>
      <c r="J59" s="96">
        <v>32.700000000000003</v>
      </c>
      <c r="K59" s="97">
        <f>IF(ISNUMBER(J59), (J59 - $B59) / $B59, "")</f>
        <v>-2.0958083832335203E-2</v>
      </c>
      <c r="L59" s="98">
        <f>IF(ISNUMBER(J59), $B64 * K59, "")</f>
        <v>-3143.7125748502804</v>
      </c>
      <c r="M59" s="99">
        <v>32.799999999999997</v>
      </c>
      <c r="N59" s="97">
        <f>IF(ISNUMBER(M59), (M59 - $B59) / $B59, "")</f>
        <v>-1.796407185628747E-2</v>
      </c>
      <c r="O59" s="98">
        <f>IF(ISNUMBER(M59), $B64 * N59, "")</f>
        <v>-2694.6107784431206</v>
      </c>
      <c r="Q59" s="161"/>
      <c r="R59" s="161"/>
      <c r="S59" s="161"/>
    </row>
    <row r="60" spans="1:19" ht="17.25" customHeight="1" thickBot="1">
      <c r="A60" s="109" t="s">
        <v>155</v>
      </c>
      <c r="B60" s="110">
        <v>30.9</v>
      </c>
      <c r="C60" s="70">
        <v>-6.4308682000000002E-3</v>
      </c>
      <c r="D60" s="15">
        <v>30.5</v>
      </c>
      <c r="E60" s="32">
        <f t="shared" ref="E60:E63" si="26">IF(ISNUMBER(D60), (D60 - $B60) / $B60, "")</f>
        <v>-1.294498381877018E-2</v>
      </c>
      <c r="F60" s="18">
        <f>IF(ISNUMBER(D60), $B64 * E60, "")</f>
        <v>-1941.7475728155271</v>
      </c>
      <c r="G60" s="31">
        <v>30.6</v>
      </c>
      <c r="H60" s="32">
        <f t="shared" ref="H60:H63" si="27">IF(ISNUMBER(G60), (G60 - $B60) / $B60, "")</f>
        <v>-9.7087378640775789E-3</v>
      </c>
      <c r="I60" s="91">
        <f>IF(ISNUMBER(G60), $B64 * H60, "")</f>
        <v>-1456.3106796116367</v>
      </c>
      <c r="J60" s="15">
        <v>30.6</v>
      </c>
      <c r="K60" s="32">
        <f t="shared" ref="K60:K63" si="28">IF(ISNUMBER(J60), (J60 - $B60) / $B60, "")</f>
        <v>-9.7087378640775789E-3</v>
      </c>
      <c r="L60" s="18">
        <f>IF(ISNUMBER(J60), $B64 * K60, "")</f>
        <v>-1456.3106796116367</v>
      </c>
      <c r="M60" s="31">
        <v>30.6</v>
      </c>
      <c r="N60" s="32">
        <f t="shared" ref="N60:N63" si="29">IF(ISNUMBER(M60), (M60 - $B60) / $B60, "")</f>
        <v>-9.7087378640775789E-3</v>
      </c>
      <c r="O60" s="18">
        <f>IF(ISNUMBER(M60), $B64 * N60, "")</f>
        <v>-1456.3106796116367</v>
      </c>
      <c r="Q60" s="161"/>
      <c r="R60" s="161"/>
      <c r="S60" s="161"/>
    </row>
    <row r="61" spans="1:19" ht="17.25" customHeight="1" thickBot="1">
      <c r="A61" s="109" t="s">
        <v>138</v>
      </c>
      <c r="B61" s="110">
        <v>28.8</v>
      </c>
      <c r="C61" s="70">
        <v>-6.8965516999999997E-3</v>
      </c>
      <c r="D61" s="15">
        <v>28.8</v>
      </c>
      <c r="E61" s="32">
        <f t="shared" si="26"/>
        <v>0</v>
      </c>
      <c r="F61" s="18">
        <f>IF(ISNUMBER(D61), $B64 * E61, "")</f>
        <v>0</v>
      </c>
      <c r="G61" s="31">
        <v>28.8</v>
      </c>
      <c r="H61" s="32">
        <f t="shared" si="27"/>
        <v>0</v>
      </c>
      <c r="I61" s="91">
        <f>IF(ISNUMBER(G61), $B64 * H61, "")</f>
        <v>0</v>
      </c>
      <c r="J61" s="15">
        <v>28.9</v>
      </c>
      <c r="K61" s="32">
        <f t="shared" si="28"/>
        <v>3.4722222222221483E-3</v>
      </c>
      <c r="L61" s="18">
        <f>IF(ISNUMBER(J61), $B64 * K61, "")</f>
        <v>520.83333333332223</v>
      </c>
      <c r="M61" s="31">
        <v>29.1</v>
      </c>
      <c r="N61" s="32">
        <f t="shared" si="29"/>
        <v>1.041666666666669E-2</v>
      </c>
      <c r="O61" s="18">
        <f>IF(ISNUMBER(M61), $B64 * N61, "")</f>
        <v>1562.5000000000036</v>
      </c>
      <c r="Q61" s="161"/>
      <c r="R61" s="161"/>
      <c r="S61" s="161"/>
    </row>
    <row r="62" spans="1:19" ht="17.25" customHeight="1">
      <c r="A62" s="109" t="s">
        <v>200</v>
      </c>
      <c r="B62" s="110">
        <v>7.04</v>
      </c>
      <c r="C62" s="70">
        <v>-7.0521862000000003E-3</v>
      </c>
      <c r="D62" s="15">
        <v>6.95</v>
      </c>
      <c r="E62" s="32">
        <f t="shared" si="26"/>
        <v>-1.2784090909090889E-2</v>
      </c>
      <c r="F62" s="18">
        <f>IF(ISNUMBER(D62), $B64 * E62, "")</f>
        <v>-1917.6136363636333</v>
      </c>
      <c r="G62" s="31">
        <v>6.96</v>
      </c>
      <c r="H62" s="32">
        <f t="shared" si="27"/>
        <v>-1.1363636363636374E-2</v>
      </c>
      <c r="I62" s="91">
        <f>IF(ISNUMBER(G62), $B64 * H62, "")</f>
        <v>-1704.5454545454561</v>
      </c>
      <c r="J62" s="15">
        <v>6.92</v>
      </c>
      <c r="K62" s="32">
        <f t="shared" si="28"/>
        <v>-1.7045454545454562E-2</v>
      </c>
      <c r="L62" s="18">
        <f>IF(ISNUMBER(J62), $B64 * K62, "")</f>
        <v>-2556.8181818181843</v>
      </c>
      <c r="M62" s="31">
        <v>6.94</v>
      </c>
      <c r="N62" s="32">
        <f t="shared" si="29"/>
        <v>-1.4204545454545404E-2</v>
      </c>
      <c r="O62" s="18">
        <f>IF(ISNUMBER(M62), $B64 * N62, "")</f>
        <v>-2130.6818181818107</v>
      </c>
      <c r="Q62" s="183"/>
      <c r="R62" s="184"/>
      <c r="S62" s="185"/>
    </row>
    <row r="63" spans="1:19" ht="17.25" customHeight="1" thickBot="1">
      <c r="A63" s="114" t="s">
        <v>220</v>
      </c>
      <c r="B63" s="115">
        <v>79.7</v>
      </c>
      <c r="C63" s="72">
        <v>-7.4719801000000001E-3</v>
      </c>
      <c r="D63" s="24">
        <v>78.5</v>
      </c>
      <c r="E63" s="25">
        <f t="shared" si="26"/>
        <v>-1.5056461731493134E-2</v>
      </c>
      <c r="F63" s="94">
        <f>IF(ISNUMBER(D63), $B64 * E63, "")</f>
        <v>-2258.46925972397</v>
      </c>
      <c r="G63" s="92">
        <v>78.599999999999994</v>
      </c>
      <c r="H63" s="25">
        <f t="shared" si="27"/>
        <v>-1.3801756587202113E-2</v>
      </c>
      <c r="I63" s="93">
        <f>IF(ISNUMBER(G63), $B64 * H63, "")</f>
        <v>-2070.2634880803171</v>
      </c>
      <c r="J63" s="24">
        <v>78.599999999999994</v>
      </c>
      <c r="K63" s="25">
        <f t="shared" si="28"/>
        <v>-1.3801756587202113E-2</v>
      </c>
      <c r="L63" s="94">
        <f>IF(ISNUMBER(J63), $B64 * K63, "")</f>
        <v>-2070.2634880803171</v>
      </c>
      <c r="M63" s="92">
        <v>78.599999999999994</v>
      </c>
      <c r="N63" s="25">
        <f t="shared" si="29"/>
        <v>-1.3801756587202113E-2</v>
      </c>
      <c r="O63" s="94">
        <f>IF(ISNUMBER(M63), $B64 * N63, "")</f>
        <v>-2070.2634880803171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-7.7725128185814575E-3</v>
      </c>
      <c r="F64" s="28">
        <f>SUM(F44:F63)</f>
        <v>-23317.538455744369</v>
      </c>
      <c r="G64" s="26" t="s">
        <v>261</v>
      </c>
      <c r="H64" s="27">
        <f>IF(COUNT(H44:H63), SUM(H44:H63) / COUNT(H44:H63), 0)</f>
        <v>-8.6847209015361061E-3</v>
      </c>
      <c r="I64" s="28">
        <f>SUM(I44:I63)</f>
        <v>-26054.162704608312</v>
      </c>
      <c r="J64" s="26" t="s">
        <v>261</v>
      </c>
      <c r="K64" s="27">
        <f>IF(COUNT(K44:K63), SUM(K44:K63) / COUNT(K44:K63), 0)</f>
        <v>-8.1177656333597387E-3</v>
      </c>
      <c r="L64" s="28">
        <f>SUM(L44:L63)</f>
        <v>-24353.296900079218</v>
      </c>
      <c r="M64" s="26" t="s">
        <v>261</v>
      </c>
      <c r="N64" s="27">
        <f>IF(COUNT(N44:N63), SUM(N44:N63) / COUNT(N44:N63), 0)</f>
        <v>-8.0234665335341283E-3</v>
      </c>
      <c r="O64" s="28">
        <f>SUM(O44:O63)</f>
        <v>-24070.399600602374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2022-12-06(화) 오전 00:00</v>
      </c>
      <c r="C69" s="199"/>
      <c r="D69" s="158" t="str">
        <f>TEXT($G$1, "[$-ko-KR]yyyy-mm-dd(ddd) ") &amp; "오후 14:00"</f>
        <v>2022-12-06(화) 오후 14:00</v>
      </c>
      <c r="E69" s="159"/>
      <c r="F69" s="160"/>
      <c r="G69" s="158" t="str">
        <f>TEXT($G$1, "[$-ko-KR]yyyy-mm-dd(ddd) ") &amp; "오후 19:00"</f>
        <v>2022-12-06(화) 오후 19:00</v>
      </c>
      <c r="H69" s="159"/>
      <c r="I69" s="160"/>
      <c r="J69" s="158" t="str">
        <f>TEXT($G$1, "[$-ko-KR]yyyy-mm-dd(ddd) ") &amp; "오후 21:00"</f>
        <v>2022-12-06(화) 오후 21:00</v>
      </c>
      <c r="K69" s="159"/>
      <c r="L69" s="160"/>
      <c r="M69" s="158" t="str">
        <f>TEXT($G$1+1, "[$-ko-KR]yyyy-mm-dd(ddd) ") &amp; "오전 00:00"</f>
        <v>2022-12-07(수)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111</v>
      </c>
      <c r="B71" s="108">
        <v>827</v>
      </c>
      <c r="C71" s="69">
        <v>4.6835442999999997E-2</v>
      </c>
      <c r="D71" s="13">
        <v>819</v>
      </c>
      <c r="E71" s="14">
        <f>IF(ISNUMBER(D71), (D71 - $B71) / $B71, "")</f>
        <v>-9.673518742442563E-3</v>
      </c>
      <c r="F71" s="16">
        <f>IF(ISNUMBER(D71), $B91 * E71, "")</f>
        <v>-1451.0278113663844</v>
      </c>
      <c r="G71" s="29">
        <v>810</v>
      </c>
      <c r="H71" s="14">
        <f>IF(ISNUMBER(G71), (G71 - $B71) / $B71, "")</f>
        <v>-2.0556227327690448E-2</v>
      </c>
      <c r="I71" s="90">
        <f>IF(ISNUMBER(G71), $B91 * H71, "")</f>
        <v>-3083.4340991535673</v>
      </c>
      <c r="J71" s="13">
        <v>825</v>
      </c>
      <c r="K71" s="14">
        <f>IF(ISNUMBER(J71), (J71 - $B71) / $B71, "")</f>
        <v>-2.4183796856106408E-3</v>
      </c>
      <c r="L71" s="16">
        <f>IF(ISNUMBER(J71), $B91 * K71, "")</f>
        <v>-362.7569528415961</v>
      </c>
      <c r="M71" s="29">
        <v>825</v>
      </c>
      <c r="N71" s="14">
        <f>IF(ISNUMBER(M71), (M71 - $B71) / $B71, "")</f>
        <v>-2.4183796856106408E-3</v>
      </c>
      <c r="O71" s="16">
        <f>IF(ISNUMBER(M71), $B91 * N71, "")</f>
        <v>-362.7569528415961</v>
      </c>
      <c r="Q71" s="156"/>
      <c r="R71" s="156"/>
      <c r="S71" s="156"/>
    </row>
    <row r="72" spans="1:19" ht="17.25" thickBot="1">
      <c r="A72" s="109" t="s">
        <v>60</v>
      </c>
      <c r="B72" s="110">
        <v>565</v>
      </c>
      <c r="C72" s="70">
        <v>3.10218978E-2</v>
      </c>
      <c r="D72" s="15">
        <v>563</v>
      </c>
      <c r="E72" s="32">
        <f t="shared" ref="E72:E75" si="30">IF(ISNUMBER(D72), (D72 - $B72) / $B72, "")</f>
        <v>-3.5398230088495575E-3</v>
      </c>
      <c r="F72" s="18">
        <f>IF(ISNUMBER(D72), $B91 * E72, "")</f>
        <v>-530.97345132743362</v>
      </c>
      <c r="G72" s="31">
        <v>557</v>
      </c>
      <c r="H72" s="32">
        <f t="shared" ref="H72:H75" si="31">IF(ISNUMBER(G72), (G72 - $B72) / $B72, "")</f>
        <v>-1.415929203539823E-2</v>
      </c>
      <c r="I72" s="91">
        <f>IF(ISNUMBER(G72), $B91 * H72, "")</f>
        <v>-2123.8938053097345</v>
      </c>
      <c r="J72" s="15">
        <v>559</v>
      </c>
      <c r="K72" s="32">
        <f t="shared" ref="K72:K75" si="32">IF(ISNUMBER(J72), (J72 - $B72) / $B72, "")</f>
        <v>-1.0619469026548672E-2</v>
      </c>
      <c r="L72" s="18">
        <f>IF(ISNUMBER(J72), $B91 * K72, "")</f>
        <v>-1592.9203539823009</v>
      </c>
      <c r="M72" s="31">
        <v>559</v>
      </c>
      <c r="N72" s="32">
        <f t="shared" ref="N72:N75" si="33">IF(ISNUMBER(M72), (M72 - $B72) / $B72, "")</f>
        <v>-1.0619469026548672E-2</v>
      </c>
      <c r="O72" s="18">
        <f>IF(ISNUMBER(M72), $B91 * N72, "")</f>
        <v>-1592.9203539823009</v>
      </c>
      <c r="Q72" s="156"/>
      <c r="R72" s="156"/>
      <c r="S72" s="156"/>
    </row>
    <row r="73" spans="1:19" ht="17.25" thickBot="1">
      <c r="A73" s="109" t="s">
        <v>149</v>
      </c>
      <c r="B73" s="110">
        <v>429</v>
      </c>
      <c r="C73" s="70">
        <v>2.3866348400000001E-2</v>
      </c>
      <c r="D73" s="15">
        <v>422</v>
      </c>
      <c r="E73" s="32">
        <f t="shared" si="30"/>
        <v>-1.6317016317016316E-2</v>
      </c>
      <c r="F73" s="18">
        <f>IF(ISNUMBER(D73), $B91 * E73, "")</f>
        <v>-2447.5524475524476</v>
      </c>
      <c r="G73" s="31">
        <v>420</v>
      </c>
      <c r="H73" s="32">
        <f t="shared" si="31"/>
        <v>-2.097902097902098E-2</v>
      </c>
      <c r="I73" s="91">
        <f>IF(ISNUMBER(G73), $B91 * H73, "")</f>
        <v>-3146.8531468531469</v>
      </c>
      <c r="J73" s="15">
        <v>424</v>
      </c>
      <c r="K73" s="32">
        <f t="shared" si="32"/>
        <v>-1.1655011655011656E-2</v>
      </c>
      <c r="L73" s="18">
        <f>IF(ISNUMBER(J73), $B91 * K73, "")</f>
        <v>-1748.2517482517483</v>
      </c>
      <c r="M73" s="31">
        <v>423</v>
      </c>
      <c r="N73" s="32">
        <f t="shared" si="33"/>
        <v>-1.3986013986013986E-2</v>
      </c>
      <c r="O73" s="18">
        <f>IF(ISNUMBER(M73), $B91 * N73, "")</f>
        <v>-2097.9020979020979</v>
      </c>
      <c r="Q73" s="161"/>
      <c r="R73" s="161"/>
      <c r="S73" s="161"/>
    </row>
    <row r="74" spans="1:19" ht="17.25" thickBot="1">
      <c r="A74" s="109" t="s">
        <v>161</v>
      </c>
      <c r="B74" s="110">
        <v>337</v>
      </c>
      <c r="C74" s="70">
        <v>1.2012012000000001E-2</v>
      </c>
      <c r="D74" s="15">
        <v>347</v>
      </c>
      <c r="E74" s="32">
        <f t="shared" si="30"/>
        <v>2.967359050445104E-2</v>
      </c>
      <c r="F74" s="18">
        <f>IF(ISNUMBER(D74), $B91 * E74, "")</f>
        <v>4451.038575667656</v>
      </c>
      <c r="G74" s="31">
        <v>348</v>
      </c>
      <c r="H74" s="32">
        <f t="shared" si="31"/>
        <v>3.2640949554896145E-2</v>
      </c>
      <c r="I74" s="91">
        <f>IF(ISNUMBER(G74), $B91 * H74, "")</f>
        <v>4896.1424332344222</v>
      </c>
      <c r="J74" s="15">
        <v>345</v>
      </c>
      <c r="K74" s="32">
        <f t="shared" si="32"/>
        <v>2.3738872403560832E-2</v>
      </c>
      <c r="L74" s="18">
        <f>IF(ISNUMBER(J74), $B91 * K74, "")</f>
        <v>3560.8308605341249</v>
      </c>
      <c r="M74" s="31">
        <v>345</v>
      </c>
      <c r="N74" s="32">
        <f t="shared" si="33"/>
        <v>2.3738872403560832E-2</v>
      </c>
      <c r="O74" s="18">
        <f>IF(ISNUMBER(M74), $B91 * N74, "")</f>
        <v>3560.8308605341249</v>
      </c>
      <c r="Q74" s="161"/>
      <c r="R74" s="161"/>
      <c r="S74" s="161"/>
    </row>
    <row r="75" spans="1:19" ht="17.25" thickBot="1">
      <c r="A75" s="111" t="s">
        <v>208</v>
      </c>
      <c r="B75" s="112">
        <v>113</v>
      </c>
      <c r="C75" s="71">
        <v>8.9285713999999999E-3</v>
      </c>
      <c r="D75" s="20">
        <v>112</v>
      </c>
      <c r="E75" s="21">
        <f t="shared" si="30"/>
        <v>-8.8495575221238937E-3</v>
      </c>
      <c r="F75" s="22">
        <f>IF(ISNUMBER(D75), $B91 * E75, "")</f>
        <v>-1327.4336283185839</v>
      </c>
      <c r="G75" s="30">
        <v>112</v>
      </c>
      <c r="H75" s="21">
        <f t="shared" si="31"/>
        <v>-8.8495575221238937E-3</v>
      </c>
      <c r="I75" s="95">
        <f>IF(ISNUMBER(G75), $B91 * H75, "")</f>
        <v>-1327.4336283185839</v>
      </c>
      <c r="J75" s="20">
        <v>112</v>
      </c>
      <c r="K75" s="21">
        <f t="shared" si="32"/>
        <v>-8.8495575221238937E-3</v>
      </c>
      <c r="L75" s="22">
        <f>IF(ISNUMBER(J75), $B91 * K75, "")</f>
        <v>-1327.4336283185839</v>
      </c>
      <c r="M75" s="30">
        <v>112</v>
      </c>
      <c r="N75" s="21">
        <f t="shared" si="33"/>
        <v>-8.8495575221238937E-3</v>
      </c>
      <c r="O75" s="22">
        <f>IF(ISNUMBER(M75), $B91 * N75, "")</f>
        <v>-1327.4336283185839</v>
      </c>
      <c r="Q75" s="161"/>
      <c r="R75" s="161"/>
      <c r="S75" s="161"/>
    </row>
    <row r="76" spans="1:19" ht="17.25" thickBot="1">
      <c r="A76" s="109" t="s">
        <v>204</v>
      </c>
      <c r="B76" s="113">
        <v>278</v>
      </c>
      <c r="C76" s="73">
        <v>7.2463768E-3</v>
      </c>
      <c r="D76" s="96">
        <v>276</v>
      </c>
      <c r="E76" s="97">
        <f>IF(ISNUMBER(D76), (D76 - $B76) / $B76, "")</f>
        <v>-7.1942446043165471E-3</v>
      </c>
      <c r="F76" s="98">
        <f>IF(ISNUMBER(D76), $B91 * E76, "")</f>
        <v>-1079.1366906474821</v>
      </c>
      <c r="G76" s="99">
        <v>276</v>
      </c>
      <c r="H76" s="97">
        <f>IF(ISNUMBER(G76), (G76 - $B76) / $B76, "")</f>
        <v>-7.1942446043165471E-3</v>
      </c>
      <c r="I76" s="100">
        <f>IF(ISNUMBER(G76), $B91 * H76, "")</f>
        <v>-1079.1366906474821</v>
      </c>
      <c r="J76" s="96">
        <v>278</v>
      </c>
      <c r="K76" s="97">
        <f>IF(ISNUMBER(J76), (J76 - $B76) / $B76, "")</f>
        <v>0</v>
      </c>
      <c r="L76" s="98">
        <f>IF(ISNUMBER(J76), $B91 * K76, "")</f>
        <v>0</v>
      </c>
      <c r="M76" s="99">
        <v>278</v>
      </c>
      <c r="N76" s="97">
        <f>IF(ISNUMBER(M76), (M76 - $B76) / $B76, "")</f>
        <v>0</v>
      </c>
      <c r="O76" s="98">
        <f>IF(ISNUMBER(M76), $B91 * N76, "")</f>
        <v>0</v>
      </c>
      <c r="Q76" s="161"/>
      <c r="R76" s="161"/>
      <c r="S76" s="161"/>
    </row>
    <row r="77" spans="1:19" ht="17.25" thickBot="1">
      <c r="A77" s="109" t="s">
        <v>157</v>
      </c>
      <c r="B77" s="110">
        <v>162</v>
      </c>
      <c r="C77" s="70">
        <v>6.2111800999999998E-3</v>
      </c>
      <c r="D77" s="15">
        <v>166</v>
      </c>
      <c r="E77" s="32">
        <f t="shared" ref="E77:E80" si="34">IF(ISNUMBER(D77), (D77 - $B77) / $B77, "")</f>
        <v>2.4691358024691357E-2</v>
      </c>
      <c r="F77" s="18">
        <f>IF(ISNUMBER(D77), $B91 * E77, "")</f>
        <v>3703.7037037037035</v>
      </c>
      <c r="G77" s="31">
        <v>172</v>
      </c>
      <c r="H77" s="32">
        <f t="shared" ref="H77:H80" si="35">IF(ISNUMBER(G77), (G77 - $B77) / $B77, "")</f>
        <v>6.1728395061728392E-2</v>
      </c>
      <c r="I77" s="91">
        <f>IF(ISNUMBER(G77), $B91 * H77, "")</f>
        <v>9259.2592592592591</v>
      </c>
      <c r="J77" s="15">
        <v>172</v>
      </c>
      <c r="K77" s="32">
        <f t="shared" ref="K77:K80" si="36">IF(ISNUMBER(J77), (J77 - $B77) / $B77, "")</f>
        <v>6.1728395061728392E-2</v>
      </c>
      <c r="L77" s="18">
        <f>IF(ISNUMBER(J77), $B91 * K77, "")</f>
        <v>9259.2592592592591</v>
      </c>
      <c r="M77" s="31">
        <v>174</v>
      </c>
      <c r="N77" s="32">
        <f t="shared" ref="N77:N80" si="37">IF(ISNUMBER(M77), (M77 - $B77) / $B77, "")</f>
        <v>7.407407407407407E-2</v>
      </c>
      <c r="O77" s="18">
        <f>IF(ISNUMBER(M77), $B91 * N77, "")</f>
        <v>11111.111111111111</v>
      </c>
      <c r="Q77" s="161"/>
      <c r="R77" s="161"/>
      <c r="S77" s="161"/>
    </row>
    <row r="78" spans="1:19" ht="17.25" thickBot="1">
      <c r="A78" s="109" t="s">
        <v>337</v>
      </c>
      <c r="B78" s="110">
        <v>338</v>
      </c>
      <c r="C78" s="70">
        <v>5.9523809999999996E-3</v>
      </c>
      <c r="D78" s="15">
        <v>330</v>
      </c>
      <c r="E78" s="32">
        <f t="shared" si="34"/>
        <v>-2.3668639053254437E-2</v>
      </c>
      <c r="F78" s="18">
        <f>IF(ISNUMBER(D78), $B91 * E78, "")</f>
        <v>-3550.2958579881656</v>
      </c>
      <c r="G78" s="31">
        <v>331</v>
      </c>
      <c r="H78" s="32">
        <f t="shared" si="35"/>
        <v>-2.0710059171597635E-2</v>
      </c>
      <c r="I78" s="91">
        <f>IF(ISNUMBER(G78), $B91 * H78, "")</f>
        <v>-3106.5088757396452</v>
      </c>
      <c r="J78" s="15">
        <v>334</v>
      </c>
      <c r="K78" s="32">
        <f t="shared" si="36"/>
        <v>-1.1834319526627219E-2</v>
      </c>
      <c r="L78" s="18">
        <f>IF(ISNUMBER(J78), $B91 * K78, "")</f>
        <v>-1775.1479289940828</v>
      </c>
      <c r="M78" s="31">
        <v>335</v>
      </c>
      <c r="N78" s="32">
        <f t="shared" si="37"/>
        <v>-8.8757396449704144E-3</v>
      </c>
      <c r="O78" s="18">
        <f>IF(ISNUMBER(M78), $B91 * N78, "")</f>
        <v>-1331.3609467455622</v>
      </c>
      <c r="Q78" s="161"/>
      <c r="R78" s="161"/>
      <c r="S78" s="161"/>
    </row>
    <row r="79" spans="1:19" ht="17.25" thickBot="1">
      <c r="A79" s="109" t="s">
        <v>153</v>
      </c>
      <c r="B79" s="110">
        <v>447</v>
      </c>
      <c r="C79" s="70">
        <v>4.4943819999999999E-3</v>
      </c>
      <c r="D79" s="15">
        <v>436</v>
      </c>
      <c r="E79" s="32">
        <f t="shared" si="34"/>
        <v>-2.4608501118568233E-2</v>
      </c>
      <c r="F79" s="18">
        <f>IF(ISNUMBER(D79), $B91 * E79, "")</f>
        <v>-3691.2751677852348</v>
      </c>
      <c r="G79" s="31">
        <v>436</v>
      </c>
      <c r="H79" s="32">
        <f t="shared" si="35"/>
        <v>-2.4608501118568233E-2</v>
      </c>
      <c r="I79" s="91">
        <f>IF(ISNUMBER(G79), $B91 * H79, "")</f>
        <v>-3691.2751677852348</v>
      </c>
      <c r="J79" s="15">
        <v>439</v>
      </c>
      <c r="K79" s="32">
        <f t="shared" si="36"/>
        <v>-1.7897091722595078E-2</v>
      </c>
      <c r="L79" s="18">
        <f>IF(ISNUMBER(J79), $B91 * K79, "")</f>
        <v>-2684.5637583892617</v>
      </c>
      <c r="M79" s="31">
        <v>438</v>
      </c>
      <c r="N79" s="32">
        <f t="shared" si="37"/>
        <v>-2.0134228187919462E-2</v>
      </c>
      <c r="O79" s="18">
        <f>IF(ISNUMBER(M79), $B91 * N79, "")</f>
        <v>-3020.1342281879192</v>
      </c>
      <c r="Q79" s="33"/>
      <c r="R79" s="33"/>
    </row>
    <row r="80" spans="1:19" ht="17.25" thickBot="1">
      <c r="A80" s="114" t="s">
        <v>332</v>
      </c>
      <c r="B80" s="115">
        <v>322</v>
      </c>
      <c r="C80" s="72">
        <v>3.1152647999999998E-3</v>
      </c>
      <c r="D80" s="24">
        <v>316</v>
      </c>
      <c r="E80" s="25">
        <f t="shared" si="34"/>
        <v>-1.8633540372670808E-2</v>
      </c>
      <c r="F80" s="94">
        <f>IF(ISNUMBER(D80), $B91 * E80, "")</f>
        <v>-2795.0310559006211</v>
      </c>
      <c r="G80" s="92">
        <v>314</v>
      </c>
      <c r="H80" s="25">
        <f t="shared" si="35"/>
        <v>-2.4844720496894408E-2</v>
      </c>
      <c r="I80" s="93">
        <f>IF(ISNUMBER(G80), $B91 * H80, "")</f>
        <v>-3726.7080745341614</v>
      </c>
      <c r="J80" s="24">
        <v>314</v>
      </c>
      <c r="K80" s="25">
        <f t="shared" si="36"/>
        <v>-2.4844720496894408E-2</v>
      </c>
      <c r="L80" s="94">
        <f>IF(ISNUMBER(J80), $B91 * K80, "")</f>
        <v>-3726.7080745341614</v>
      </c>
      <c r="M80" s="92">
        <v>312</v>
      </c>
      <c r="N80" s="25">
        <f t="shared" si="37"/>
        <v>-3.1055900621118012E-2</v>
      </c>
      <c r="O80" s="94">
        <f>IF(ISNUMBER(M80), $B91 * N80, "")</f>
        <v>-4658.3850931677016</v>
      </c>
      <c r="Q80" s="170"/>
      <c r="R80" s="171"/>
      <c r="S80" s="172"/>
    </row>
    <row r="81" spans="1:19">
      <c r="A81" s="107" t="s">
        <v>68</v>
      </c>
      <c r="B81" s="108">
        <v>406</v>
      </c>
      <c r="C81" s="69">
        <v>2.4691358000000002E-3</v>
      </c>
      <c r="D81" s="13">
        <v>385</v>
      </c>
      <c r="E81" s="14">
        <f>IF(ISNUMBER(D81), (D81 - $B81) / $B81, "")</f>
        <v>-5.1724137931034482E-2</v>
      </c>
      <c r="F81" s="16">
        <f>IF(ISNUMBER(D81), $B91 * E81, "")</f>
        <v>-7758.6206896551721</v>
      </c>
      <c r="G81" s="29">
        <v>386</v>
      </c>
      <c r="H81" s="14">
        <f>IF(ISNUMBER(G81), (G81 - $B81) / $B81, "")</f>
        <v>-4.9261083743842367E-2</v>
      </c>
      <c r="I81" s="90">
        <f>IF(ISNUMBER(G81), $B91 * H81, "")</f>
        <v>-7389.1625615763551</v>
      </c>
      <c r="J81" s="13">
        <v>386</v>
      </c>
      <c r="K81" s="14">
        <f>IF(ISNUMBER(J81), (J81 - $B81) / $B81, "")</f>
        <v>-4.9261083743842367E-2</v>
      </c>
      <c r="L81" s="16">
        <f>IF(ISNUMBER(J81), $B91 * K81, "")</f>
        <v>-7389.1625615763551</v>
      </c>
      <c r="M81" s="29">
        <v>386</v>
      </c>
      <c r="N81" s="14">
        <f>IF(ISNUMBER(M81), (M81 - $B81) / $B81, "")</f>
        <v>-4.9261083743842367E-2</v>
      </c>
      <c r="O81" s="16">
        <f>IF(ISNUMBER(M81), $B91 * N81, "")</f>
        <v>-7389.1625615763551</v>
      </c>
      <c r="Q81" s="173"/>
      <c r="R81" s="174"/>
      <c r="S81" s="175"/>
    </row>
    <row r="82" spans="1:19" ht="17.25" thickBot="1">
      <c r="A82" s="109" t="s">
        <v>346</v>
      </c>
      <c r="B82" s="110">
        <v>529</v>
      </c>
      <c r="C82" s="70">
        <v>1.8939394E-3</v>
      </c>
      <c r="D82" s="15">
        <v>542</v>
      </c>
      <c r="E82" s="32">
        <f t="shared" ref="E82:E85" si="38">IF(ISNUMBER(D82), (D82 - $B82) / $B82, "")</f>
        <v>2.4574669187145556E-2</v>
      </c>
      <c r="F82" s="18">
        <f>IF(ISNUMBER(D82), $B91 * E82, "")</f>
        <v>3686.2003780718333</v>
      </c>
      <c r="G82" s="31">
        <v>542</v>
      </c>
      <c r="H82" s="32">
        <f t="shared" ref="H82:H85" si="39">IF(ISNUMBER(G82), (G82 - $B82) / $B82, "")</f>
        <v>2.4574669187145556E-2</v>
      </c>
      <c r="I82" s="91">
        <f>IF(ISNUMBER(G82), $B91 * H82, "")</f>
        <v>3686.2003780718333</v>
      </c>
      <c r="J82" s="15">
        <v>542</v>
      </c>
      <c r="K82" s="32">
        <f t="shared" ref="K82:K85" si="40">IF(ISNUMBER(J82), (J82 - $B82) / $B82, "")</f>
        <v>2.4574669187145556E-2</v>
      </c>
      <c r="L82" s="18">
        <f>IF(ISNUMBER(J82), $B91 * K82, "")</f>
        <v>3686.2003780718333</v>
      </c>
      <c r="M82" s="31">
        <v>540</v>
      </c>
      <c r="N82" s="32">
        <f t="shared" ref="N82:N85" si="41">IF(ISNUMBER(M82), (M82 - $B82) / $B82, "")</f>
        <v>2.0793950850661626E-2</v>
      </c>
      <c r="O82" s="18">
        <f>IF(ISNUMBER(M82), $B91 * N82, "")</f>
        <v>3119.0926275992438</v>
      </c>
      <c r="Q82" s="176"/>
      <c r="R82" s="177"/>
      <c r="S82" s="178"/>
    </row>
    <row r="83" spans="1:19" ht="17.25" thickBot="1">
      <c r="A83" s="109" t="s">
        <v>81</v>
      </c>
      <c r="B83" s="110">
        <v>432</v>
      </c>
      <c r="C83" s="70">
        <v>0</v>
      </c>
      <c r="D83" s="15">
        <v>427</v>
      </c>
      <c r="E83" s="32">
        <f t="shared" si="38"/>
        <v>-1.1574074074074073E-2</v>
      </c>
      <c r="F83" s="18">
        <f>IF(ISNUMBER(D83), $B91 * E83, "")</f>
        <v>-1736.1111111111111</v>
      </c>
      <c r="G83" s="31">
        <v>425</v>
      </c>
      <c r="H83" s="32">
        <f t="shared" si="39"/>
        <v>-1.6203703703703703E-2</v>
      </c>
      <c r="I83" s="91">
        <f>IF(ISNUMBER(G83), $B91 * H83, "")</f>
        <v>-2430.5555555555552</v>
      </c>
      <c r="J83" s="15">
        <v>425</v>
      </c>
      <c r="K83" s="32">
        <f t="shared" si="40"/>
        <v>-1.6203703703703703E-2</v>
      </c>
      <c r="L83" s="18">
        <f>IF(ISNUMBER(J83), $B91 * K83, "")</f>
        <v>-2430.5555555555552</v>
      </c>
      <c r="M83" s="31">
        <v>424</v>
      </c>
      <c r="N83" s="32">
        <f t="shared" si="41"/>
        <v>-1.8518518518518517E-2</v>
      </c>
      <c r="O83" s="18">
        <f>IF(ISNUMBER(M83), $B91 * N83, "")</f>
        <v>-2777.7777777777778</v>
      </c>
      <c r="Q83" s="161"/>
      <c r="R83" s="161"/>
      <c r="S83" s="161"/>
    </row>
    <row r="84" spans="1:19" ht="17.25" thickBot="1">
      <c r="A84" s="109" t="s">
        <v>167</v>
      </c>
      <c r="B84" s="110">
        <v>204</v>
      </c>
      <c r="C84" s="70">
        <v>0</v>
      </c>
      <c r="D84" s="15">
        <v>202</v>
      </c>
      <c r="E84" s="32">
        <f t="shared" si="38"/>
        <v>-9.8039215686274508E-3</v>
      </c>
      <c r="F84" s="18">
        <f>IF(ISNUMBER(D84), $B91 * E84, "")</f>
        <v>-1470.5882352941176</v>
      </c>
      <c r="G84" s="31">
        <v>202</v>
      </c>
      <c r="H84" s="32">
        <f t="shared" si="39"/>
        <v>-9.8039215686274508E-3</v>
      </c>
      <c r="I84" s="91">
        <f>IF(ISNUMBER(G84), $B91 * H84, "")</f>
        <v>-1470.5882352941176</v>
      </c>
      <c r="J84" s="15">
        <v>202</v>
      </c>
      <c r="K84" s="32">
        <f t="shared" si="40"/>
        <v>-9.8039215686274508E-3</v>
      </c>
      <c r="L84" s="18">
        <f>IF(ISNUMBER(J84), $B91 * K84, "")</f>
        <v>-1470.5882352941176</v>
      </c>
      <c r="M84" s="31">
        <v>200</v>
      </c>
      <c r="N84" s="32">
        <f t="shared" si="41"/>
        <v>-1.9607843137254902E-2</v>
      </c>
      <c r="O84" s="18">
        <f>IF(ISNUMBER(M84), $B91 * N84, "")</f>
        <v>-2941.1764705882351</v>
      </c>
      <c r="Q84" s="156"/>
      <c r="R84" s="156"/>
      <c r="S84" s="156"/>
    </row>
    <row r="85" spans="1:19" ht="17.25" thickBot="1">
      <c r="A85" s="111" t="s">
        <v>79</v>
      </c>
      <c r="B85" s="112">
        <v>312</v>
      </c>
      <c r="C85" s="71">
        <v>0</v>
      </c>
      <c r="D85" s="20">
        <v>311</v>
      </c>
      <c r="E85" s="21">
        <f t="shared" si="38"/>
        <v>-3.205128205128205E-3</v>
      </c>
      <c r="F85" s="22">
        <f>IF(ISNUMBER(D85), $B91 * E85, "")</f>
        <v>-480.76923076923077</v>
      </c>
      <c r="G85" s="30">
        <v>310</v>
      </c>
      <c r="H85" s="21">
        <f t="shared" si="39"/>
        <v>-6.41025641025641E-3</v>
      </c>
      <c r="I85" s="95">
        <f>IF(ISNUMBER(G85), $B91 * H85, "")</f>
        <v>-961.53846153846155</v>
      </c>
      <c r="J85" s="20">
        <v>312</v>
      </c>
      <c r="K85" s="21">
        <f t="shared" si="40"/>
        <v>0</v>
      </c>
      <c r="L85" s="22">
        <f>IF(ISNUMBER(J85), $B91 * K85, "")</f>
        <v>0</v>
      </c>
      <c r="M85" s="30">
        <v>312</v>
      </c>
      <c r="N85" s="21">
        <f t="shared" si="41"/>
        <v>0</v>
      </c>
      <c r="O85" s="22">
        <f>IF(ISNUMBER(M85), $B91 * N85, "")</f>
        <v>0</v>
      </c>
      <c r="Q85" s="156"/>
      <c r="R85" s="156"/>
      <c r="S85" s="156"/>
    </row>
    <row r="86" spans="1:19" ht="17.25" thickBot="1">
      <c r="A86" s="109" t="s">
        <v>169</v>
      </c>
      <c r="B86" s="113">
        <v>285</v>
      </c>
      <c r="C86" s="73">
        <v>0</v>
      </c>
      <c r="D86" s="96">
        <v>286</v>
      </c>
      <c r="E86" s="97">
        <f>IF(ISNUMBER(D86), (D86 - $B86) / $B86, "")</f>
        <v>3.5087719298245615E-3</v>
      </c>
      <c r="F86" s="98">
        <f>IF(ISNUMBER(D86), $B91 * E86, "")</f>
        <v>526.31578947368428</v>
      </c>
      <c r="G86" s="99">
        <v>285</v>
      </c>
      <c r="H86" s="97">
        <f>IF(ISNUMBER(G86), (G86 - $B86) / $B86, "")</f>
        <v>0</v>
      </c>
      <c r="I86" s="100">
        <f>IF(ISNUMBER(G86), $B91 * H86, "")</f>
        <v>0</v>
      </c>
      <c r="J86" s="96">
        <v>284</v>
      </c>
      <c r="K86" s="97">
        <f>IF(ISNUMBER(J86), (J86 - $B86) / $B86, "")</f>
        <v>-3.5087719298245615E-3</v>
      </c>
      <c r="L86" s="98">
        <f>IF(ISNUMBER(J86), $B91 * K86, "")</f>
        <v>-526.31578947368428</v>
      </c>
      <c r="M86" s="99">
        <v>284</v>
      </c>
      <c r="N86" s="97">
        <f>IF(ISNUMBER(M86), (M86 - $B86) / $B86, "")</f>
        <v>-3.5087719298245615E-3</v>
      </c>
      <c r="O86" s="98">
        <f>IF(ISNUMBER(M86), $B91 * N86, "")</f>
        <v>-526.31578947368428</v>
      </c>
      <c r="Q86" s="161"/>
      <c r="R86" s="161"/>
      <c r="S86" s="161"/>
    </row>
    <row r="87" spans="1:19" ht="17.25" thickBot="1">
      <c r="A87" s="109" t="s">
        <v>130</v>
      </c>
      <c r="B87" s="110">
        <v>879</v>
      </c>
      <c r="C87" s="70">
        <v>0</v>
      </c>
      <c r="D87" s="15">
        <v>902</v>
      </c>
      <c r="E87" s="32">
        <f t="shared" ref="E87:E90" si="42">IF(ISNUMBER(D87), (D87 - $B87) / $B87, "")</f>
        <v>2.6166097838452786E-2</v>
      </c>
      <c r="F87" s="18">
        <f>IF(ISNUMBER(D87), $B91 * E87, "")</f>
        <v>3924.9146757679177</v>
      </c>
      <c r="G87" s="31">
        <v>899</v>
      </c>
      <c r="H87" s="32">
        <f t="shared" ref="H87:H90" si="43">IF(ISNUMBER(G87), (G87 - $B87) / $B87, "")</f>
        <v>2.2753128555176336E-2</v>
      </c>
      <c r="I87" s="91">
        <f>IF(ISNUMBER(G87), $B91 * H87, "")</f>
        <v>3412.9692832764504</v>
      </c>
      <c r="J87" s="15">
        <v>900</v>
      </c>
      <c r="K87" s="32">
        <f t="shared" ref="K87:K90" si="44">IF(ISNUMBER(J87), (J87 - $B87) / $B87, "")</f>
        <v>2.3890784982935155E-2</v>
      </c>
      <c r="L87" s="18">
        <f>IF(ISNUMBER(J87), $B91 * K87, "")</f>
        <v>3583.6177474402734</v>
      </c>
      <c r="M87" s="31">
        <v>895</v>
      </c>
      <c r="N87" s="32">
        <f t="shared" ref="N87:N90" si="45">IF(ISNUMBER(M87), (M87 - $B87) / $B87, "")</f>
        <v>1.8202502844141068E-2</v>
      </c>
      <c r="O87" s="18">
        <f>IF(ISNUMBER(M87), $B91 * N87, "")</f>
        <v>2730.3754266211604</v>
      </c>
      <c r="Q87" s="161"/>
      <c r="R87" s="161"/>
      <c r="S87" s="161"/>
    </row>
    <row r="88" spans="1:19" ht="17.25" thickBot="1">
      <c r="A88" s="109" t="s">
        <v>159</v>
      </c>
      <c r="B88" s="110">
        <v>209</v>
      </c>
      <c r="C88" s="70">
        <v>0</v>
      </c>
      <c r="D88" s="15">
        <v>207</v>
      </c>
      <c r="E88" s="32">
        <f t="shared" si="42"/>
        <v>-9.5693779904306216E-3</v>
      </c>
      <c r="F88" s="18">
        <f>IF(ISNUMBER(D88), $B91 * E88, "")</f>
        <v>-1435.4066985645932</v>
      </c>
      <c r="G88" s="31">
        <v>207</v>
      </c>
      <c r="H88" s="32">
        <f t="shared" si="43"/>
        <v>-9.5693779904306216E-3</v>
      </c>
      <c r="I88" s="91">
        <f>IF(ISNUMBER(G88), $B91 * H88, "")</f>
        <v>-1435.4066985645932</v>
      </c>
      <c r="J88" s="15">
        <v>208</v>
      </c>
      <c r="K88" s="32">
        <f t="shared" si="44"/>
        <v>-4.7846889952153108E-3</v>
      </c>
      <c r="L88" s="18">
        <f>IF(ISNUMBER(J88), $B91 * K88, "")</f>
        <v>-717.70334928229659</v>
      </c>
      <c r="M88" s="31">
        <v>207</v>
      </c>
      <c r="N88" s="32">
        <f t="shared" si="45"/>
        <v>-9.5693779904306216E-3</v>
      </c>
      <c r="O88" s="18">
        <f>IF(ISNUMBER(M88), $B91 * N88, "")</f>
        <v>-1435.4066985645932</v>
      </c>
      <c r="Q88" s="161"/>
      <c r="R88" s="161"/>
      <c r="S88" s="161"/>
    </row>
    <row r="89" spans="1:19">
      <c r="A89" s="109" t="s">
        <v>89</v>
      </c>
      <c r="B89" s="110">
        <v>522</v>
      </c>
      <c r="C89" s="70">
        <v>-1.9120458999999999E-3</v>
      </c>
      <c r="D89" s="15">
        <v>515</v>
      </c>
      <c r="E89" s="32">
        <f t="shared" si="42"/>
        <v>-1.3409961685823755E-2</v>
      </c>
      <c r="F89" s="18">
        <f>IF(ISNUMBER(D89), $B91 * E89, "")</f>
        <v>-2011.4942528735633</v>
      </c>
      <c r="G89" s="31">
        <v>514</v>
      </c>
      <c r="H89" s="32">
        <f t="shared" si="43"/>
        <v>-1.532567049808429E-2</v>
      </c>
      <c r="I89" s="91">
        <f>IF(ISNUMBER(G89), $B91 * H89, "")</f>
        <v>-2298.8505747126437</v>
      </c>
      <c r="J89" s="15">
        <v>519</v>
      </c>
      <c r="K89" s="32">
        <f t="shared" si="44"/>
        <v>-5.7471264367816091E-3</v>
      </c>
      <c r="L89" s="18">
        <f>IF(ISNUMBER(J89), $B91 * K89, "")</f>
        <v>-862.06896551724139</v>
      </c>
      <c r="M89" s="31">
        <v>519</v>
      </c>
      <c r="N89" s="32">
        <f t="shared" si="45"/>
        <v>-5.7471264367816091E-3</v>
      </c>
      <c r="O89" s="18">
        <f>IF(ISNUMBER(M89), $B91 * N89, "")</f>
        <v>-862.06896551724139</v>
      </c>
      <c r="Q89" s="183"/>
      <c r="R89" s="184"/>
      <c r="S89" s="185"/>
    </row>
    <row r="90" spans="1:19" ht="17.25" thickBot="1">
      <c r="A90" s="114" t="s">
        <v>101</v>
      </c>
      <c r="B90" s="115">
        <v>250</v>
      </c>
      <c r="C90" s="72">
        <v>-3.9840637000000002E-3</v>
      </c>
      <c r="D90" s="24">
        <v>246</v>
      </c>
      <c r="E90" s="25">
        <f t="shared" si="42"/>
        <v>-1.6E-2</v>
      </c>
      <c r="F90" s="94">
        <f>IF(ISNUMBER(D90), $B91 * E90, "")</f>
        <v>-2400</v>
      </c>
      <c r="G90" s="92">
        <v>247</v>
      </c>
      <c r="H90" s="25">
        <f t="shared" si="43"/>
        <v>-1.2E-2</v>
      </c>
      <c r="I90" s="93">
        <f>IF(ISNUMBER(G90), $B91 * H90, "")</f>
        <v>-1800</v>
      </c>
      <c r="J90" s="24">
        <v>249</v>
      </c>
      <c r="K90" s="25">
        <f t="shared" si="44"/>
        <v>-4.0000000000000001E-3</v>
      </c>
      <c r="L90" s="94">
        <f>IF(ISNUMBER(J90), $B91 * K90, "")</f>
        <v>-600</v>
      </c>
      <c r="M90" s="92">
        <v>248</v>
      </c>
      <c r="N90" s="25">
        <f t="shared" si="45"/>
        <v>-8.0000000000000002E-3</v>
      </c>
      <c r="O90" s="94">
        <f>IF(ISNUMBER(M90), $B91 * N90, "")</f>
        <v>-1200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-5.9578477354897833E-3</v>
      </c>
      <c r="F91" s="28">
        <f>SUM(F71:F90)</f>
        <v>-17873.543206469345</v>
      </c>
      <c r="G91" s="26" t="s">
        <v>261</v>
      </c>
      <c r="H91" s="27">
        <f>IF(COUNT(H71:H90), SUM(H71:H90) / COUNT(H71:H90), 0)</f>
        <v>-5.9389247405804398E-3</v>
      </c>
      <c r="I91" s="28">
        <f>SUM(I71:I90)</f>
        <v>-17816.774221741318</v>
      </c>
      <c r="J91" s="26" t="s">
        <v>261</v>
      </c>
      <c r="K91" s="27">
        <f>IF(COUNT(K71:K90), SUM(K71:K90) / COUNT(K71:K90), 0)</f>
        <v>-2.3747562189018316E-3</v>
      </c>
      <c r="L91" s="28">
        <f>SUM(L71:L90)</f>
        <v>-7124.2686567054952</v>
      </c>
      <c r="M91" s="26" t="s">
        <v>261</v>
      </c>
      <c r="N91" s="27">
        <f>IF(COUNT(N71:N90), SUM(N71:N90) / COUNT(N71:N90), 0)</f>
        <v>-3.6671305129260022E-3</v>
      </c>
      <c r="O91" s="28">
        <f>SUM(O71:O90)</f>
        <v>-11001.391538778011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2022-12-06(화) 오전 00:00</v>
      </c>
      <c r="C96" s="199"/>
      <c r="D96" s="158" t="str">
        <f>TEXT($G$1, "[$-ko-KR]yyyy-mm-dd(ddd) ") &amp; "오후 14:00"</f>
        <v>2022-12-06(화) 오후 14:00</v>
      </c>
      <c r="E96" s="159"/>
      <c r="F96" s="160"/>
      <c r="G96" s="158" t="str">
        <f>TEXT($G$1, "[$-ko-KR]yyyy-mm-dd(ddd) ") &amp; "오후 19:00"</f>
        <v>2022-12-06(화) 오후 19:00</v>
      </c>
      <c r="H96" s="159"/>
      <c r="I96" s="160"/>
      <c r="J96" s="158" t="str">
        <f>TEXT($G$1, "[$-ko-KR]yyyy-mm-dd(ddd) ") &amp; "오후 21:00"</f>
        <v>2022-12-06(화) 오후 21:00</v>
      </c>
      <c r="K96" s="159"/>
      <c r="L96" s="160"/>
      <c r="M96" s="158" t="str">
        <f>TEXT($G$1+1, "[$-ko-KR]yyyy-mm-dd(ddd) ") &amp; "오전 00:00"</f>
        <v>2022-12-07(수)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147</v>
      </c>
      <c r="B98" s="108">
        <v>10970</v>
      </c>
      <c r="C98" s="69">
        <v>0.19045035269999999</v>
      </c>
      <c r="D98" s="13">
        <v>11530</v>
      </c>
      <c r="E98" s="14">
        <f>IF(ISNUMBER(D98), (D98 - $B98) / $B98, "")</f>
        <v>5.1048313582497722E-2</v>
      </c>
      <c r="F98" s="16">
        <f>IF(ISNUMBER(D98), $B118 * E98, "")</f>
        <v>7657.2470373746582</v>
      </c>
      <c r="G98" s="29">
        <v>11630</v>
      </c>
      <c r="H98" s="14">
        <f>IF(ISNUMBER(G98), (G98 - $B98) / $B98, "")</f>
        <v>6.01640838650866E-2</v>
      </c>
      <c r="I98" s="90">
        <f>IF(ISNUMBER(G98), $B118 * H98, "")</f>
        <v>9024.6125797629902</v>
      </c>
      <c r="J98" s="13">
        <v>12260</v>
      </c>
      <c r="K98" s="14">
        <f>IF(ISNUMBER(J98), (J98 - $B98) / $B98, "")</f>
        <v>0.11759343664539654</v>
      </c>
      <c r="L98" s="16">
        <f>IF(ISNUMBER(J98), $B118 * K98, "")</f>
        <v>17639.015496809479</v>
      </c>
      <c r="M98" s="29">
        <v>12240</v>
      </c>
      <c r="N98" s="14">
        <f>IF(ISNUMBER(M98), (M98 - $B98) / $B98, "")</f>
        <v>0.11577028258887875</v>
      </c>
      <c r="O98" s="16">
        <f>IF(ISNUMBER(M98), $B118 * N98, "")</f>
        <v>17365.542388331814</v>
      </c>
      <c r="Q98" s="156"/>
      <c r="R98" s="156"/>
      <c r="S98" s="156"/>
    </row>
    <row r="99" spans="1:19" ht="17.25" thickBot="1">
      <c r="A99" s="109" t="s">
        <v>97</v>
      </c>
      <c r="B99" s="110">
        <v>1E-3</v>
      </c>
      <c r="C99" s="70">
        <v>0.11111111110000001</v>
      </c>
      <c r="D99" s="15">
        <v>1E-3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1E-3</v>
      </c>
      <c r="H99" s="32">
        <f t="shared" ref="H99:H102" si="47">IF(ISNUMBER(G99), (G99 - $B99) / $B99, "")</f>
        <v>0</v>
      </c>
      <c r="I99" s="91">
        <f>IF(ISNUMBER(G99), $B118 * H99, "")</f>
        <v>0</v>
      </c>
      <c r="J99" s="15">
        <v>1E-3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1E-3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156"/>
      <c r="R99" s="156"/>
      <c r="S99" s="156"/>
    </row>
    <row r="100" spans="1:19" ht="17.25" thickBot="1">
      <c r="A100" s="109" t="s">
        <v>336</v>
      </c>
      <c r="B100" s="110">
        <v>93.1</v>
      </c>
      <c r="C100" s="70">
        <v>7.5057736700000002E-2</v>
      </c>
      <c r="D100" s="15">
        <v>89.2</v>
      </c>
      <c r="E100" s="32">
        <f t="shared" si="46"/>
        <v>-4.1890440386680897E-2</v>
      </c>
      <c r="F100" s="18">
        <f>IF(ISNUMBER(D100), $B118 * E100, "")</f>
        <v>-6283.5660580021349</v>
      </c>
      <c r="G100" s="31">
        <v>89</v>
      </c>
      <c r="H100" s="32">
        <f t="shared" si="47"/>
        <v>-4.4038668098818415E-2</v>
      </c>
      <c r="I100" s="91">
        <f>IF(ISNUMBER(G100), $B118 * H100, "")</f>
        <v>-6605.8002148227624</v>
      </c>
      <c r="J100" s="15">
        <v>88.3</v>
      </c>
      <c r="K100" s="32">
        <f t="shared" si="48"/>
        <v>-5.1557465091299652E-2</v>
      </c>
      <c r="L100" s="18">
        <f>IF(ISNUMBER(J100), $B118 * K100, "")</f>
        <v>-7733.6197636949482</v>
      </c>
      <c r="M100" s="31">
        <v>88.4</v>
      </c>
      <c r="N100" s="32">
        <f t="shared" si="49"/>
        <v>-5.0483351235230817E-2</v>
      </c>
      <c r="O100" s="18">
        <f>IF(ISNUMBER(M100), $B118 * N100, "")</f>
        <v>-7572.5026852846222</v>
      </c>
      <c r="Q100" s="161"/>
      <c r="R100" s="161"/>
      <c r="S100" s="161"/>
    </row>
    <row r="101" spans="1:19" ht="17.25" thickBot="1">
      <c r="A101" s="109" t="s">
        <v>111</v>
      </c>
      <c r="B101" s="110">
        <v>827</v>
      </c>
      <c r="C101" s="70">
        <v>4.6835442999999997E-2</v>
      </c>
      <c r="D101" s="15">
        <v>819</v>
      </c>
      <c r="E101" s="32">
        <f t="shared" si="46"/>
        <v>-9.673518742442563E-3</v>
      </c>
      <c r="F101" s="18">
        <f>IF(ISNUMBER(D101), $B118 * E101, "")</f>
        <v>-1451.0278113663844</v>
      </c>
      <c r="G101" s="31">
        <v>810</v>
      </c>
      <c r="H101" s="32">
        <f t="shared" si="47"/>
        <v>-2.0556227327690448E-2</v>
      </c>
      <c r="I101" s="91">
        <f>IF(ISNUMBER(G101), $B118 * H101, "")</f>
        <v>-3083.4340991535673</v>
      </c>
      <c r="J101" s="15">
        <v>825</v>
      </c>
      <c r="K101" s="32">
        <f t="shared" si="48"/>
        <v>-2.4183796856106408E-3</v>
      </c>
      <c r="L101" s="18">
        <f>IF(ISNUMBER(J101), $B118 * K101, "")</f>
        <v>-362.7569528415961</v>
      </c>
      <c r="M101" s="31">
        <v>825</v>
      </c>
      <c r="N101" s="32">
        <f t="shared" si="49"/>
        <v>-2.4183796856106408E-3</v>
      </c>
      <c r="O101" s="18">
        <f>IF(ISNUMBER(M101), $B118 * N101, "")</f>
        <v>-362.7569528415961</v>
      </c>
      <c r="Q101" s="161"/>
      <c r="R101" s="161"/>
      <c r="S101" s="161"/>
    </row>
    <row r="102" spans="1:19" ht="17.25" thickBot="1">
      <c r="A102" s="111" t="s">
        <v>151</v>
      </c>
      <c r="B102" s="112">
        <v>3255</v>
      </c>
      <c r="C102" s="71">
        <v>3.4976152599999998E-2</v>
      </c>
      <c r="D102" s="20">
        <v>3305</v>
      </c>
      <c r="E102" s="21">
        <f t="shared" si="46"/>
        <v>1.5360983102918587E-2</v>
      </c>
      <c r="F102" s="22">
        <f>IF(ISNUMBER(D102), $B118 * E102, "")</f>
        <v>2304.147465437788</v>
      </c>
      <c r="G102" s="30">
        <v>3255</v>
      </c>
      <c r="H102" s="21">
        <f t="shared" si="47"/>
        <v>0</v>
      </c>
      <c r="I102" s="95">
        <f>IF(ISNUMBER(G102), $B118 * H102, "")</f>
        <v>0</v>
      </c>
      <c r="J102" s="20">
        <v>3295</v>
      </c>
      <c r="K102" s="21">
        <f t="shared" si="48"/>
        <v>1.2288786482334869E-2</v>
      </c>
      <c r="L102" s="22">
        <f>IF(ISNUMBER(J102), $B118 * K102, "")</f>
        <v>1843.3179723502303</v>
      </c>
      <c r="M102" s="30">
        <v>3325</v>
      </c>
      <c r="N102" s="21">
        <f t="shared" si="49"/>
        <v>2.1505376344086023E-2</v>
      </c>
      <c r="O102" s="22">
        <f>IF(ISNUMBER(M102), $B118 * N102, "")</f>
        <v>3225.8064516129034</v>
      </c>
      <c r="Q102" s="161"/>
      <c r="R102" s="161"/>
      <c r="S102" s="161"/>
    </row>
    <row r="103" spans="1:19" ht="17.25" thickBot="1">
      <c r="A103" s="109" t="s">
        <v>60</v>
      </c>
      <c r="B103" s="113">
        <v>565</v>
      </c>
      <c r="C103" s="73">
        <v>3.10218978E-2</v>
      </c>
      <c r="D103" s="96">
        <v>563</v>
      </c>
      <c r="E103" s="97">
        <f>IF(ISNUMBER(D103), (D103 - $B103) / $B103, "")</f>
        <v>-3.5398230088495575E-3</v>
      </c>
      <c r="F103" s="98">
        <f>IF(ISNUMBER(D103), $B118 * E103, "")</f>
        <v>-530.97345132743362</v>
      </c>
      <c r="G103" s="99">
        <v>557</v>
      </c>
      <c r="H103" s="97">
        <f>IF(ISNUMBER(G103), (G103 - $B103) / $B103, "")</f>
        <v>-1.415929203539823E-2</v>
      </c>
      <c r="I103" s="100">
        <f>IF(ISNUMBER(G103), $B118 * H103, "")</f>
        <v>-2123.8938053097345</v>
      </c>
      <c r="J103" s="96">
        <v>559</v>
      </c>
      <c r="K103" s="97">
        <f>IF(ISNUMBER(J103), (J103 - $B103) / $B103, "")</f>
        <v>-1.0619469026548672E-2</v>
      </c>
      <c r="L103" s="98">
        <f>IF(ISNUMBER(J103), $B118 * K103, "")</f>
        <v>-1592.9203539823009</v>
      </c>
      <c r="M103" s="99">
        <v>559</v>
      </c>
      <c r="N103" s="97">
        <f>IF(ISNUMBER(M103), (M103 - $B103) / $B103, "")</f>
        <v>-1.0619469026548672E-2</v>
      </c>
      <c r="O103" s="98">
        <f>IF(ISNUMBER(M103), $B118 * N103, "")</f>
        <v>-1592.9203539823009</v>
      </c>
      <c r="Q103" s="161"/>
      <c r="R103" s="161"/>
      <c r="S103" s="161"/>
    </row>
    <row r="104" spans="1:19" ht="17.25" thickBot="1">
      <c r="A104" s="109" t="s">
        <v>77</v>
      </c>
      <c r="B104" s="110">
        <v>153050</v>
      </c>
      <c r="C104" s="70">
        <v>2.8561828000000001E-2</v>
      </c>
      <c r="D104" s="15">
        <v>149700</v>
      </c>
      <c r="E104" s="32">
        <f t="shared" ref="E104:E107" si="50">IF(ISNUMBER(D104), (D104 - $B104) / $B104, "")</f>
        <v>-2.1888271806599149E-2</v>
      </c>
      <c r="F104" s="18">
        <f>IF(ISNUMBER(D104), $B118 * E104, "")</f>
        <v>-3283.2407709898725</v>
      </c>
      <c r="G104" s="31">
        <v>148850</v>
      </c>
      <c r="H104" s="32">
        <f t="shared" ref="H104:H107" si="51">IF(ISNUMBER(G104), (G104 - $B104) / $B104, "")</f>
        <v>-2.7442012414243711E-2</v>
      </c>
      <c r="I104" s="91">
        <f>IF(ISNUMBER(G104), $B118 * H104, "")</f>
        <v>-4116.3018621365563</v>
      </c>
      <c r="J104" s="15">
        <v>149250</v>
      </c>
      <c r="K104" s="32">
        <f t="shared" ref="K104:K107" si="52">IF(ISNUMBER(J104), (J104 - $B104) / $B104, "")</f>
        <v>-2.4828487422410978E-2</v>
      </c>
      <c r="L104" s="18">
        <f>IF(ISNUMBER(J104), $B118 * K104, "")</f>
        <v>-3724.2731133616467</v>
      </c>
      <c r="M104" s="31">
        <v>149050</v>
      </c>
      <c r="N104" s="32">
        <f t="shared" ref="N104:N107" si="53">IF(ISNUMBER(M104), (M104 - $B104) / $B104, "")</f>
        <v>-2.6135249918327344E-2</v>
      </c>
      <c r="O104" s="18">
        <f>IF(ISNUMBER(M104), $B118 * N104, "")</f>
        <v>-3920.2874877491017</v>
      </c>
      <c r="Q104" s="161"/>
      <c r="R104" s="161"/>
      <c r="S104" s="161"/>
    </row>
    <row r="105" spans="1:19" ht="17.25" thickBot="1">
      <c r="A105" s="109" t="s">
        <v>149</v>
      </c>
      <c r="B105" s="110">
        <v>429</v>
      </c>
      <c r="C105" s="70">
        <v>2.3866348400000001E-2</v>
      </c>
      <c r="D105" s="15">
        <v>422</v>
      </c>
      <c r="E105" s="32">
        <f t="shared" si="50"/>
        <v>-1.6317016317016316E-2</v>
      </c>
      <c r="F105" s="18">
        <f>IF(ISNUMBER(D105), $B118 * E105, "")</f>
        <v>-2447.5524475524476</v>
      </c>
      <c r="G105" s="31">
        <v>420</v>
      </c>
      <c r="H105" s="32">
        <f t="shared" si="51"/>
        <v>-2.097902097902098E-2</v>
      </c>
      <c r="I105" s="91">
        <f>IF(ISNUMBER(G105), $B118 * H105, "")</f>
        <v>-3146.8531468531469</v>
      </c>
      <c r="J105" s="15">
        <v>424</v>
      </c>
      <c r="K105" s="32">
        <f t="shared" si="52"/>
        <v>-1.1655011655011656E-2</v>
      </c>
      <c r="L105" s="18">
        <f>IF(ISNUMBER(J105), $B118 * K105, "")</f>
        <v>-1748.2517482517483</v>
      </c>
      <c r="M105" s="31">
        <v>423</v>
      </c>
      <c r="N105" s="32">
        <f t="shared" si="53"/>
        <v>-1.3986013986013986E-2</v>
      </c>
      <c r="O105" s="18">
        <f>IF(ISNUMBER(M105), $B118 * N105, "")</f>
        <v>-2097.9020979020979</v>
      </c>
      <c r="Q105" s="161"/>
      <c r="R105" s="161"/>
      <c r="S105" s="161"/>
    </row>
    <row r="106" spans="1:19" ht="17.25" thickBot="1">
      <c r="A106" s="109" t="s">
        <v>83</v>
      </c>
      <c r="B106" s="110">
        <v>1260</v>
      </c>
      <c r="C106" s="70">
        <v>1.20481928E-2</v>
      </c>
      <c r="D106" s="15">
        <v>1250</v>
      </c>
      <c r="E106" s="32">
        <f t="shared" si="50"/>
        <v>-7.9365079365079361E-3</v>
      </c>
      <c r="F106" s="18">
        <f>IF(ISNUMBER(D106), $B118 * E106, "")</f>
        <v>-1190.4761904761904</v>
      </c>
      <c r="G106" s="31">
        <v>1250</v>
      </c>
      <c r="H106" s="32">
        <f t="shared" si="51"/>
        <v>-7.9365079365079361E-3</v>
      </c>
      <c r="I106" s="91">
        <f>IF(ISNUMBER(G106), $B118 * H106, "")</f>
        <v>-1190.4761904761904</v>
      </c>
      <c r="J106" s="15">
        <v>1255</v>
      </c>
      <c r="K106" s="32">
        <f t="shared" si="52"/>
        <v>-3.968253968253968E-3</v>
      </c>
      <c r="L106" s="18">
        <f>IF(ISNUMBER(J106), $B118 * K106, "")</f>
        <v>-595.23809523809518</v>
      </c>
      <c r="M106" s="31">
        <v>1285</v>
      </c>
      <c r="N106" s="32">
        <f t="shared" si="53"/>
        <v>1.984126984126984E-2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14" t="s">
        <v>161</v>
      </c>
      <c r="B107" s="115">
        <v>337</v>
      </c>
      <c r="C107" s="72">
        <v>1.2012012000000001E-2</v>
      </c>
      <c r="D107" s="24">
        <v>347</v>
      </c>
      <c r="E107" s="25">
        <f t="shared" si="50"/>
        <v>2.967359050445104E-2</v>
      </c>
      <c r="F107" s="94">
        <f>IF(ISNUMBER(D107), $B118 * E107, "")</f>
        <v>4451.038575667656</v>
      </c>
      <c r="G107" s="92">
        <v>348</v>
      </c>
      <c r="H107" s="25">
        <f t="shared" si="51"/>
        <v>3.2640949554896145E-2</v>
      </c>
      <c r="I107" s="93">
        <f>IF(ISNUMBER(G107), $B118 * H107, "")</f>
        <v>4896.1424332344222</v>
      </c>
      <c r="J107" s="24">
        <v>345</v>
      </c>
      <c r="K107" s="25">
        <f t="shared" si="52"/>
        <v>2.3738872403560832E-2</v>
      </c>
      <c r="L107" s="94">
        <f>IF(ISNUMBER(J107), $B118 * K107, "")</f>
        <v>3560.8308605341249</v>
      </c>
      <c r="M107" s="92">
        <v>345</v>
      </c>
      <c r="N107" s="25">
        <f t="shared" si="53"/>
        <v>2.3738872403560832E-2</v>
      </c>
      <c r="O107" s="94">
        <f>IF(ISNUMBER(M107), $B118 * N107, "")</f>
        <v>3560.8308605341249</v>
      </c>
      <c r="Q107" s="170"/>
      <c r="R107" s="171"/>
      <c r="S107" s="172"/>
    </row>
    <row r="108" spans="1:19">
      <c r="A108" s="107" t="s">
        <v>99</v>
      </c>
      <c r="B108" s="108">
        <v>26410</v>
      </c>
      <c r="C108" s="69">
        <v>1.1102603399999999E-2</v>
      </c>
      <c r="D108" s="13">
        <v>26010</v>
      </c>
      <c r="E108" s="14">
        <f>IF(ISNUMBER(D108), (D108 - $B108) / $B108, "")</f>
        <v>-1.5145778114350625E-2</v>
      </c>
      <c r="F108" s="16">
        <f>IF(ISNUMBER(D108), $B118 * E108, "")</f>
        <v>-2271.8667171525935</v>
      </c>
      <c r="G108" s="29">
        <v>25940</v>
      </c>
      <c r="H108" s="14">
        <f>IF(ISNUMBER(G108), (G108 - $B108) / $B108, "")</f>
        <v>-1.7796289284361985E-2</v>
      </c>
      <c r="I108" s="90">
        <f>IF(ISNUMBER(G108), $B118 * H108, "")</f>
        <v>-2669.4433926542979</v>
      </c>
      <c r="J108" s="13">
        <v>26020</v>
      </c>
      <c r="K108" s="14">
        <f>IF(ISNUMBER(J108), (J108 - $B108) / $B108, "")</f>
        <v>-1.476713366149186E-2</v>
      </c>
      <c r="L108" s="16">
        <f>IF(ISNUMBER(J108), $B118 * K108, "")</f>
        <v>-2215.0700492237788</v>
      </c>
      <c r="M108" s="29">
        <v>26040</v>
      </c>
      <c r="N108" s="14">
        <f>IF(ISNUMBER(M108), (M108 - $B108) / $B108, "")</f>
        <v>-1.4009844755774327E-2</v>
      </c>
      <c r="O108" s="16">
        <f>IF(ISNUMBER(M108), $B118 * N108, "")</f>
        <v>-2101.4767133661489</v>
      </c>
      <c r="Q108" s="173"/>
      <c r="R108" s="174"/>
      <c r="S108" s="175"/>
    </row>
    <row r="109" spans="1:19" ht="17.25" thickBot="1">
      <c r="A109" s="109" t="s">
        <v>330</v>
      </c>
      <c r="B109" s="110">
        <v>18510</v>
      </c>
      <c r="C109" s="70">
        <v>9.8199672999999994E-3</v>
      </c>
      <c r="D109" s="15">
        <v>18870</v>
      </c>
      <c r="E109" s="32">
        <f t="shared" ref="E109:E112" si="54">IF(ISNUMBER(D109), (D109 - $B109) / $B109, "")</f>
        <v>1.9448946515397084E-2</v>
      </c>
      <c r="F109" s="18">
        <f>IF(ISNUMBER(D109), $B118 * E109, "")</f>
        <v>2917.3419773095625</v>
      </c>
      <c r="G109" s="31">
        <v>18710</v>
      </c>
      <c r="H109" s="32">
        <f t="shared" ref="H109:H112" si="55">IF(ISNUMBER(G109), (G109 - $B109) / $B109, "")</f>
        <v>1.0804970286331712E-2</v>
      </c>
      <c r="I109" s="91">
        <f>IF(ISNUMBER(G109), $B118 * H109, "")</f>
        <v>1620.7455429497568</v>
      </c>
      <c r="J109" s="15">
        <v>18890</v>
      </c>
      <c r="K109" s="32">
        <f t="shared" ref="K109:K112" si="56">IF(ISNUMBER(J109), (J109 - $B109) / $B109, "")</f>
        <v>2.0529443544030253E-2</v>
      </c>
      <c r="L109" s="18">
        <f>IF(ISNUMBER(J109), $B118 * K109, "")</f>
        <v>3079.4165316045378</v>
      </c>
      <c r="M109" s="31">
        <v>18790</v>
      </c>
      <c r="N109" s="32">
        <f t="shared" ref="N109:N112" si="57">IF(ISNUMBER(M109), (M109 - $B109) / $B109, "")</f>
        <v>1.5126958400864398E-2</v>
      </c>
      <c r="O109" s="18">
        <f>IF(ISNUMBER(M109), $B118 * N109, "")</f>
        <v>2269.0437601296599</v>
      </c>
      <c r="Q109" s="176"/>
      <c r="R109" s="177"/>
      <c r="S109" s="178"/>
    </row>
    <row r="110" spans="1:19" ht="17.25" thickBot="1">
      <c r="A110" s="109" t="s">
        <v>344</v>
      </c>
      <c r="B110" s="110">
        <v>7000</v>
      </c>
      <c r="C110" s="70">
        <v>9.3727468999999994E-3</v>
      </c>
      <c r="D110" s="15">
        <v>6910</v>
      </c>
      <c r="E110" s="32">
        <f t="shared" si="54"/>
        <v>-1.2857142857142857E-2</v>
      </c>
      <c r="F110" s="18">
        <f>IF(ISNUMBER(D110), $B118 * E110, "")</f>
        <v>-1928.5714285714284</v>
      </c>
      <c r="G110" s="31">
        <v>6950</v>
      </c>
      <c r="H110" s="32">
        <f t="shared" si="55"/>
        <v>-7.1428571428571426E-3</v>
      </c>
      <c r="I110" s="91">
        <f>IF(ISNUMBER(G110), $B118 * H110, "")</f>
        <v>-1071.4285714285713</v>
      </c>
      <c r="J110" s="15">
        <v>6895</v>
      </c>
      <c r="K110" s="32">
        <f t="shared" si="56"/>
        <v>-1.4999999999999999E-2</v>
      </c>
      <c r="L110" s="18">
        <f>IF(ISNUMBER(J110), $B118 * K110, "")</f>
        <v>-2250</v>
      </c>
      <c r="M110" s="31">
        <v>6860</v>
      </c>
      <c r="N110" s="32">
        <f t="shared" si="57"/>
        <v>-0.02</v>
      </c>
      <c r="O110" s="18">
        <f>IF(ISNUMBER(M110), $B118 * N110, "")</f>
        <v>-3000</v>
      </c>
      <c r="Q110" s="161"/>
      <c r="R110" s="161"/>
      <c r="S110" s="161"/>
    </row>
    <row r="111" spans="1:19" ht="17.25" thickBot="1">
      <c r="A111" s="109" t="s">
        <v>208</v>
      </c>
      <c r="B111" s="110">
        <v>113</v>
      </c>
      <c r="C111" s="70">
        <v>8.9285713999999999E-3</v>
      </c>
      <c r="D111" s="15">
        <v>112</v>
      </c>
      <c r="E111" s="32">
        <f t="shared" si="54"/>
        <v>-8.8495575221238937E-3</v>
      </c>
      <c r="F111" s="18">
        <f>IF(ISNUMBER(D111), $B118 * E111, "")</f>
        <v>-1327.4336283185839</v>
      </c>
      <c r="G111" s="31">
        <v>112</v>
      </c>
      <c r="H111" s="32">
        <f t="shared" si="55"/>
        <v>-8.8495575221238937E-3</v>
      </c>
      <c r="I111" s="91">
        <f>IF(ISNUMBER(G111), $B118 * H111, "")</f>
        <v>-1327.4336283185839</v>
      </c>
      <c r="J111" s="15">
        <v>112</v>
      </c>
      <c r="K111" s="32">
        <f t="shared" si="56"/>
        <v>-8.8495575221238937E-3</v>
      </c>
      <c r="L111" s="18">
        <f>IF(ISNUMBER(J111), $B118 * K111, "")</f>
        <v>-1327.4336283185839</v>
      </c>
      <c r="M111" s="31">
        <v>112</v>
      </c>
      <c r="N111" s="32">
        <f t="shared" si="57"/>
        <v>-8.8495575221238937E-3</v>
      </c>
      <c r="O111" s="18">
        <f>IF(ISNUMBER(M111), $B118 * N111, "")</f>
        <v>-1327.4336283185839</v>
      </c>
      <c r="Q111" s="156"/>
      <c r="R111" s="156"/>
      <c r="S111" s="156"/>
    </row>
    <row r="112" spans="1:19" ht="17.25" thickBot="1">
      <c r="A112" s="111" t="s">
        <v>73</v>
      </c>
      <c r="B112" s="112">
        <v>13850</v>
      </c>
      <c r="C112" s="71">
        <v>8.7399854000000006E-3</v>
      </c>
      <c r="D112" s="20">
        <v>13660</v>
      </c>
      <c r="E112" s="21">
        <f t="shared" si="54"/>
        <v>-1.3718411552346571E-2</v>
      </c>
      <c r="F112" s="22">
        <f>IF(ISNUMBER(D112), $B118 * E112, "")</f>
        <v>-2057.7617328519855</v>
      </c>
      <c r="G112" s="30">
        <v>13590</v>
      </c>
      <c r="H112" s="21">
        <f t="shared" si="55"/>
        <v>-1.8772563176895306E-2</v>
      </c>
      <c r="I112" s="95">
        <f>IF(ISNUMBER(G112), $B118 * H112, "")</f>
        <v>-2815.884476534296</v>
      </c>
      <c r="J112" s="20">
        <v>13630</v>
      </c>
      <c r="K112" s="21">
        <f t="shared" si="56"/>
        <v>-1.5884476534296029E-2</v>
      </c>
      <c r="L112" s="22">
        <f>IF(ISNUMBER(J112), $B118 * K112, "")</f>
        <v>-2382.6714801444045</v>
      </c>
      <c r="M112" s="30">
        <v>13530</v>
      </c>
      <c r="N112" s="21">
        <f t="shared" si="57"/>
        <v>-2.3104693140794223E-2</v>
      </c>
      <c r="O112" s="22">
        <f>IF(ISNUMBER(M112), $B118 * N112, "")</f>
        <v>-3465.7039711191333</v>
      </c>
      <c r="Q112" s="156"/>
      <c r="R112" s="156"/>
      <c r="S112" s="156"/>
    </row>
    <row r="113" spans="1:19" ht="17.25" thickBot="1">
      <c r="A113" s="109" t="s">
        <v>320</v>
      </c>
      <c r="B113" s="113">
        <v>2325</v>
      </c>
      <c r="C113" s="73">
        <v>8.6767896000000001E-3</v>
      </c>
      <c r="D113" s="96">
        <v>2340</v>
      </c>
      <c r="E113" s="97">
        <f>IF(ISNUMBER(D113), (D113 - $B113) / $B113, "")</f>
        <v>6.4516129032258064E-3</v>
      </c>
      <c r="F113" s="98">
        <f>IF(ISNUMBER(D113), $B118 * E113, "")</f>
        <v>967.74193548387098</v>
      </c>
      <c r="G113" s="99">
        <v>2335</v>
      </c>
      <c r="H113" s="97">
        <f>IF(ISNUMBER(G113), (G113 - $B113) / $B113, "")</f>
        <v>4.3010752688172043E-3</v>
      </c>
      <c r="I113" s="100">
        <f>IF(ISNUMBER(G113), $B118 * H113, "")</f>
        <v>645.16129032258061</v>
      </c>
      <c r="J113" s="96">
        <v>2360</v>
      </c>
      <c r="K113" s="97">
        <f>IF(ISNUMBER(J113), (J113 - $B113) / $B113, "")</f>
        <v>1.5053763440860216E-2</v>
      </c>
      <c r="L113" s="98">
        <f>IF(ISNUMBER(J113), $B118 * K113, "")</f>
        <v>2258.0645161290322</v>
      </c>
      <c r="M113" s="99">
        <v>2350</v>
      </c>
      <c r="N113" s="97">
        <f>IF(ISNUMBER(M113), (M113 - $B113) / $B113, "")</f>
        <v>1.0752688172043012E-2</v>
      </c>
      <c r="O113" s="98">
        <f>IF(ISNUMBER(M113), $B118 * N113, "")</f>
        <v>1612.9032258064517</v>
      </c>
      <c r="Q113" s="161"/>
      <c r="R113" s="161"/>
      <c r="S113" s="161"/>
    </row>
    <row r="114" spans="1:19" ht="17.25" thickBot="1">
      <c r="A114" s="109" t="s">
        <v>95</v>
      </c>
      <c r="B114" s="110">
        <v>1355</v>
      </c>
      <c r="C114" s="70">
        <v>7.4349441999999998E-3</v>
      </c>
      <c r="D114" s="15">
        <v>1365</v>
      </c>
      <c r="E114" s="32">
        <f t="shared" ref="E114:E117" si="58">IF(ISNUMBER(D114), (D114 - $B114) / $B114, "")</f>
        <v>7.3800738007380072E-3</v>
      </c>
      <c r="F114" s="18">
        <f>IF(ISNUMBER(D114), $B118 * E114, "")</f>
        <v>1107.011070110701</v>
      </c>
      <c r="G114" s="31">
        <v>1355</v>
      </c>
      <c r="H114" s="32">
        <f t="shared" ref="H114:H117" si="59">IF(ISNUMBER(G114), (G114 - $B114) / $B114, "")</f>
        <v>0</v>
      </c>
      <c r="I114" s="91">
        <f>IF(ISNUMBER(G114), $B118 * H114, "")</f>
        <v>0</v>
      </c>
      <c r="J114" s="15">
        <v>1360</v>
      </c>
      <c r="K114" s="32">
        <f t="shared" ref="K114:K117" si="60">IF(ISNUMBER(J114), (J114 - $B114) / $B114, "")</f>
        <v>3.6900369003690036E-3</v>
      </c>
      <c r="L114" s="18">
        <f>IF(ISNUMBER(J114), $B118 * K114, "")</f>
        <v>553.50553505535049</v>
      </c>
      <c r="M114" s="31">
        <v>1360</v>
      </c>
      <c r="N114" s="32">
        <f t="shared" ref="N114:N117" si="61">IF(ISNUMBER(M114), (M114 - $B114) / $B114, "")</f>
        <v>3.6900369003690036E-3</v>
      </c>
      <c r="O114" s="18">
        <f>IF(ISNUMBER(M114), $B118 * N114, "")</f>
        <v>553.50553505535049</v>
      </c>
      <c r="Q114" s="161"/>
      <c r="R114" s="161"/>
      <c r="S114" s="161"/>
    </row>
    <row r="115" spans="1:19" ht="17.25" thickBot="1">
      <c r="A115" s="109" t="s">
        <v>204</v>
      </c>
      <c r="B115" s="110">
        <v>278</v>
      </c>
      <c r="C115" s="70">
        <v>7.2463768E-3</v>
      </c>
      <c r="D115" s="15">
        <v>276</v>
      </c>
      <c r="E115" s="32">
        <f t="shared" si="58"/>
        <v>-7.1942446043165471E-3</v>
      </c>
      <c r="F115" s="18">
        <f>IF(ISNUMBER(D115), $B118 * E115, "")</f>
        <v>-1079.1366906474821</v>
      </c>
      <c r="G115" s="31">
        <v>276</v>
      </c>
      <c r="H115" s="32">
        <f t="shared" si="59"/>
        <v>-7.1942446043165471E-3</v>
      </c>
      <c r="I115" s="91">
        <f>IF(ISNUMBER(G115), $B118 * H115, "")</f>
        <v>-1079.1366906474821</v>
      </c>
      <c r="J115" s="15">
        <v>278</v>
      </c>
      <c r="K115" s="32">
        <f t="shared" si="60"/>
        <v>0</v>
      </c>
      <c r="L115" s="18">
        <f>IF(ISNUMBER(J115), $B118 * K115, "")</f>
        <v>0</v>
      </c>
      <c r="M115" s="31">
        <v>278</v>
      </c>
      <c r="N115" s="32">
        <f t="shared" si="61"/>
        <v>0</v>
      </c>
      <c r="O115" s="18">
        <f>IF(ISNUMBER(M115), $B118 * N115, "")</f>
        <v>0</v>
      </c>
      <c r="Q115" s="161"/>
      <c r="R115" s="161"/>
      <c r="S115" s="161"/>
    </row>
    <row r="116" spans="1:19">
      <c r="A116" s="109" t="s">
        <v>172</v>
      </c>
      <c r="B116" s="110">
        <v>2965</v>
      </c>
      <c r="C116" s="70">
        <v>6.7911715000000001E-3</v>
      </c>
      <c r="D116" s="15">
        <v>2930</v>
      </c>
      <c r="E116" s="32">
        <f t="shared" si="58"/>
        <v>-1.1804384485666104E-2</v>
      </c>
      <c r="F116" s="18">
        <f>IF(ISNUMBER(D116), $B118 * E116, "")</f>
        <v>-1770.6576728499156</v>
      </c>
      <c r="G116" s="31">
        <v>2940</v>
      </c>
      <c r="H116" s="32">
        <f t="shared" si="59"/>
        <v>-8.4317032040472171E-3</v>
      </c>
      <c r="I116" s="91">
        <f>IF(ISNUMBER(G116), $B118 * H116, "")</f>
        <v>-1264.7554806070825</v>
      </c>
      <c r="J116" s="15">
        <v>2940</v>
      </c>
      <c r="K116" s="32">
        <f t="shared" si="60"/>
        <v>-8.4317032040472171E-3</v>
      </c>
      <c r="L116" s="18">
        <f>IF(ISNUMBER(J116), $B118 * K116, "")</f>
        <v>-1264.7554806070825</v>
      </c>
      <c r="M116" s="31">
        <v>2955</v>
      </c>
      <c r="N116" s="32">
        <f t="shared" si="61"/>
        <v>-3.3726812816188868E-3</v>
      </c>
      <c r="O116" s="18">
        <f>IF(ISNUMBER(M116), $B118 * N116, "")</f>
        <v>-505.90219224283305</v>
      </c>
      <c r="Q116" s="183"/>
      <c r="R116" s="184"/>
      <c r="S116" s="185"/>
    </row>
    <row r="117" spans="1:19" ht="17.25" thickBot="1">
      <c r="A117" s="114" t="s">
        <v>126</v>
      </c>
      <c r="B117" s="115">
        <v>30.8</v>
      </c>
      <c r="C117" s="72">
        <v>6.5359477000000001E-3</v>
      </c>
      <c r="D117" s="24">
        <v>30.4</v>
      </c>
      <c r="E117" s="25">
        <f t="shared" si="58"/>
        <v>-1.2987012987013056E-2</v>
      </c>
      <c r="F117" s="94">
        <f>IF(ISNUMBER(D117), $B118 * E117, "")</f>
        <v>-1948.0519480519583</v>
      </c>
      <c r="G117" s="92">
        <v>30.4</v>
      </c>
      <c r="H117" s="25">
        <f t="shared" si="59"/>
        <v>-1.2987012987013056E-2</v>
      </c>
      <c r="I117" s="93">
        <f>IF(ISNUMBER(G117), $B118 * H117, "")</f>
        <v>-1948.0519480519583</v>
      </c>
      <c r="J117" s="24">
        <v>30.6</v>
      </c>
      <c r="K117" s="25">
        <f t="shared" si="60"/>
        <v>-6.4935064935064705E-3</v>
      </c>
      <c r="L117" s="94">
        <f>IF(ISNUMBER(J117), $B118 * K117, "")</f>
        <v>-974.02597402597053</v>
      </c>
      <c r="M117" s="92">
        <v>30.4</v>
      </c>
      <c r="N117" s="25">
        <f t="shared" si="61"/>
        <v>-1.2987012987013056E-2</v>
      </c>
      <c r="O117" s="94">
        <f>IF(ISNUMBER(M117), $B118 * N117, "")</f>
        <v>-1948.0519480519583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-2.7219294955913914E-3</v>
      </c>
      <c r="F118" s="28">
        <f>SUM(F98:F117)</f>
        <v>-8165.7884867741741</v>
      </c>
      <c r="G118" s="26" t="s">
        <v>261</v>
      </c>
      <c r="H118" s="27">
        <f>IF(COUNT(H98:H117), SUM(H98:H117) / COUNT(H98:H117), 0)</f>
        <v>-5.4187438869081599E-3</v>
      </c>
      <c r="I118" s="28">
        <f>SUM(I98:I117)</f>
        <v>-16256.231660724477</v>
      </c>
      <c r="J118" s="26" t="s">
        <v>261</v>
      </c>
      <c r="K118" s="27">
        <f>IF(COUNT(K98:K117), SUM(K98:K117) / COUNT(K98:K117), 0)</f>
        <v>9.2104475759753417E-4</v>
      </c>
      <c r="L118" s="28">
        <f>SUM(L98:L117)</f>
        <v>2763.1342727925994</v>
      </c>
      <c r="M118" s="26" t="s">
        <v>261</v>
      </c>
      <c r="N118" s="27">
        <f>IF(COUNT(N98:N117), SUM(N98:N117) / COUNT(N98:N117), 0)</f>
        <v>1.2229615556008007E-3</v>
      </c>
      <c r="O118" s="28">
        <f>SUM(O98:O117)</f>
        <v>3668.8846668024048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2022-12-06(화) 오전 00:00</v>
      </c>
      <c r="C123" s="199"/>
      <c r="D123" s="158" t="str">
        <f>TEXT($G$1, "[$-ko-KR]yyyy-mm-dd(ddd) ") &amp; "오후 14:00"</f>
        <v>2022-12-06(화) 오후 14:00</v>
      </c>
      <c r="E123" s="159"/>
      <c r="F123" s="160"/>
      <c r="G123" s="158" t="str">
        <f>TEXT($G$1, "[$-ko-KR]yyyy-mm-dd(ddd) ") &amp; "오후 19:00"</f>
        <v>2022-12-06(화) 오후 19:00</v>
      </c>
      <c r="H123" s="159"/>
      <c r="I123" s="160"/>
      <c r="J123" s="158" t="str">
        <f>TEXT($G$1, "[$-ko-KR]yyyy-mm-dd(ddd) ") &amp; "오후 21:00"</f>
        <v>2022-12-06(화) 오후 21:00</v>
      </c>
      <c r="K123" s="159"/>
      <c r="L123" s="160"/>
      <c r="M123" s="158" t="str">
        <f>TEXT($G$1+1, "[$-ko-KR]yyyy-mm-dd(ddd) ") &amp; "오전 00:00"</f>
        <v>2022-12-07(수)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155</v>
      </c>
      <c r="B125" s="108">
        <v>30.9</v>
      </c>
      <c r="C125" s="69">
        <v>-6.4308682000000002E-3</v>
      </c>
      <c r="D125" s="13">
        <v>30.5</v>
      </c>
      <c r="E125" s="14">
        <f>IF(ISNUMBER(D125), (D125 - $B125) / $B125, "")</f>
        <v>-1.294498381877018E-2</v>
      </c>
      <c r="F125" s="16">
        <f>IF(ISNUMBER(D125), $B145 * E125, "")</f>
        <v>-1941.7475728155271</v>
      </c>
      <c r="G125" s="29">
        <v>30.6</v>
      </c>
      <c r="H125" s="14">
        <f>IF(ISNUMBER(G125), (G125 - $B125) / $B125, "")</f>
        <v>-9.7087378640775789E-3</v>
      </c>
      <c r="I125" s="90">
        <f>IF(ISNUMBER(G125), $B145 * H125, "")</f>
        <v>-1456.3106796116367</v>
      </c>
      <c r="J125" s="13">
        <v>30.6</v>
      </c>
      <c r="K125" s="14">
        <f>IF(ISNUMBER(J125), (J125 - $B125) / $B125, "")</f>
        <v>-9.7087378640775789E-3</v>
      </c>
      <c r="L125" s="16">
        <f>IF(ISNUMBER(J125), $B145 * K125, "")</f>
        <v>-1456.3106796116367</v>
      </c>
      <c r="M125" s="29">
        <v>30.6</v>
      </c>
      <c r="N125" s="14">
        <f>IF(ISNUMBER(M125), (M125 - $B125) / $B125, "")</f>
        <v>-9.7087378640775789E-3</v>
      </c>
      <c r="O125" s="16">
        <f>IF(ISNUMBER(M125), $B145 * N125, "")</f>
        <v>-1456.3106796116367</v>
      </c>
      <c r="Q125" s="156"/>
      <c r="R125" s="156"/>
      <c r="S125" s="156"/>
    </row>
    <row r="126" spans="1:19" ht="17.25" thickBot="1">
      <c r="A126" s="109" t="s">
        <v>138</v>
      </c>
      <c r="B126" s="110">
        <v>28.8</v>
      </c>
      <c r="C126" s="70">
        <v>-6.8965516999999997E-3</v>
      </c>
      <c r="D126" s="15">
        <v>28.8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28.8</v>
      </c>
      <c r="H126" s="32">
        <f t="shared" ref="H126:H129" si="63">IF(ISNUMBER(G126), (G126 - $B126) / $B126, "")</f>
        <v>0</v>
      </c>
      <c r="I126" s="91">
        <f>IF(ISNUMBER(G126), $B145 * H126, "")</f>
        <v>0</v>
      </c>
      <c r="J126" s="15">
        <v>28.9</v>
      </c>
      <c r="K126" s="32">
        <f t="shared" ref="K126:K129" si="64">IF(ISNUMBER(J126), (J126 - $B126) / $B126, "")</f>
        <v>3.4722222222221483E-3</v>
      </c>
      <c r="L126" s="18">
        <f>IF(ISNUMBER(J126), $B145 * K126, "")</f>
        <v>520.83333333332223</v>
      </c>
      <c r="M126" s="31">
        <v>29.1</v>
      </c>
      <c r="N126" s="32">
        <f t="shared" ref="N126:N129" si="65">IF(ISNUMBER(M126), (M126 - $B126) / $B126, "")</f>
        <v>1.041666666666669E-2</v>
      </c>
      <c r="O126" s="18">
        <f>IF(ISNUMBER(M126), $B145 * N126, "")</f>
        <v>1562.5000000000036</v>
      </c>
      <c r="Q126" s="156"/>
      <c r="R126" s="156"/>
      <c r="S126" s="156"/>
    </row>
    <row r="127" spans="1:19" ht="17.25" thickBot="1">
      <c r="A127" s="109" t="s">
        <v>200</v>
      </c>
      <c r="B127" s="110">
        <v>7.04</v>
      </c>
      <c r="C127" s="70">
        <v>-7.0521862000000003E-3</v>
      </c>
      <c r="D127" s="15">
        <v>6.95</v>
      </c>
      <c r="E127" s="32">
        <f t="shared" si="62"/>
        <v>-1.2784090909090889E-2</v>
      </c>
      <c r="F127" s="18">
        <f>IF(ISNUMBER(D127), $B145 * E127, "")</f>
        <v>-1917.6136363636333</v>
      </c>
      <c r="G127" s="31">
        <v>6.96</v>
      </c>
      <c r="H127" s="32">
        <f t="shared" si="63"/>
        <v>-1.1363636363636374E-2</v>
      </c>
      <c r="I127" s="91">
        <f>IF(ISNUMBER(G127), $B145 * H127, "")</f>
        <v>-1704.5454545454561</v>
      </c>
      <c r="J127" s="15">
        <v>6.92</v>
      </c>
      <c r="K127" s="32">
        <f t="shared" si="64"/>
        <v>-1.7045454545454562E-2</v>
      </c>
      <c r="L127" s="18">
        <f>IF(ISNUMBER(J127), $B145 * K127, "")</f>
        <v>-2556.8181818181843</v>
      </c>
      <c r="M127" s="31">
        <v>6.94</v>
      </c>
      <c r="N127" s="32">
        <f t="shared" si="65"/>
        <v>-1.4204545454545404E-2</v>
      </c>
      <c r="O127" s="18">
        <f>IF(ISNUMBER(M127), $B145 * N127, "")</f>
        <v>-2130.6818181818107</v>
      </c>
      <c r="Q127" s="161"/>
      <c r="R127" s="161"/>
      <c r="S127" s="161"/>
    </row>
    <row r="128" spans="1:19" ht="17.25" thickBot="1">
      <c r="A128" s="109" t="s">
        <v>220</v>
      </c>
      <c r="B128" s="110">
        <v>79.7</v>
      </c>
      <c r="C128" s="70">
        <v>-7.4719801000000001E-3</v>
      </c>
      <c r="D128" s="15">
        <v>78.5</v>
      </c>
      <c r="E128" s="32">
        <f t="shared" si="62"/>
        <v>-1.5056461731493134E-2</v>
      </c>
      <c r="F128" s="18">
        <f>IF(ISNUMBER(D128), $B145 * E128, "")</f>
        <v>-2258.46925972397</v>
      </c>
      <c r="G128" s="31">
        <v>78.599999999999994</v>
      </c>
      <c r="H128" s="32">
        <f t="shared" si="63"/>
        <v>-1.3801756587202113E-2</v>
      </c>
      <c r="I128" s="91">
        <f>IF(ISNUMBER(G128), $B145 * H128, "")</f>
        <v>-2070.2634880803171</v>
      </c>
      <c r="J128" s="15">
        <v>78.599999999999994</v>
      </c>
      <c r="K128" s="32">
        <f t="shared" si="64"/>
        <v>-1.3801756587202113E-2</v>
      </c>
      <c r="L128" s="18">
        <f>IF(ISNUMBER(J128), $B145 * K128, "")</f>
        <v>-2070.2634880803171</v>
      </c>
      <c r="M128" s="31">
        <v>78.599999999999994</v>
      </c>
      <c r="N128" s="32">
        <f t="shared" si="65"/>
        <v>-1.3801756587202113E-2</v>
      </c>
      <c r="O128" s="18">
        <f>IF(ISNUMBER(M128), $B145 * N128, "")</f>
        <v>-2070.2634880803171</v>
      </c>
      <c r="Q128" s="161"/>
      <c r="R128" s="161"/>
      <c r="S128" s="161"/>
    </row>
    <row r="129" spans="1:19" ht="17.25" thickBot="1">
      <c r="A129" s="111" t="s">
        <v>212</v>
      </c>
      <c r="B129" s="112">
        <v>87.9</v>
      </c>
      <c r="C129" s="71">
        <v>-7.9006771999999992E-3</v>
      </c>
      <c r="D129" s="20">
        <v>87.7</v>
      </c>
      <c r="E129" s="21">
        <f t="shared" si="62"/>
        <v>-2.2753128555176656E-3</v>
      </c>
      <c r="F129" s="22">
        <f>IF(ISNUMBER(D129), $B145 * E129, "")</f>
        <v>-341.29692832764982</v>
      </c>
      <c r="G129" s="30">
        <v>87.5</v>
      </c>
      <c r="H129" s="21">
        <f t="shared" si="63"/>
        <v>-4.5506257110353313E-3</v>
      </c>
      <c r="I129" s="95">
        <f>IF(ISNUMBER(G129), $B145 * H129, "")</f>
        <v>-682.59385665529965</v>
      </c>
      <c r="J129" s="20">
        <v>87.8</v>
      </c>
      <c r="K129" s="21">
        <f t="shared" si="64"/>
        <v>-1.1376564277589137E-3</v>
      </c>
      <c r="L129" s="22">
        <f>IF(ISNUMBER(J129), $B145 * K129, "")</f>
        <v>-170.64846416383705</v>
      </c>
      <c r="M129" s="30">
        <v>87.8</v>
      </c>
      <c r="N129" s="21">
        <f t="shared" si="65"/>
        <v>-1.1376564277589137E-3</v>
      </c>
      <c r="O129" s="22">
        <f>IF(ISNUMBER(M129), $B145 * N129, "")</f>
        <v>-170.64846416383705</v>
      </c>
      <c r="Q129" s="161"/>
      <c r="R129" s="161"/>
      <c r="S129" s="161"/>
    </row>
    <row r="130" spans="1:19" ht="17.25" thickBot="1">
      <c r="A130" s="109" t="s">
        <v>71</v>
      </c>
      <c r="B130" s="113">
        <v>11.9</v>
      </c>
      <c r="C130" s="73">
        <v>-8.3333333000000006E-3</v>
      </c>
      <c r="D130" s="96">
        <v>11.7</v>
      </c>
      <c r="E130" s="97">
        <f>IF(ISNUMBER(D130), (D130 - $B130) / $B130, "")</f>
        <v>-1.680672268907572E-2</v>
      </c>
      <c r="F130" s="98">
        <f>IF(ISNUMBER(D130), $B145 * E130, "")</f>
        <v>-2521.008403361358</v>
      </c>
      <c r="G130" s="99">
        <v>11.8</v>
      </c>
      <c r="H130" s="97">
        <f>IF(ISNUMBER(G130), (G130 - $B130) / $B130, "")</f>
        <v>-8.4033613445377853E-3</v>
      </c>
      <c r="I130" s="100">
        <f>IF(ISNUMBER(G130), $B145 * H130, "")</f>
        <v>-1260.5042016806678</v>
      </c>
      <c r="J130" s="96">
        <v>11.8</v>
      </c>
      <c r="K130" s="97">
        <f>IF(ISNUMBER(J130), (J130 - $B130) / $B130, "")</f>
        <v>-8.4033613445377853E-3</v>
      </c>
      <c r="L130" s="98">
        <f>IF(ISNUMBER(J130), $B145 * K130, "")</f>
        <v>-1260.5042016806678</v>
      </c>
      <c r="M130" s="99">
        <v>11.8</v>
      </c>
      <c r="N130" s="97">
        <f>IF(ISNUMBER(M130), (M130 - $B130) / $B130, "")</f>
        <v>-8.4033613445377853E-3</v>
      </c>
      <c r="O130" s="98">
        <f>IF(ISNUMBER(M130), $B145 * N130, "")</f>
        <v>-1260.5042016806678</v>
      </c>
      <c r="Q130" s="161"/>
      <c r="R130" s="161"/>
      <c r="S130" s="161"/>
    </row>
    <row r="131" spans="1:19" ht="17.25" thickBot="1">
      <c r="A131" s="109" t="s">
        <v>143</v>
      </c>
      <c r="B131" s="110">
        <v>4.16</v>
      </c>
      <c r="C131" s="70">
        <v>-9.5238094999999991E-3</v>
      </c>
      <c r="D131" s="15">
        <v>4.08</v>
      </c>
      <c r="E131" s="32">
        <f t="shared" ref="E131:E134" si="66">IF(ISNUMBER(D131), (D131 - $B131) / $B131, "")</f>
        <v>-1.9230769230769246E-2</v>
      </c>
      <c r="F131" s="18">
        <f>IF(ISNUMBER(D131), $B145 * E131, "")</f>
        <v>-2884.615384615387</v>
      </c>
      <c r="G131" s="31">
        <v>4.07</v>
      </c>
      <c r="H131" s="32">
        <f t="shared" ref="H131:H134" si="67">IF(ISNUMBER(G131), (G131 - $B131) / $B131, "")</f>
        <v>-2.1634615384615349E-2</v>
      </c>
      <c r="I131" s="91">
        <f>IF(ISNUMBER(G131), $B145 * H131, "")</f>
        <v>-3245.1923076923026</v>
      </c>
      <c r="J131" s="15">
        <v>4.0999999999999996</v>
      </c>
      <c r="K131" s="32">
        <f t="shared" ref="K131:K134" si="68">IF(ISNUMBER(J131), (J131 - $B131) / $B131, "")</f>
        <v>-1.4423076923077042E-2</v>
      </c>
      <c r="L131" s="18">
        <f>IF(ISNUMBER(J131), $B145 * K131, "")</f>
        <v>-2163.4615384615563</v>
      </c>
      <c r="M131" s="31">
        <v>4.1100000000000003</v>
      </c>
      <c r="N131" s="32">
        <f t="shared" ref="N131:N134" si="69">IF(ISNUMBER(M131), (M131 - $B131) / $B131, "")</f>
        <v>-1.2019230769230727E-2</v>
      </c>
      <c r="O131" s="18">
        <f>IF(ISNUMBER(M131), $B145 * N131, "")</f>
        <v>-1802.8846153846089</v>
      </c>
      <c r="Q131" s="161"/>
      <c r="R131" s="161"/>
      <c r="S131" s="161"/>
    </row>
    <row r="132" spans="1:19" ht="17.25" thickBot="1">
      <c r="A132" s="109" t="s">
        <v>338</v>
      </c>
      <c r="B132" s="110">
        <v>5.09</v>
      </c>
      <c r="C132" s="70">
        <v>-9.7276264999999994E-3</v>
      </c>
      <c r="D132" s="15">
        <v>5.07</v>
      </c>
      <c r="E132" s="32">
        <f t="shared" si="66"/>
        <v>-3.9292730844792878E-3</v>
      </c>
      <c r="F132" s="18">
        <f>IF(ISNUMBER(D132), $B145 * E132, "")</f>
        <v>-589.39096267189313</v>
      </c>
      <c r="G132" s="31">
        <v>5.05</v>
      </c>
      <c r="H132" s="32">
        <f t="shared" si="67"/>
        <v>-7.858546168958749E-3</v>
      </c>
      <c r="I132" s="91">
        <f>IF(ISNUMBER(G132), $B145 * H132, "")</f>
        <v>-1178.7819253438124</v>
      </c>
      <c r="J132" s="15">
        <v>5.05</v>
      </c>
      <c r="K132" s="32">
        <f t="shared" si="68"/>
        <v>-7.858546168958749E-3</v>
      </c>
      <c r="L132" s="18">
        <f>IF(ISNUMBER(J132), $B145 * K132, "")</f>
        <v>-1178.7819253438124</v>
      </c>
      <c r="M132" s="31">
        <v>5.05</v>
      </c>
      <c r="N132" s="32">
        <f t="shared" si="69"/>
        <v>-7.858546168958749E-3</v>
      </c>
      <c r="O132" s="18">
        <f>IF(ISNUMBER(M132), $B145 * N132, "")</f>
        <v>-1178.7819253438124</v>
      </c>
      <c r="Q132" s="161"/>
      <c r="R132" s="161"/>
      <c r="S132" s="161"/>
    </row>
    <row r="133" spans="1:19" ht="17.25" thickBot="1">
      <c r="A133" s="109" t="s">
        <v>181</v>
      </c>
      <c r="B133" s="110">
        <v>4.4800000000000004</v>
      </c>
      <c r="C133" s="70">
        <v>-1.1037527599999999E-2</v>
      </c>
      <c r="D133" s="15">
        <v>4.47</v>
      </c>
      <c r="E133" s="32">
        <f t="shared" si="66"/>
        <v>-2.2321428571430075E-3</v>
      </c>
      <c r="F133" s="18">
        <f>IF(ISNUMBER(D133), $B145 * E133, "")</f>
        <v>-334.82142857145112</v>
      </c>
      <c r="G133" s="31">
        <v>4.4400000000000004</v>
      </c>
      <c r="H133" s="32">
        <f t="shared" si="67"/>
        <v>-8.928571428571435E-3</v>
      </c>
      <c r="I133" s="91">
        <f>IF(ISNUMBER(G133), $B145 * H133, "")</f>
        <v>-1339.2857142857154</v>
      </c>
      <c r="J133" s="15">
        <v>4.46</v>
      </c>
      <c r="K133" s="32">
        <f t="shared" si="68"/>
        <v>-4.4642857142858173E-3</v>
      </c>
      <c r="L133" s="18">
        <f>IF(ISNUMBER(J133), $B145 * K133, "")</f>
        <v>-669.64285714287257</v>
      </c>
      <c r="M133" s="31">
        <v>4.45</v>
      </c>
      <c r="N133" s="32">
        <f t="shared" si="69"/>
        <v>-6.6964285714286266E-3</v>
      </c>
      <c r="O133" s="18">
        <f>IF(ISNUMBER(M133), $B145 * N133, "")</f>
        <v>-1004.464285714294</v>
      </c>
      <c r="Q133" s="33"/>
      <c r="R133" s="33"/>
    </row>
    <row r="134" spans="1:19" ht="17.25" thickBot="1">
      <c r="A134" s="114" t="s">
        <v>206</v>
      </c>
      <c r="B134" s="115">
        <v>3.53</v>
      </c>
      <c r="C134" s="72">
        <v>-1.1204481800000001E-2</v>
      </c>
      <c r="D134" s="24">
        <v>3.47</v>
      </c>
      <c r="E134" s="25">
        <f t="shared" si="66"/>
        <v>-1.6997167138810089E-2</v>
      </c>
      <c r="F134" s="94">
        <f>IF(ISNUMBER(D134), $B145 * E134, "")</f>
        <v>-2549.5750708215132</v>
      </c>
      <c r="G134" s="92">
        <v>3.48</v>
      </c>
      <c r="H134" s="25">
        <f t="shared" si="67"/>
        <v>-1.4164305949008449E-2</v>
      </c>
      <c r="I134" s="93">
        <f>IF(ISNUMBER(G134), $B145 * H134, "")</f>
        <v>-2124.6458923512673</v>
      </c>
      <c r="J134" s="24">
        <v>3.49</v>
      </c>
      <c r="K134" s="25">
        <f t="shared" si="68"/>
        <v>-1.1331444759206683E-2</v>
      </c>
      <c r="L134" s="94">
        <f>IF(ISNUMBER(J134), $B145 * K134, "")</f>
        <v>-1699.7167138810025</v>
      </c>
      <c r="M134" s="92">
        <v>3.48</v>
      </c>
      <c r="N134" s="25">
        <f t="shared" si="69"/>
        <v>-1.4164305949008449E-2</v>
      </c>
      <c r="O134" s="94">
        <f>IF(ISNUMBER(M134), $B145 * N134, "")</f>
        <v>-2124.6458923512673</v>
      </c>
      <c r="Q134" s="170"/>
      <c r="R134" s="171"/>
      <c r="S134" s="172"/>
    </row>
    <row r="135" spans="1:19">
      <c r="A135" s="107" t="s">
        <v>141</v>
      </c>
      <c r="B135" s="108">
        <v>3.49</v>
      </c>
      <c r="C135" s="69">
        <v>-1.13314448E-2</v>
      </c>
      <c r="D135" s="13">
        <v>3.46</v>
      </c>
      <c r="E135" s="14">
        <f>IF(ISNUMBER(D135), (D135 - $B135) / $B135, "")</f>
        <v>-8.5959885386820197E-3</v>
      </c>
      <c r="F135" s="16">
        <f>IF(ISNUMBER(D135), $B145 * E135, "")</f>
        <v>-1289.3982808023029</v>
      </c>
      <c r="G135" s="29">
        <v>3.47</v>
      </c>
      <c r="H135" s="14">
        <f>IF(ISNUMBER(G135), (G135 - $B135) / $B135, "")</f>
        <v>-5.7306590257879706E-3</v>
      </c>
      <c r="I135" s="90">
        <f>IF(ISNUMBER(G135), $B145 * H135, "")</f>
        <v>-859.59885386819565</v>
      </c>
      <c r="J135" s="13">
        <v>3.46</v>
      </c>
      <c r="K135" s="14">
        <f>IF(ISNUMBER(J135), (J135 - $B135) / $B135, "")</f>
        <v>-8.5959885386820197E-3</v>
      </c>
      <c r="L135" s="16">
        <f>IF(ISNUMBER(J135), $B145 * K135, "")</f>
        <v>-1289.3982808023029</v>
      </c>
      <c r="M135" s="29">
        <v>3.45</v>
      </c>
      <c r="N135" s="14">
        <f>IF(ISNUMBER(M135), (M135 - $B135) / $B135, "")</f>
        <v>-1.1461318051575941E-2</v>
      </c>
      <c r="O135" s="16">
        <f>IF(ISNUMBER(M135), $B145 * N135, "")</f>
        <v>-1719.1977077363913</v>
      </c>
      <c r="Q135" s="173"/>
      <c r="R135" s="174"/>
      <c r="S135" s="175"/>
    </row>
    <row r="136" spans="1:19" ht="17.25" thickBot="1">
      <c r="A136" s="109" t="s">
        <v>132</v>
      </c>
      <c r="B136" s="110">
        <v>60.7</v>
      </c>
      <c r="C136" s="70">
        <v>-1.1400651499999999E-2</v>
      </c>
      <c r="D136" s="15">
        <v>60</v>
      </c>
      <c r="E136" s="32">
        <f t="shared" ref="E136:E139" si="70">IF(ISNUMBER(D136), (D136 - $B136) / $B136, "")</f>
        <v>-1.1532125205930853E-2</v>
      </c>
      <c r="F136" s="18">
        <f>IF(ISNUMBER(D136), $B145 * E136, "")</f>
        <v>-1729.818780889628</v>
      </c>
      <c r="G136" s="31">
        <v>59.8</v>
      </c>
      <c r="H136" s="32">
        <f t="shared" ref="H136:H139" si="71">IF(ISNUMBER(G136), (G136 - $B136) / $B136, "")</f>
        <v>-1.4827018121911131E-2</v>
      </c>
      <c r="I136" s="91">
        <f>IF(ISNUMBER(G136), $B145 * H136, "")</f>
        <v>-2224.0527182866699</v>
      </c>
      <c r="J136" s="15">
        <v>59.9</v>
      </c>
      <c r="K136" s="32">
        <f t="shared" ref="K136:K139" si="72">IF(ISNUMBER(J136), (J136 - $B136) / $B136, "")</f>
        <v>-1.3179571663920992E-2</v>
      </c>
      <c r="L136" s="18">
        <f>IF(ISNUMBER(J136), $B145 * K136, "")</f>
        <v>-1976.9357495881488</v>
      </c>
      <c r="M136" s="31">
        <v>60</v>
      </c>
      <c r="N136" s="32">
        <f t="shared" ref="N136:N139" si="73">IF(ISNUMBER(M136), (M136 - $B136) / $B136, "")</f>
        <v>-1.1532125205930853E-2</v>
      </c>
      <c r="O136" s="18">
        <f>IF(ISNUMBER(M136), $B145 * N136, "")</f>
        <v>-1729.818780889628</v>
      </c>
      <c r="Q136" s="176"/>
      <c r="R136" s="177"/>
      <c r="S136" s="178"/>
    </row>
    <row r="137" spans="1:19" ht="17.25" thickBot="1">
      <c r="A137" s="109" t="s">
        <v>230</v>
      </c>
      <c r="B137" s="110">
        <v>42</v>
      </c>
      <c r="C137" s="70">
        <v>-1.17647059E-2</v>
      </c>
      <c r="D137" s="15">
        <v>41.4</v>
      </c>
      <c r="E137" s="32">
        <f t="shared" si="70"/>
        <v>-1.428571428571432E-2</v>
      </c>
      <c r="F137" s="18">
        <f>IF(ISNUMBER(D137), $B145 * E137, "")</f>
        <v>-2142.8571428571481</v>
      </c>
      <c r="G137" s="31">
        <v>41.5</v>
      </c>
      <c r="H137" s="32">
        <f t="shared" si="71"/>
        <v>-1.1904761904761904E-2</v>
      </c>
      <c r="I137" s="91">
        <f>IF(ISNUMBER(G137), $B145 * H137, "")</f>
        <v>-1785.7142857142856</v>
      </c>
      <c r="J137" s="15">
        <v>41.4</v>
      </c>
      <c r="K137" s="32">
        <f t="shared" si="72"/>
        <v>-1.428571428571432E-2</v>
      </c>
      <c r="L137" s="18">
        <f>IF(ISNUMBER(J137), $B145 * K137, "")</f>
        <v>-2142.8571428571481</v>
      </c>
      <c r="M137" s="31">
        <v>41.6</v>
      </c>
      <c r="N137" s="32">
        <f t="shared" si="73"/>
        <v>-9.52380952380949E-3</v>
      </c>
      <c r="O137" s="18">
        <f>IF(ISNUMBER(M137), $B145 * N137, "")</f>
        <v>-1428.5714285714234</v>
      </c>
      <c r="Q137" s="161"/>
      <c r="R137" s="161"/>
      <c r="S137" s="161"/>
    </row>
    <row r="138" spans="1:19" ht="17.25" thickBot="1">
      <c r="A138" s="109" t="s">
        <v>326</v>
      </c>
      <c r="B138" s="110">
        <v>24.5</v>
      </c>
      <c r="C138" s="70">
        <v>-1.20967742E-2</v>
      </c>
      <c r="D138" s="15">
        <v>24.4</v>
      </c>
      <c r="E138" s="32">
        <f t="shared" si="70"/>
        <v>-4.0816326530612821E-3</v>
      </c>
      <c r="F138" s="18">
        <f>IF(ISNUMBER(D138), $B145 * E138, "")</f>
        <v>-612.24489795919237</v>
      </c>
      <c r="G138" s="31">
        <v>24.6</v>
      </c>
      <c r="H138" s="32">
        <f t="shared" si="71"/>
        <v>4.0816326530612821E-3</v>
      </c>
      <c r="I138" s="91">
        <f>IF(ISNUMBER(G138), $B145 * H138, "")</f>
        <v>612.24489795919237</v>
      </c>
      <c r="J138" s="15">
        <v>24.4</v>
      </c>
      <c r="K138" s="32">
        <f t="shared" si="72"/>
        <v>-4.0816326530612821E-3</v>
      </c>
      <c r="L138" s="18">
        <f>IF(ISNUMBER(J138), $B145 * K138, "")</f>
        <v>-612.24489795919237</v>
      </c>
      <c r="M138" s="31">
        <v>24.4</v>
      </c>
      <c r="N138" s="32">
        <f t="shared" si="73"/>
        <v>-4.0816326530612821E-3</v>
      </c>
      <c r="O138" s="18">
        <f>IF(ISNUMBER(M138), $B145 * N138, "")</f>
        <v>-612.24489795919237</v>
      </c>
      <c r="Q138" s="156"/>
      <c r="R138" s="156"/>
      <c r="S138" s="156"/>
    </row>
    <row r="139" spans="1:19" ht="17.25" thickBot="1">
      <c r="A139" s="111" t="s">
        <v>224</v>
      </c>
      <c r="B139" s="112">
        <v>21.9</v>
      </c>
      <c r="C139" s="71">
        <v>-1.79372197E-2</v>
      </c>
      <c r="D139" s="20">
        <v>21.7</v>
      </c>
      <c r="E139" s="21">
        <f t="shared" si="70"/>
        <v>-9.1324200913241692E-3</v>
      </c>
      <c r="F139" s="22">
        <f>IF(ISNUMBER(D139), $B145 * E139, "")</f>
        <v>-1369.8630136986253</v>
      </c>
      <c r="G139" s="30">
        <v>21.7</v>
      </c>
      <c r="H139" s="21">
        <f t="shared" si="71"/>
        <v>-9.1324200913241692E-3</v>
      </c>
      <c r="I139" s="95">
        <f>IF(ISNUMBER(G139), $B145 * H139, "")</f>
        <v>-1369.8630136986253</v>
      </c>
      <c r="J139" s="20">
        <v>21.6</v>
      </c>
      <c r="K139" s="21">
        <f t="shared" si="72"/>
        <v>-1.3698630136986172E-2</v>
      </c>
      <c r="L139" s="22">
        <f>IF(ISNUMBER(J139), $B145 * K139, "")</f>
        <v>-2054.7945205479259</v>
      </c>
      <c r="M139" s="30">
        <v>21.5</v>
      </c>
      <c r="N139" s="21">
        <f t="shared" si="73"/>
        <v>-1.8264840182648338E-2</v>
      </c>
      <c r="O139" s="22">
        <f>IF(ISNUMBER(M139), $B145 * N139, "")</f>
        <v>-2739.7260273972506</v>
      </c>
      <c r="Q139" s="156"/>
      <c r="R139" s="156"/>
      <c r="S139" s="156"/>
    </row>
    <row r="140" spans="1:19" ht="17.25" thickBot="1">
      <c r="A140" s="109" t="s">
        <v>118</v>
      </c>
      <c r="B140" s="113">
        <v>7.01</v>
      </c>
      <c r="C140" s="73">
        <v>-1.82072829E-2</v>
      </c>
      <c r="D140" s="96">
        <v>6.91</v>
      </c>
      <c r="E140" s="97">
        <f>IF(ISNUMBER(D140), (D140 - $B140) / $B140, "")</f>
        <v>-1.4265335235377982E-2</v>
      </c>
      <c r="F140" s="98">
        <f>IF(ISNUMBER(D140), $B145 * E140, "")</f>
        <v>-2139.8002853066973</v>
      </c>
      <c r="G140" s="99">
        <v>6.9</v>
      </c>
      <c r="H140" s="97">
        <f>IF(ISNUMBER(G140), (G140 - $B140) / $B140, "")</f>
        <v>-1.5691868758915754E-2</v>
      </c>
      <c r="I140" s="100">
        <f>IF(ISNUMBER(G140), $B145 * H140, "")</f>
        <v>-2353.7803138373633</v>
      </c>
      <c r="J140" s="96">
        <v>6.91</v>
      </c>
      <c r="K140" s="97">
        <f>IF(ISNUMBER(J140), (J140 - $B140) / $B140, "")</f>
        <v>-1.4265335235377982E-2</v>
      </c>
      <c r="L140" s="98">
        <f>IF(ISNUMBER(J140), $B145 * K140, "")</f>
        <v>-2139.8002853066973</v>
      </c>
      <c r="M140" s="99">
        <v>6.89</v>
      </c>
      <c r="N140" s="97">
        <f>IF(ISNUMBER(M140), (M140 - $B140) / $B140, "")</f>
        <v>-1.7118402282453652E-2</v>
      </c>
      <c r="O140" s="98">
        <f>IF(ISNUMBER(M140), $B145 * N140, "")</f>
        <v>-2567.760342368048</v>
      </c>
      <c r="Q140" s="161"/>
      <c r="R140" s="161"/>
      <c r="S140" s="161"/>
    </row>
    <row r="141" spans="1:19" ht="17.25" thickBot="1">
      <c r="A141" s="109" t="s">
        <v>228</v>
      </c>
      <c r="B141" s="110">
        <v>65.5</v>
      </c>
      <c r="C141" s="70">
        <v>-2.3845007500000001E-2</v>
      </c>
      <c r="D141" s="15">
        <v>65.2</v>
      </c>
      <c r="E141" s="32">
        <f t="shared" ref="E141:E144" si="74">IF(ISNUMBER(D141), (D141 - $B141) / $B141, "")</f>
        <v>-4.580152671755682E-3</v>
      </c>
      <c r="F141" s="18">
        <f>IF(ISNUMBER(D141), $B145 * E141, "")</f>
        <v>-687.02290076335225</v>
      </c>
      <c r="G141" s="31">
        <v>65.2</v>
      </c>
      <c r="H141" s="32">
        <f t="shared" ref="H141:H144" si="75">IF(ISNUMBER(G141), (G141 - $B141) / $B141, "")</f>
        <v>-4.580152671755682E-3</v>
      </c>
      <c r="I141" s="91">
        <f>IF(ISNUMBER(G141), $B145 * H141, "")</f>
        <v>-687.02290076335225</v>
      </c>
      <c r="J141" s="15">
        <v>65.2</v>
      </c>
      <c r="K141" s="32">
        <f t="shared" ref="K141:K144" si="76">IF(ISNUMBER(J141), (J141 - $B141) / $B141, "")</f>
        <v>-4.580152671755682E-3</v>
      </c>
      <c r="L141" s="18">
        <f>IF(ISNUMBER(J141), $B145 * K141, "")</f>
        <v>-687.02290076335225</v>
      </c>
      <c r="M141" s="31">
        <v>65.3</v>
      </c>
      <c r="N141" s="32">
        <f t="shared" ref="N141:N144" si="77">IF(ISNUMBER(M141), (M141 - $B141) / $B141, "")</f>
        <v>-3.0534351145038601E-3</v>
      </c>
      <c r="O141" s="18">
        <f>IF(ISNUMBER(M141), $B145 * N141, "")</f>
        <v>-458.01526717557903</v>
      </c>
      <c r="Q141" s="161"/>
      <c r="R141" s="161"/>
      <c r="S141" s="161"/>
    </row>
    <row r="142" spans="1:19" ht="17.25" thickBot="1">
      <c r="A142" s="109" t="s">
        <v>107</v>
      </c>
      <c r="B142" s="110">
        <v>43.2</v>
      </c>
      <c r="C142" s="70">
        <v>-4.6357615900000003E-2</v>
      </c>
      <c r="D142" s="15">
        <v>42.7</v>
      </c>
      <c r="E142" s="32">
        <f t="shared" si="74"/>
        <v>-1.1574074074074073E-2</v>
      </c>
      <c r="F142" s="18">
        <f>IF(ISNUMBER(D142), $B145 * E142, "")</f>
        <v>-1736.1111111111111</v>
      </c>
      <c r="G142" s="31">
        <v>42.8</v>
      </c>
      <c r="H142" s="32">
        <f t="shared" si="75"/>
        <v>-9.2592592592593906E-3</v>
      </c>
      <c r="I142" s="91">
        <f>IF(ISNUMBER(G142), $B145 * H142, "")</f>
        <v>-1388.8888888889087</v>
      </c>
      <c r="J142" s="15">
        <v>42.7</v>
      </c>
      <c r="K142" s="32">
        <f t="shared" si="76"/>
        <v>-1.1574074074074073E-2</v>
      </c>
      <c r="L142" s="18">
        <f>IF(ISNUMBER(J142), $B145 * K142, "")</f>
        <v>-1736.1111111111111</v>
      </c>
      <c r="M142" s="31">
        <v>42.7</v>
      </c>
      <c r="N142" s="32">
        <f t="shared" si="77"/>
        <v>-1.1574074074074073E-2</v>
      </c>
      <c r="O142" s="18">
        <f>IF(ISNUMBER(M142), $B145 * N142, "")</f>
        <v>-1736.1111111111111</v>
      </c>
      <c r="Q142" s="161"/>
      <c r="R142" s="161"/>
      <c r="S142" s="161"/>
    </row>
    <row r="143" spans="1:19">
      <c r="A143" s="109" t="s">
        <v>350</v>
      </c>
      <c r="B143" s="110">
        <v>7.99</v>
      </c>
      <c r="C143" s="70">
        <v>-6.6588784999999998E-2</v>
      </c>
      <c r="D143" s="15">
        <v>8.0399999999999991</v>
      </c>
      <c r="E143" s="32">
        <f t="shared" si="74"/>
        <v>6.2578222778471755E-3</v>
      </c>
      <c r="F143" s="18">
        <f>IF(ISNUMBER(D143), $B145 * E143, "")</f>
        <v>938.67334167707634</v>
      </c>
      <c r="G143" s="31">
        <v>8.1</v>
      </c>
      <c r="H143" s="32">
        <f t="shared" si="75"/>
        <v>1.3767209011264008E-2</v>
      </c>
      <c r="I143" s="91">
        <f>IF(ISNUMBER(G143), $B145 * H143, "")</f>
        <v>2065.081351689601</v>
      </c>
      <c r="J143" s="15">
        <v>8.0500000000000007</v>
      </c>
      <c r="K143" s="32">
        <f t="shared" si="76"/>
        <v>7.5093867334168332E-3</v>
      </c>
      <c r="L143" s="18">
        <f>IF(ISNUMBER(J143), $B145 * K143, "")</f>
        <v>1126.408010012525</v>
      </c>
      <c r="M143" s="31">
        <v>8</v>
      </c>
      <c r="N143" s="32">
        <f t="shared" si="77"/>
        <v>1.2515644555694352E-3</v>
      </c>
      <c r="O143" s="18">
        <f>IF(ISNUMBER(M143), $B145 * N143, "")</f>
        <v>187.73466833541528</v>
      </c>
      <c r="Q143" s="183"/>
      <c r="R143" s="184"/>
      <c r="S143" s="185"/>
    </row>
    <row r="144" spans="1:19" ht="17.25" thickBot="1">
      <c r="A144" s="114" t="s">
        <v>198</v>
      </c>
      <c r="B144" s="115">
        <v>8.7799999999999994</v>
      </c>
      <c r="C144" s="72">
        <v>-7.5789473699999999E-2</v>
      </c>
      <c r="D144" s="24">
        <v>8.56</v>
      </c>
      <c r="E144" s="25">
        <f t="shared" si="74"/>
        <v>-2.5056947608200326E-2</v>
      </c>
      <c r="F144" s="94">
        <f>IF(ISNUMBER(D144), $B145 * E144, "")</f>
        <v>-3758.5421412300489</v>
      </c>
      <c r="G144" s="92">
        <v>8.49</v>
      </c>
      <c r="H144" s="25">
        <f t="shared" si="75"/>
        <v>-3.3029612756264141E-2</v>
      </c>
      <c r="I144" s="93">
        <f>IF(ISNUMBER(G144), $B145 * H144, "")</f>
        <v>-4954.4419134396212</v>
      </c>
      <c r="J144" s="24">
        <v>8.2100000000000009</v>
      </c>
      <c r="K144" s="25">
        <f t="shared" si="76"/>
        <v>-6.49202733485192E-2</v>
      </c>
      <c r="L144" s="94">
        <f>IF(ISNUMBER(J144), $B145 * K144, "")</f>
        <v>-9738.0410022778797</v>
      </c>
      <c r="M144" s="92">
        <v>8.39</v>
      </c>
      <c r="N144" s="25">
        <f t="shared" si="77"/>
        <v>-4.4419134396355218E-2</v>
      </c>
      <c r="O144" s="94">
        <f>IF(ISNUMBER(M144), $B145 * N144, "")</f>
        <v>-6662.8701594532831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-9.9551746200711357E-3</v>
      </c>
      <c r="F145" s="28">
        <f>SUM(F125:F144)</f>
        <v>-29865.523860213412</v>
      </c>
      <c r="G145" s="26" t="s">
        <v>261</v>
      </c>
      <c r="H145" s="27">
        <f>IF(COUNT(H125:H144), SUM(H125:H144) / COUNT(H125:H144), 0)</f>
        <v>-9.3360533863649005E-3</v>
      </c>
      <c r="I145" s="28">
        <f>SUM(I125:I144)</f>
        <v>-28008.160159094703</v>
      </c>
      <c r="J145" s="26" t="s">
        <v>261</v>
      </c>
      <c r="K145" s="27">
        <f>IF(COUNT(K125:K144), SUM(K125:K144) / COUNT(K125:K144), 0)</f>
        <v>-1.1318704199350599E-2</v>
      </c>
      <c r="L145" s="28">
        <f>SUM(L125:L144)</f>
        <v>-33956.112598051797</v>
      </c>
      <c r="M145" s="26" t="s">
        <v>261</v>
      </c>
      <c r="N145" s="27">
        <f>IF(COUNT(N125:N144), SUM(N125:N144) / COUNT(N125:N144), 0)</f>
        <v>-1.0367755474946247E-2</v>
      </c>
      <c r="O145" s="28">
        <f>SUM(O125:O144)</f>
        <v>-31103.266424838737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2022-12-06(화) 오전 00:00</v>
      </c>
      <c r="C150" s="199"/>
      <c r="D150" s="158" t="str">
        <f>TEXT($G$1, "[$-ko-KR]yyyy-mm-dd(ddd) ") &amp; "오후 14:00"</f>
        <v>2022-12-06(화) 오후 14:00</v>
      </c>
      <c r="E150" s="159"/>
      <c r="F150" s="160"/>
      <c r="G150" s="158" t="str">
        <f>TEXT($G$1, "[$-ko-KR]yyyy-mm-dd(ddd) ") &amp; "오후 19:00"</f>
        <v>2022-12-06(화) 오후 19:00</v>
      </c>
      <c r="H150" s="159"/>
      <c r="I150" s="160"/>
      <c r="J150" s="158" t="str">
        <f>TEXT($G$1, "[$-ko-KR]yyyy-mm-dd(ddd) ") &amp; "오후 21:00"</f>
        <v>2022-12-06(화) 오후 21:00</v>
      </c>
      <c r="K150" s="159"/>
      <c r="L150" s="160"/>
      <c r="M150" s="158" t="str">
        <f>TEXT($G$1+1, "[$-ko-KR]yyyy-mm-dd(ddd) ") &amp; "오전 00:00"</f>
        <v>2022-12-07(수)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256</v>
      </c>
      <c r="B152" s="108">
        <v>139</v>
      </c>
      <c r="C152" s="69">
        <v>-7.1428571000000003E-3</v>
      </c>
      <c r="D152" s="13">
        <v>135</v>
      </c>
      <c r="E152" s="14">
        <f>IF(ISNUMBER(D152), (D152 - $B152) / $B152, "")</f>
        <v>-2.8776978417266189E-2</v>
      </c>
      <c r="F152" s="16">
        <f>IF(ISNUMBER(D152), $B172 * E152, "")</f>
        <v>-4316.5467625899282</v>
      </c>
      <c r="G152" s="29">
        <v>134</v>
      </c>
      <c r="H152" s="14">
        <f>IF(ISNUMBER(G152), (G152 - $B152) / $B152, "")</f>
        <v>-3.5971223021582732E-2</v>
      </c>
      <c r="I152" s="90">
        <f>IF(ISNUMBER(G152), $B172 * H152, "")</f>
        <v>-5395.6834532374096</v>
      </c>
      <c r="J152" s="13">
        <v>136</v>
      </c>
      <c r="K152" s="14">
        <f>IF(ISNUMBER(J152), (J152 - $B152) / $B152, "")</f>
        <v>-2.1582733812949641E-2</v>
      </c>
      <c r="L152" s="16">
        <f>IF(ISNUMBER(J152), $B172 * K152, "")</f>
        <v>-3237.4100719424464</v>
      </c>
      <c r="M152" s="29">
        <v>134</v>
      </c>
      <c r="N152" s="14">
        <f>IF(ISNUMBER(M152), (M152 - $B152) / $B152, "")</f>
        <v>-3.5971223021582732E-2</v>
      </c>
      <c r="O152" s="16">
        <f>IF(ISNUMBER(M152), $B172 * N152, "")</f>
        <v>-5395.6834532374096</v>
      </c>
      <c r="Q152" s="156"/>
      <c r="R152" s="156"/>
      <c r="S152" s="156"/>
    </row>
    <row r="153" spans="1:19" ht="17.25" thickBot="1">
      <c r="A153" s="109" t="s">
        <v>340</v>
      </c>
      <c r="B153" s="110">
        <v>662</v>
      </c>
      <c r="C153" s="70">
        <v>-7.4962518999999997E-3</v>
      </c>
      <c r="D153" s="15">
        <v>646</v>
      </c>
      <c r="E153" s="32">
        <f t="shared" ref="E153:E156" si="78">IF(ISNUMBER(D153), (D153 - $B153) / $B153, "")</f>
        <v>-2.4169184290030211E-2</v>
      </c>
      <c r="F153" s="18">
        <f>IF(ISNUMBER(D153), $B172 * E153, "")</f>
        <v>-3625.3776435045315</v>
      </c>
      <c r="G153" s="31">
        <v>643</v>
      </c>
      <c r="H153" s="32">
        <f t="shared" ref="H153:H156" si="79">IF(ISNUMBER(G153), (G153 - $B153) / $B153, "")</f>
        <v>-2.8700906344410877E-2</v>
      </c>
      <c r="I153" s="91">
        <f>IF(ISNUMBER(G153), $B172 * H153, "")</f>
        <v>-4305.1359516616312</v>
      </c>
      <c r="J153" s="15">
        <v>644</v>
      </c>
      <c r="K153" s="32">
        <f t="shared" ref="K153:K156" si="80">IF(ISNUMBER(J153), (J153 - $B153) / $B153, "")</f>
        <v>-2.7190332326283987E-2</v>
      </c>
      <c r="L153" s="18">
        <f>IF(ISNUMBER(J153), $B172 * K153, "")</f>
        <v>-4078.5498489425981</v>
      </c>
      <c r="M153" s="31">
        <v>631</v>
      </c>
      <c r="N153" s="32">
        <f t="shared" ref="N153:N156" si="81">IF(ISNUMBER(M153), (M153 - $B153) / $B153, "")</f>
        <v>-4.6827794561933533E-2</v>
      </c>
      <c r="O153" s="18">
        <f>IF(ISNUMBER(M153), $B172 * N153, "")</f>
        <v>-7024.16918429003</v>
      </c>
      <c r="Q153" s="156"/>
      <c r="R153" s="156"/>
      <c r="S153" s="156"/>
    </row>
    <row r="154" spans="1:19" ht="17.25" thickBot="1">
      <c r="A154" s="109" t="s">
        <v>222</v>
      </c>
      <c r="B154" s="110">
        <v>487</v>
      </c>
      <c r="C154" s="70">
        <v>-8.1466395000000004E-3</v>
      </c>
      <c r="D154" s="15">
        <v>479</v>
      </c>
      <c r="E154" s="32">
        <f t="shared" si="78"/>
        <v>-1.6427104722792608E-2</v>
      </c>
      <c r="F154" s="18">
        <f>IF(ISNUMBER(D154), $B172 * E154, "")</f>
        <v>-2464.0657084188911</v>
      </c>
      <c r="G154" s="31">
        <v>480</v>
      </c>
      <c r="H154" s="32">
        <f t="shared" si="79"/>
        <v>-1.4373716632443531E-2</v>
      </c>
      <c r="I154" s="91">
        <f>IF(ISNUMBER(G154), $B172 * H154, "")</f>
        <v>-2156.0574948665299</v>
      </c>
      <c r="J154" s="15">
        <v>480</v>
      </c>
      <c r="K154" s="32">
        <f t="shared" si="80"/>
        <v>-1.4373716632443531E-2</v>
      </c>
      <c r="L154" s="18">
        <f>IF(ISNUMBER(J154), $B172 * K154, "")</f>
        <v>-2156.0574948665299</v>
      </c>
      <c r="M154" s="31">
        <v>482</v>
      </c>
      <c r="N154" s="32">
        <f t="shared" si="81"/>
        <v>-1.0266940451745379E-2</v>
      </c>
      <c r="O154" s="18">
        <f>IF(ISNUMBER(M154), $B172 * N154, "")</f>
        <v>-1540.041067761807</v>
      </c>
      <c r="Q154" s="161"/>
      <c r="R154" s="161"/>
      <c r="S154" s="161"/>
    </row>
    <row r="155" spans="1:19" ht="17.25" thickBot="1">
      <c r="A155" s="109" t="s">
        <v>202</v>
      </c>
      <c r="B155" s="110">
        <v>365</v>
      </c>
      <c r="C155" s="70">
        <v>-8.1521739000000003E-3</v>
      </c>
      <c r="D155" s="15">
        <v>363</v>
      </c>
      <c r="E155" s="32">
        <f t="shared" si="78"/>
        <v>-5.4794520547945206E-3</v>
      </c>
      <c r="F155" s="18">
        <f>IF(ISNUMBER(D155), $B172 * E155, "")</f>
        <v>-821.91780821917814</v>
      </c>
      <c r="G155" s="31">
        <v>363</v>
      </c>
      <c r="H155" s="32">
        <f t="shared" si="79"/>
        <v>-5.4794520547945206E-3</v>
      </c>
      <c r="I155" s="91">
        <f>IF(ISNUMBER(G155), $B172 * H155, "")</f>
        <v>-821.91780821917814</v>
      </c>
      <c r="J155" s="15">
        <v>364</v>
      </c>
      <c r="K155" s="32">
        <f t="shared" si="80"/>
        <v>-2.7397260273972603E-3</v>
      </c>
      <c r="L155" s="18">
        <f>IF(ISNUMBER(J155), $B172 * K155, "")</f>
        <v>-410.95890410958907</v>
      </c>
      <c r="M155" s="31">
        <v>363</v>
      </c>
      <c r="N155" s="32">
        <f t="shared" si="81"/>
        <v>-5.4794520547945206E-3</v>
      </c>
      <c r="O155" s="18">
        <f>IF(ISNUMBER(M155), $B172 * N155, "")</f>
        <v>-821.91780821917814</v>
      </c>
      <c r="Q155" s="161"/>
      <c r="R155" s="161"/>
      <c r="S155" s="161"/>
    </row>
    <row r="156" spans="1:19" ht="17.25" thickBot="1">
      <c r="A156" s="111" t="s">
        <v>51</v>
      </c>
      <c r="B156" s="112">
        <v>117</v>
      </c>
      <c r="C156" s="71">
        <v>-8.4745762999999998E-3</v>
      </c>
      <c r="D156" s="20">
        <v>117</v>
      </c>
      <c r="E156" s="21">
        <f t="shared" si="78"/>
        <v>0</v>
      </c>
      <c r="F156" s="22">
        <f>IF(ISNUMBER(D156), $B172 * E156, "")</f>
        <v>0</v>
      </c>
      <c r="G156" s="30">
        <v>117</v>
      </c>
      <c r="H156" s="21">
        <f t="shared" si="79"/>
        <v>0</v>
      </c>
      <c r="I156" s="95">
        <f>IF(ISNUMBER(G156), $B172 * H156, "")</f>
        <v>0</v>
      </c>
      <c r="J156" s="20">
        <v>116</v>
      </c>
      <c r="K156" s="21">
        <f t="shared" si="80"/>
        <v>-8.5470085470085479E-3</v>
      </c>
      <c r="L156" s="22">
        <f>IF(ISNUMBER(J156), $B172 * K156, "")</f>
        <v>-1282.0512820512822</v>
      </c>
      <c r="M156" s="30">
        <v>116</v>
      </c>
      <c r="N156" s="21">
        <f t="shared" si="81"/>
        <v>-8.5470085470085479E-3</v>
      </c>
      <c r="O156" s="22">
        <f>IF(ISNUMBER(M156), $B172 * N156, "")</f>
        <v>-1282.0512820512822</v>
      </c>
      <c r="Q156" s="161"/>
      <c r="R156" s="161"/>
      <c r="S156" s="161"/>
    </row>
    <row r="157" spans="1:19" ht="17.25" thickBot="1">
      <c r="A157" s="109" t="s">
        <v>176</v>
      </c>
      <c r="B157" s="113">
        <v>348</v>
      </c>
      <c r="C157" s="73">
        <v>-8.5470084999999998E-3</v>
      </c>
      <c r="D157" s="96">
        <v>345</v>
      </c>
      <c r="E157" s="97">
        <f>IF(ISNUMBER(D157), (D157 - $B157) / $B157, "")</f>
        <v>-8.6206896551724137E-3</v>
      </c>
      <c r="F157" s="98">
        <f>IF(ISNUMBER(D157), $B172 * E157, "")</f>
        <v>-1293.1034482758621</v>
      </c>
      <c r="G157" s="99">
        <v>345</v>
      </c>
      <c r="H157" s="97">
        <f>IF(ISNUMBER(G157), (G157 - $B157) / $B157, "")</f>
        <v>-8.6206896551724137E-3</v>
      </c>
      <c r="I157" s="100">
        <f>IF(ISNUMBER(G157), $B172 * H157, "")</f>
        <v>-1293.1034482758621</v>
      </c>
      <c r="J157" s="96">
        <v>346</v>
      </c>
      <c r="K157" s="97">
        <f>IF(ISNUMBER(J157), (J157 - $B157) / $B157, "")</f>
        <v>-5.7471264367816091E-3</v>
      </c>
      <c r="L157" s="98">
        <f>IF(ISNUMBER(J157), $B172 * K157, "")</f>
        <v>-862.06896551724139</v>
      </c>
      <c r="M157" s="99">
        <v>346</v>
      </c>
      <c r="N157" s="97">
        <f>IF(ISNUMBER(M157), (M157 - $B157) / $B157, "")</f>
        <v>-5.7471264367816091E-3</v>
      </c>
      <c r="O157" s="98">
        <f>IF(ISNUMBER(M157), $B172 * N157, "")</f>
        <v>-862.06896551724139</v>
      </c>
      <c r="Q157" s="161"/>
      <c r="R157" s="161"/>
      <c r="S157" s="161"/>
    </row>
    <row r="158" spans="1:19" ht="17.25" thickBot="1">
      <c r="A158" s="109" t="s">
        <v>244</v>
      </c>
      <c r="B158" s="110">
        <v>104</v>
      </c>
      <c r="C158" s="70">
        <v>-9.5238094999999991E-3</v>
      </c>
      <c r="D158" s="15">
        <v>104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104</v>
      </c>
      <c r="H158" s="32">
        <f t="shared" ref="H158:H161" si="83">IF(ISNUMBER(G158), (G158 - $B158) / $B158, "")</f>
        <v>0</v>
      </c>
      <c r="I158" s="91">
        <f>IF(ISNUMBER(G158), $B172 * H158, "")</f>
        <v>0</v>
      </c>
      <c r="J158" s="15">
        <v>104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104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61"/>
      <c r="R158" s="161"/>
      <c r="S158" s="161"/>
    </row>
    <row r="159" spans="1:19" ht="17.25" thickBot="1">
      <c r="A159" s="109" t="s">
        <v>196</v>
      </c>
      <c r="B159" s="110">
        <v>296</v>
      </c>
      <c r="C159" s="70">
        <v>-1.0033444799999999E-2</v>
      </c>
      <c r="D159" s="15">
        <v>298</v>
      </c>
      <c r="E159" s="32">
        <f t="shared" si="82"/>
        <v>6.7567567567567571E-3</v>
      </c>
      <c r="F159" s="18">
        <f>IF(ISNUMBER(D159), $B172 * E159, "")</f>
        <v>1013.5135135135135</v>
      </c>
      <c r="G159" s="31">
        <v>297</v>
      </c>
      <c r="H159" s="32">
        <f t="shared" si="83"/>
        <v>3.3783783783783786E-3</v>
      </c>
      <c r="I159" s="91">
        <f>IF(ISNUMBER(G159), $B172 * H159, "")</f>
        <v>506.75675675675677</v>
      </c>
      <c r="J159" s="15">
        <v>292</v>
      </c>
      <c r="K159" s="32">
        <f t="shared" si="84"/>
        <v>-1.3513513513513514E-2</v>
      </c>
      <c r="L159" s="18">
        <f>IF(ISNUMBER(J159), $B172 * K159, "")</f>
        <v>-2027.0270270270271</v>
      </c>
      <c r="M159" s="31">
        <v>292</v>
      </c>
      <c r="N159" s="32">
        <f t="shared" si="85"/>
        <v>-1.3513513513513514E-2</v>
      </c>
      <c r="O159" s="18">
        <f>IF(ISNUMBER(M159), $B172 * N159, "")</f>
        <v>-2027.0270270270271</v>
      </c>
      <c r="Q159" s="161"/>
      <c r="R159" s="161"/>
      <c r="S159" s="161"/>
    </row>
    <row r="160" spans="1:19" ht="17.25" thickBot="1">
      <c r="A160" s="109" t="s">
        <v>238</v>
      </c>
      <c r="B160" s="110">
        <v>643</v>
      </c>
      <c r="C160" s="70">
        <v>-1.2288786499999999E-2</v>
      </c>
      <c r="D160" s="15">
        <v>644</v>
      </c>
      <c r="E160" s="32">
        <f t="shared" si="82"/>
        <v>1.5552099533437014E-3</v>
      </c>
      <c r="F160" s="18">
        <f>IF(ISNUMBER(D160), $B172 * E160, "")</f>
        <v>233.28149300155522</v>
      </c>
      <c r="G160" s="31">
        <v>646</v>
      </c>
      <c r="H160" s="32">
        <f t="shared" si="83"/>
        <v>4.6656298600311046E-3</v>
      </c>
      <c r="I160" s="91">
        <f>IF(ISNUMBER(G160), $B172 * H160, "")</f>
        <v>699.84447900466569</v>
      </c>
      <c r="J160" s="15">
        <v>644</v>
      </c>
      <c r="K160" s="32">
        <f t="shared" si="84"/>
        <v>1.5552099533437014E-3</v>
      </c>
      <c r="L160" s="18">
        <f>IF(ISNUMBER(J160), $B172 * K160, "")</f>
        <v>233.28149300155522</v>
      </c>
      <c r="M160" s="31">
        <v>643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14" t="s">
        <v>226</v>
      </c>
      <c r="B161" s="115">
        <v>238</v>
      </c>
      <c r="C161" s="72">
        <v>-1.2448132799999999E-2</v>
      </c>
      <c r="D161" s="24">
        <v>235</v>
      </c>
      <c r="E161" s="25">
        <f t="shared" si="82"/>
        <v>-1.2605042016806723E-2</v>
      </c>
      <c r="F161" s="94">
        <f>IF(ISNUMBER(D161), $B172 * E161, "")</f>
        <v>-1890.7563025210084</v>
      </c>
      <c r="G161" s="92">
        <v>236</v>
      </c>
      <c r="H161" s="25">
        <f t="shared" si="83"/>
        <v>-8.4033613445378148E-3</v>
      </c>
      <c r="I161" s="93">
        <f>IF(ISNUMBER(G161), $B172 * H161, "")</f>
        <v>-1260.5042016806722</v>
      </c>
      <c r="J161" s="24">
        <v>235</v>
      </c>
      <c r="K161" s="25">
        <f t="shared" si="84"/>
        <v>-1.2605042016806723E-2</v>
      </c>
      <c r="L161" s="94">
        <f>IF(ISNUMBER(J161), $B172 * K161, "")</f>
        <v>-1890.7563025210084</v>
      </c>
      <c r="M161" s="92">
        <v>235</v>
      </c>
      <c r="N161" s="25">
        <f t="shared" si="85"/>
        <v>-1.2605042016806723E-2</v>
      </c>
      <c r="O161" s="94">
        <f>IF(ISNUMBER(M161), $B172 * N161, "")</f>
        <v>-1890.7563025210084</v>
      </c>
      <c r="Q161" s="170"/>
      <c r="R161" s="171"/>
      <c r="S161" s="172"/>
    </row>
    <row r="162" spans="1:19">
      <c r="A162" s="107" t="s">
        <v>242</v>
      </c>
      <c r="B162" s="108">
        <v>467</v>
      </c>
      <c r="C162" s="69">
        <v>-1.2684989400000001E-2</v>
      </c>
      <c r="D162" s="13">
        <v>465</v>
      </c>
      <c r="E162" s="14">
        <f>IF(ISNUMBER(D162), (D162 - $B162) / $B162, "")</f>
        <v>-4.2826552462526769E-3</v>
      </c>
      <c r="F162" s="16">
        <f>IF(ISNUMBER(D162), $B172 * E162, "")</f>
        <v>-642.3982869379015</v>
      </c>
      <c r="G162" s="29">
        <v>465</v>
      </c>
      <c r="H162" s="14">
        <f>IF(ISNUMBER(G162), (G162 - $B162) / $B162, "")</f>
        <v>-4.2826552462526769E-3</v>
      </c>
      <c r="I162" s="90">
        <f>IF(ISNUMBER(G162), $B172 * H162, "")</f>
        <v>-642.3982869379015</v>
      </c>
      <c r="J162" s="13">
        <v>466</v>
      </c>
      <c r="K162" s="14">
        <f>IF(ISNUMBER(J162), (J162 - $B162) / $B162, "")</f>
        <v>-2.1413276231263384E-3</v>
      </c>
      <c r="L162" s="16">
        <f>IF(ISNUMBER(J162), $B172 * K162, "")</f>
        <v>-321.19914346895075</v>
      </c>
      <c r="M162" s="29">
        <v>467</v>
      </c>
      <c r="N162" s="14">
        <f>IF(ISNUMBER(M162), (M162 - $B162) / $B162, "")</f>
        <v>0</v>
      </c>
      <c r="O162" s="16">
        <f>IF(ISNUMBER(M162), $B172 * N162, "")</f>
        <v>0</v>
      </c>
      <c r="Q162" s="173"/>
      <c r="R162" s="174"/>
      <c r="S162" s="175"/>
    </row>
    <row r="163" spans="1:19" ht="17.25" thickBot="1">
      <c r="A163" s="109" t="s">
        <v>232</v>
      </c>
      <c r="B163" s="110">
        <v>298</v>
      </c>
      <c r="C163" s="70">
        <v>-1.3245033099999999E-2</v>
      </c>
      <c r="D163" s="15">
        <v>298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300</v>
      </c>
      <c r="H163" s="32">
        <f t="shared" ref="H163:H166" si="87">IF(ISNUMBER(G163), (G163 - $B163) / $B163, "")</f>
        <v>6.7114093959731542E-3</v>
      </c>
      <c r="I163" s="91">
        <f>IF(ISNUMBER(G163), $B172 * H163, "")</f>
        <v>1006.7114093959731</v>
      </c>
      <c r="J163" s="15">
        <v>302</v>
      </c>
      <c r="K163" s="32">
        <f t="shared" ref="K163:K166" si="88">IF(ISNUMBER(J163), (J163 - $B163) / $B163, "")</f>
        <v>1.3422818791946308E-2</v>
      </c>
      <c r="L163" s="18">
        <f>IF(ISNUMBER(J163), $B172 * K163, "")</f>
        <v>2013.4228187919462</v>
      </c>
      <c r="M163" s="31">
        <v>301</v>
      </c>
      <c r="N163" s="32">
        <f t="shared" ref="N163:N166" si="89">IF(ISNUMBER(M163), (M163 - $B163) / $B163, "")</f>
        <v>1.0067114093959731E-2</v>
      </c>
      <c r="O163" s="18">
        <f>IF(ISNUMBER(M163), $B172 * N163, "")</f>
        <v>1510.0671140939596</v>
      </c>
      <c r="Q163" s="176"/>
      <c r="R163" s="177"/>
      <c r="S163" s="178"/>
    </row>
    <row r="164" spans="1:19" ht="17.25" thickBot="1">
      <c r="A164" s="109" t="s">
        <v>234</v>
      </c>
      <c r="B164" s="110">
        <v>372</v>
      </c>
      <c r="C164" s="70">
        <v>-1.32625995E-2</v>
      </c>
      <c r="D164" s="15">
        <v>372</v>
      </c>
      <c r="E164" s="32">
        <f t="shared" si="86"/>
        <v>0</v>
      </c>
      <c r="F164" s="18">
        <f>IF(ISNUMBER(D164), $B172 * E164, "")</f>
        <v>0</v>
      </c>
      <c r="G164" s="31">
        <v>371</v>
      </c>
      <c r="H164" s="32">
        <f t="shared" si="87"/>
        <v>-2.6881720430107529E-3</v>
      </c>
      <c r="I164" s="91">
        <f>IF(ISNUMBER(G164), $B172 * H164, "")</f>
        <v>-403.22580645161293</v>
      </c>
      <c r="J164" s="15">
        <v>371</v>
      </c>
      <c r="K164" s="32">
        <f t="shared" si="88"/>
        <v>-2.6881720430107529E-3</v>
      </c>
      <c r="L164" s="18">
        <f>IF(ISNUMBER(J164), $B172 * K164, "")</f>
        <v>-403.22580645161293</v>
      </c>
      <c r="M164" s="31">
        <v>373</v>
      </c>
      <c r="N164" s="32">
        <f t="shared" si="89"/>
        <v>2.6881720430107529E-3</v>
      </c>
      <c r="O164" s="18">
        <f>IF(ISNUMBER(M164), $B172 * N164, "")</f>
        <v>403.22580645161293</v>
      </c>
      <c r="Q164" s="161"/>
      <c r="R164" s="161"/>
      <c r="S164" s="161"/>
    </row>
    <row r="165" spans="1:19" ht="17.25" thickBot="1">
      <c r="A165" s="109" t="s">
        <v>218</v>
      </c>
      <c r="B165" s="110">
        <v>358</v>
      </c>
      <c r="C165" s="70">
        <v>-1.3774104699999999E-2</v>
      </c>
      <c r="D165" s="15">
        <v>354</v>
      </c>
      <c r="E165" s="32">
        <f t="shared" si="86"/>
        <v>-1.11731843575419E-2</v>
      </c>
      <c r="F165" s="18">
        <f>IF(ISNUMBER(D165), $B172 * E165, "")</f>
        <v>-1675.977653631285</v>
      </c>
      <c r="G165" s="31">
        <v>355</v>
      </c>
      <c r="H165" s="32">
        <f t="shared" si="87"/>
        <v>-8.3798882681564244E-3</v>
      </c>
      <c r="I165" s="91">
        <f>IF(ISNUMBER(G165), $B172 * H165, "")</f>
        <v>-1256.9832402234636</v>
      </c>
      <c r="J165" s="15">
        <v>354</v>
      </c>
      <c r="K165" s="32">
        <f t="shared" si="88"/>
        <v>-1.11731843575419E-2</v>
      </c>
      <c r="L165" s="18">
        <f>IF(ISNUMBER(J165), $B172 * K165, "")</f>
        <v>-1675.977653631285</v>
      </c>
      <c r="M165" s="31">
        <v>356</v>
      </c>
      <c r="N165" s="32">
        <f t="shared" si="89"/>
        <v>-5.5865921787709499E-3</v>
      </c>
      <c r="O165" s="18">
        <f>IF(ISNUMBER(M165), $B172 * N165, "")</f>
        <v>-837.98882681564248</v>
      </c>
      <c r="Q165" s="156"/>
      <c r="R165" s="156"/>
      <c r="S165" s="156"/>
    </row>
    <row r="166" spans="1:19" ht="17.25" thickBot="1">
      <c r="A166" s="111" t="s">
        <v>120</v>
      </c>
      <c r="B166" s="112">
        <v>137</v>
      </c>
      <c r="C166" s="71">
        <v>-1.43884892E-2</v>
      </c>
      <c r="D166" s="20">
        <v>136</v>
      </c>
      <c r="E166" s="21">
        <f t="shared" si="86"/>
        <v>-7.2992700729927005E-3</v>
      </c>
      <c r="F166" s="22">
        <f>IF(ISNUMBER(D166), $B172 * E166, "")</f>
        <v>-1094.8905109489051</v>
      </c>
      <c r="G166" s="30">
        <v>136</v>
      </c>
      <c r="H166" s="21">
        <f t="shared" si="87"/>
        <v>-7.2992700729927005E-3</v>
      </c>
      <c r="I166" s="95">
        <f>IF(ISNUMBER(G166), $B172 * H166, "")</f>
        <v>-1094.8905109489051</v>
      </c>
      <c r="J166" s="20">
        <v>137</v>
      </c>
      <c r="K166" s="21">
        <f t="shared" si="88"/>
        <v>0</v>
      </c>
      <c r="L166" s="22">
        <f>IF(ISNUMBER(J166), $B172 * K166, "")</f>
        <v>0</v>
      </c>
      <c r="M166" s="30">
        <v>136</v>
      </c>
      <c r="N166" s="21">
        <f t="shared" si="89"/>
        <v>-7.2992700729927005E-3</v>
      </c>
      <c r="O166" s="22">
        <f>IF(ISNUMBER(M166), $B172 * N166, "")</f>
        <v>-1094.8905109489051</v>
      </c>
      <c r="Q166" s="156"/>
      <c r="R166" s="156"/>
      <c r="S166" s="156"/>
    </row>
    <row r="167" spans="1:19" ht="17.25" thickBot="1">
      <c r="A167" s="109" t="s">
        <v>103</v>
      </c>
      <c r="B167" s="113">
        <v>259</v>
      </c>
      <c r="C167" s="73">
        <v>-1.52091255E-2</v>
      </c>
      <c r="D167" s="96">
        <v>256</v>
      </c>
      <c r="E167" s="97">
        <f>IF(ISNUMBER(D167), (D167 - $B167) / $B167, "")</f>
        <v>-1.1583011583011582E-2</v>
      </c>
      <c r="F167" s="98">
        <f>IF(ISNUMBER(D167), $B172 * E167, "")</f>
        <v>-1737.4517374517375</v>
      </c>
      <c r="G167" s="99">
        <v>256</v>
      </c>
      <c r="H167" s="97">
        <f>IF(ISNUMBER(G167), (G167 - $B167) / $B167, "")</f>
        <v>-1.1583011583011582E-2</v>
      </c>
      <c r="I167" s="100">
        <f>IF(ISNUMBER(G167), $B172 * H167, "")</f>
        <v>-1737.4517374517375</v>
      </c>
      <c r="J167" s="96">
        <v>257</v>
      </c>
      <c r="K167" s="97">
        <f>IF(ISNUMBER(J167), (J167 - $B167) / $B167, "")</f>
        <v>-7.7220077220077222E-3</v>
      </c>
      <c r="L167" s="98">
        <f>IF(ISNUMBER(J167), $B172 * K167, "")</f>
        <v>-1158.3011583011582</v>
      </c>
      <c r="M167" s="99">
        <v>256</v>
      </c>
      <c r="N167" s="97">
        <f>IF(ISNUMBER(M167), (M167 - $B167) / $B167, "")</f>
        <v>-1.1583011583011582E-2</v>
      </c>
      <c r="O167" s="98">
        <f>IF(ISNUMBER(M167), $B172 * N167, "")</f>
        <v>-1737.4517374517375</v>
      </c>
      <c r="Q167" s="161"/>
      <c r="R167" s="161"/>
      <c r="S167" s="161"/>
    </row>
    <row r="168" spans="1:19" ht="17.25" thickBot="1">
      <c r="A168" s="109" t="s">
        <v>105</v>
      </c>
      <c r="B168" s="110">
        <v>244</v>
      </c>
      <c r="C168" s="70">
        <v>-1.6129032299999999E-2</v>
      </c>
      <c r="D168" s="15">
        <v>243</v>
      </c>
      <c r="E168" s="32">
        <f t="shared" ref="E168:E171" si="90">IF(ISNUMBER(D168), (D168 - $B168) / $B168, "")</f>
        <v>-4.0983606557377051E-3</v>
      </c>
      <c r="F168" s="18">
        <f>IF(ISNUMBER(D168), $B172 * E168, "")</f>
        <v>-614.7540983606558</v>
      </c>
      <c r="G168" s="31">
        <v>242</v>
      </c>
      <c r="H168" s="32">
        <f t="shared" ref="H168:H171" si="91">IF(ISNUMBER(G168), (G168 - $B168) / $B168, "")</f>
        <v>-8.1967213114754103E-3</v>
      </c>
      <c r="I168" s="91">
        <f>IF(ISNUMBER(G168), $B172 * H168, "")</f>
        <v>-1229.5081967213116</v>
      </c>
      <c r="J168" s="15">
        <v>242</v>
      </c>
      <c r="K168" s="32">
        <f t="shared" ref="K168:K171" si="92">IF(ISNUMBER(J168), (J168 - $B168) / $B168, "")</f>
        <v>-8.1967213114754103E-3</v>
      </c>
      <c r="L168" s="18">
        <f>IF(ISNUMBER(J168), $B172 * K168, "")</f>
        <v>-1229.5081967213116</v>
      </c>
      <c r="M168" s="31">
        <v>242</v>
      </c>
      <c r="N168" s="32">
        <f t="shared" ref="N168:N171" si="93">IF(ISNUMBER(M168), (M168 - $B168) / $B168, "")</f>
        <v>-8.1967213114754103E-3</v>
      </c>
      <c r="O168" s="18">
        <f>IF(ISNUMBER(M168), $B172 * N168, "")</f>
        <v>-1229.5081967213116</v>
      </c>
      <c r="Q168" s="161"/>
      <c r="R168" s="161"/>
      <c r="S168" s="161"/>
    </row>
    <row r="169" spans="1:19" ht="17.25" thickBot="1">
      <c r="A169" s="109" t="s">
        <v>187</v>
      </c>
      <c r="B169" s="110">
        <v>778</v>
      </c>
      <c r="C169" s="70">
        <v>-2.3839397700000001E-2</v>
      </c>
      <c r="D169" s="15">
        <v>923</v>
      </c>
      <c r="E169" s="32">
        <f t="shared" si="90"/>
        <v>0.18637532133676094</v>
      </c>
      <c r="F169" s="18">
        <f>IF(ISNUMBER(D169), $B172 * E169, "")</f>
        <v>27956.298200514142</v>
      </c>
      <c r="G169" s="31">
        <v>938</v>
      </c>
      <c r="H169" s="32">
        <f t="shared" si="91"/>
        <v>0.20565552699228792</v>
      </c>
      <c r="I169" s="91">
        <f>IF(ISNUMBER(G169), $B172 * H169, "")</f>
        <v>30848.329048843189</v>
      </c>
      <c r="J169" s="15">
        <v>918</v>
      </c>
      <c r="K169" s="32">
        <f t="shared" si="92"/>
        <v>0.17994858611825193</v>
      </c>
      <c r="L169" s="18">
        <f>IF(ISNUMBER(J169), $B172 * K169, "")</f>
        <v>26992.287917737791</v>
      </c>
      <c r="M169" s="31">
        <v>898</v>
      </c>
      <c r="N169" s="32">
        <f t="shared" si="93"/>
        <v>0.15424164524421594</v>
      </c>
      <c r="O169" s="18">
        <f>IF(ISNUMBER(M169), $B172 * N169, "")</f>
        <v>23136.24678663239</v>
      </c>
      <c r="Q169" s="161"/>
      <c r="R169" s="161"/>
      <c r="S169" s="161"/>
    </row>
    <row r="170" spans="1:19">
      <c r="A170" s="109" t="s">
        <v>66</v>
      </c>
      <c r="B170" s="110">
        <v>754</v>
      </c>
      <c r="C170" s="70">
        <v>-3.7037037000000002E-2</v>
      </c>
      <c r="D170" s="15">
        <v>755</v>
      </c>
      <c r="E170" s="32">
        <f t="shared" si="90"/>
        <v>1.3262599469496021E-3</v>
      </c>
      <c r="F170" s="18">
        <f>IF(ISNUMBER(D170), $B172 * E170, "")</f>
        <v>198.9389920424403</v>
      </c>
      <c r="G170" s="31">
        <v>758</v>
      </c>
      <c r="H170" s="32">
        <f t="shared" si="91"/>
        <v>5.3050397877984082E-3</v>
      </c>
      <c r="I170" s="91">
        <f>IF(ISNUMBER(G170), $B172 * H170, "")</f>
        <v>795.75596816976122</v>
      </c>
      <c r="J170" s="15">
        <v>758</v>
      </c>
      <c r="K170" s="32">
        <f t="shared" si="92"/>
        <v>5.3050397877984082E-3</v>
      </c>
      <c r="L170" s="18">
        <f>IF(ISNUMBER(J170), $B172 * K170, "")</f>
        <v>795.75596816976122</v>
      </c>
      <c r="M170" s="31">
        <v>754</v>
      </c>
      <c r="N170" s="32">
        <f t="shared" si="93"/>
        <v>0</v>
      </c>
      <c r="O170" s="18">
        <f>IF(ISNUMBER(M170), $B172 * N170, "")</f>
        <v>0</v>
      </c>
      <c r="Q170" s="183"/>
      <c r="R170" s="184"/>
      <c r="S170" s="185"/>
    </row>
    <row r="171" spans="1:19" ht="17.25" thickBot="1">
      <c r="A171" s="114" t="s">
        <v>349</v>
      </c>
      <c r="B171" s="115">
        <v>877</v>
      </c>
      <c r="C171" s="72">
        <v>-6.4034151499999997E-2</v>
      </c>
      <c r="D171" s="24">
        <v>878</v>
      </c>
      <c r="E171" s="25">
        <f t="shared" si="90"/>
        <v>1.1402508551881414E-3</v>
      </c>
      <c r="F171" s="94">
        <f>IF(ISNUMBER(D171), $B172 * E171, "")</f>
        <v>171.03762827822121</v>
      </c>
      <c r="G171" s="92">
        <v>852</v>
      </c>
      <c r="H171" s="25">
        <f t="shared" si="91"/>
        <v>-2.8506271379703536E-2</v>
      </c>
      <c r="I171" s="93">
        <f>IF(ISNUMBER(G171), $B172 * H171, "")</f>
        <v>-4275.94070695553</v>
      </c>
      <c r="J171" s="24">
        <v>848</v>
      </c>
      <c r="K171" s="25">
        <f t="shared" si="92"/>
        <v>-3.3067274800456098E-2</v>
      </c>
      <c r="L171" s="94">
        <f>IF(ISNUMBER(J171), $B172 * K171, "")</f>
        <v>-4960.0912200684143</v>
      </c>
      <c r="M171" s="92">
        <v>848</v>
      </c>
      <c r="N171" s="25">
        <f t="shared" si="93"/>
        <v>-3.3067274800456098E-2</v>
      </c>
      <c r="O171" s="94">
        <f>IF(ISNUMBER(M171), $B172 * N171, "")</f>
        <v>-4960.0912200684143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3.1319432888299941E-3</v>
      </c>
      <c r="F172" s="28">
        <f>SUM(F152:F171)</f>
        <v>9395.8298664899867</v>
      </c>
      <c r="G172" s="26" t="s">
        <v>261</v>
      </c>
      <c r="H172" s="27">
        <f>IF(COUNT(H152:H171), SUM(H152:H171) / COUNT(H152:H171), 0)</f>
        <v>2.6615322728461995E-3</v>
      </c>
      <c r="I172" s="28">
        <f>SUM(I152:I171)</f>
        <v>7984.5968185385946</v>
      </c>
      <c r="J172" s="26" t="s">
        <v>261</v>
      </c>
      <c r="K172" s="27">
        <f>IF(COUNT(K152:K171), SUM(K152:K171) / COUNT(K152:K171), 0)</f>
        <v>1.4471883740268658E-3</v>
      </c>
      <c r="L172" s="28">
        <f>SUM(L152:L171)</f>
        <v>4341.5651220805958</v>
      </c>
      <c r="M172" s="26" t="s">
        <v>261</v>
      </c>
      <c r="N172" s="27">
        <f>IF(COUNT(N152:N171), SUM(N152:N171) / COUNT(N152:N171), 0)</f>
        <v>-1.8847019584843458E-3</v>
      </c>
      <c r="O172" s="28">
        <f>SUM(O152:O171)</f>
        <v>-5654.105875453035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2022-12-06(화) 오전 00:00</v>
      </c>
      <c r="C177" s="199"/>
      <c r="D177" s="158" t="str">
        <f>TEXT($G$1, "[$-ko-KR]yyyy-mm-dd(ddd) ") &amp; "오후 14:00"</f>
        <v>2022-12-06(화) 오후 14:00</v>
      </c>
      <c r="E177" s="159"/>
      <c r="F177" s="160"/>
      <c r="G177" s="158" t="str">
        <f>TEXT($G$1, "[$-ko-KR]yyyy-mm-dd(ddd) ") &amp; "오후 19:00"</f>
        <v>2022-12-06(화) 오후 19:00</v>
      </c>
      <c r="H177" s="159"/>
      <c r="I177" s="160"/>
      <c r="J177" s="158" t="str">
        <f>TEXT($G$1, "[$-ko-KR]yyyy-mm-dd(ddd) ") &amp; "오후 21:00"</f>
        <v>2022-12-06(화) 오후 21:00</v>
      </c>
      <c r="K177" s="159"/>
      <c r="L177" s="160"/>
      <c r="M177" s="158" t="str">
        <f>TEXT($G$1+1, "[$-ko-KR]yyyy-mm-dd(ddd) ") &amp; "오전 00:00"</f>
        <v>2022-12-07(수)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242</v>
      </c>
      <c r="B179" s="108">
        <v>467</v>
      </c>
      <c r="C179" s="69">
        <v>-1.2684989400000001E-2</v>
      </c>
      <c r="D179" s="13">
        <v>465</v>
      </c>
      <c r="E179" s="14">
        <f>IF(ISNUMBER(D179), (D179 - $B179) / $B179, "")</f>
        <v>-4.2826552462526769E-3</v>
      </c>
      <c r="F179" s="16">
        <f>IF(ISNUMBER(D179), $B199 * E179, "")</f>
        <v>-642.3982869379015</v>
      </c>
      <c r="G179" s="29">
        <v>465</v>
      </c>
      <c r="H179" s="14">
        <f>IF(ISNUMBER(G179), (G179 - $B179) / $B179, "")</f>
        <v>-4.2826552462526769E-3</v>
      </c>
      <c r="I179" s="90">
        <f>IF(ISNUMBER(G179), $B199 * H179, "")</f>
        <v>-642.3982869379015</v>
      </c>
      <c r="J179" s="13">
        <v>466</v>
      </c>
      <c r="K179" s="14">
        <f>IF(ISNUMBER(J179), (J179 - $B179) / $B179, "")</f>
        <v>-2.1413276231263384E-3</v>
      </c>
      <c r="L179" s="16">
        <f>IF(ISNUMBER(J179), $B199 * K179, "")</f>
        <v>-321.19914346895075</v>
      </c>
      <c r="M179" s="29">
        <v>467</v>
      </c>
      <c r="N179" s="14">
        <f>IF(ISNUMBER(M179), (M179 - $B179) / $B179, "")</f>
        <v>0</v>
      </c>
      <c r="O179" s="16">
        <f>IF(ISNUMBER(M179), $B199 * N179, "")</f>
        <v>0</v>
      </c>
      <c r="Q179" s="156"/>
      <c r="R179" s="156"/>
      <c r="S179" s="156"/>
    </row>
    <row r="180" spans="1:19" ht="17.25" thickBot="1">
      <c r="A180" s="109" t="s">
        <v>214</v>
      </c>
      <c r="B180" s="110">
        <v>1135</v>
      </c>
      <c r="C180" s="70">
        <v>-1.30434783E-2</v>
      </c>
      <c r="D180" s="15">
        <v>1120</v>
      </c>
      <c r="E180" s="32">
        <f t="shared" ref="E180:E183" si="94">IF(ISNUMBER(D180), (D180 - $B180) / $B180, "")</f>
        <v>-1.3215859030837005E-2</v>
      </c>
      <c r="F180" s="18">
        <f>IF(ISNUMBER(D180), $B199 * E180, "")</f>
        <v>-1982.3788546255507</v>
      </c>
      <c r="G180" s="31">
        <v>1120</v>
      </c>
      <c r="H180" s="32">
        <f t="shared" ref="H180:H183" si="95">IF(ISNUMBER(G180), (G180 - $B180) / $B180, "")</f>
        <v>-1.3215859030837005E-2</v>
      </c>
      <c r="I180" s="91">
        <f>IF(ISNUMBER(G180), $B199 * H180, "")</f>
        <v>-1982.3788546255507</v>
      </c>
      <c r="J180" s="15">
        <v>1120</v>
      </c>
      <c r="K180" s="32">
        <f t="shared" ref="K180:K183" si="96">IF(ISNUMBER(J180), (J180 - $B180) / $B180, "")</f>
        <v>-1.3215859030837005E-2</v>
      </c>
      <c r="L180" s="18">
        <f>IF(ISNUMBER(J180), $B199 * K180, "")</f>
        <v>-1982.3788546255507</v>
      </c>
      <c r="M180" s="31">
        <v>1110</v>
      </c>
      <c r="N180" s="32">
        <f t="shared" ref="N180:N183" si="97">IF(ISNUMBER(M180), (M180 - $B180) / $B180, "")</f>
        <v>-2.2026431718061675E-2</v>
      </c>
      <c r="O180" s="18">
        <f>IF(ISNUMBER(M180), $B199 * N180, "")</f>
        <v>-3303.9647577092514</v>
      </c>
      <c r="Q180" s="156"/>
      <c r="R180" s="156"/>
      <c r="S180" s="156"/>
    </row>
    <row r="181" spans="1:19" ht="17.25" thickBot="1">
      <c r="A181" s="109" t="s">
        <v>232</v>
      </c>
      <c r="B181" s="110">
        <v>298</v>
      </c>
      <c r="C181" s="70">
        <v>-1.3245033099999999E-2</v>
      </c>
      <c r="D181" s="15">
        <v>298</v>
      </c>
      <c r="E181" s="32">
        <f t="shared" si="94"/>
        <v>0</v>
      </c>
      <c r="F181" s="18">
        <f>IF(ISNUMBER(D181), $B199 * E181, "")</f>
        <v>0</v>
      </c>
      <c r="G181" s="31">
        <v>300</v>
      </c>
      <c r="H181" s="32">
        <f t="shared" si="95"/>
        <v>6.7114093959731542E-3</v>
      </c>
      <c r="I181" s="91">
        <f>IF(ISNUMBER(G181), $B199 * H181, "")</f>
        <v>1006.7114093959731</v>
      </c>
      <c r="J181" s="15">
        <v>302</v>
      </c>
      <c r="K181" s="32">
        <f t="shared" si="96"/>
        <v>1.3422818791946308E-2</v>
      </c>
      <c r="L181" s="18">
        <f>IF(ISNUMBER(J181), $B199 * K181, "")</f>
        <v>2013.4228187919462</v>
      </c>
      <c r="M181" s="31">
        <v>301</v>
      </c>
      <c r="N181" s="32">
        <f t="shared" si="97"/>
        <v>1.0067114093959731E-2</v>
      </c>
      <c r="O181" s="18">
        <f>IF(ISNUMBER(M181), $B199 * N181, "")</f>
        <v>1510.0671140939596</v>
      </c>
      <c r="Q181" s="161"/>
      <c r="R181" s="161"/>
      <c r="S181" s="161"/>
    </row>
    <row r="182" spans="1:19" ht="17.25" thickBot="1">
      <c r="A182" s="109" t="s">
        <v>234</v>
      </c>
      <c r="B182" s="110">
        <v>372</v>
      </c>
      <c r="C182" s="70">
        <v>-1.32625995E-2</v>
      </c>
      <c r="D182" s="15">
        <v>372</v>
      </c>
      <c r="E182" s="32">
        <f t="shared" si="94"/>
        <v>0</v>
      </c>
      <c r="F182" s="18">
        <f>IF(ISNUMBER(D182), $B199 * E182, "")</f>
        <v>0</v>
      </c>
      <c r="G182" s="31">
        <v>371</v>
      </c>
      <c r="H182" s="32">
        <f t="shared" si="95"/>
        <v>-2.6881720430107529E-3</v>
      </c>
      <c r="I182" s="91">
        <f>IF(ISNUMBER(G182), $B199 * H182, "")</f>
        <v>-403.22580645161293</v>
      </c>
      <c r="J182" s="15">
        <v>371</v>
      </c>
      <c r="K182" s="32">
        <f t="shared" si="96"/>
        <v>-2.6881720430107529E-3</v>
      </c>
      <c r="L182" s="18">
        <f>IF(ISNUMBER(J182), $B199 * K182, "")</f>
        <v>-403.22580645161293</v>
      </c>
      <c r="M182" s="31">
        <v>373</v>
      </c>
      <c r="N182" s="32">
        <f t="shared" si="97"/>
        <v>2.6881720430107529E-3</v>
      </c>
      <c r="O182" s="18">
        <f>IF(ISNUMBER(M182), $B199 * N182, "")</f>
        <v>403.22580645161293</v>
      </c>
      <c r="Q182" s="161"/>
      <c r="R182" s="161"/>
      <c r="S182" s="161"/>
    </row>
    <row r="183" spans="1:19" ht="17.25" thickBot="1">
      <c r="A183" s="111" t="s">
        <v>218</v>
      </c>
      <c r="B183" s="112">
        <v>358</v>
      </c>
      <c r="C183" s="71">
        <v>-1.3774104699999999E-2</v>
      </c>
      <c r="D183" s="20">
        <v>354</v>
      </c>
      <c r="E183" s="21">
        <f t="shared" si="94"/>
        <v>-1.11731843575419E-2</v>
      </c>
      <c r="F183" s="22">
        <f>IF(ISNUMBER(D183), $B199 * E183, "")</f>
        <v>-1675.977653631285</v>
      </c>
      <c r="G183" s="30">
        <v>355</v>
      </c>
      <c r="H183" s="21">
        <f t="shared" si="95"/>
        <v>-8.3798882681564244E-3</v>
      </c>
      <c r="I183" s="95">
        <f>IF(ISNUMBER(G183), $B199 * H183, "")</f>
        <v>-1256.9832402234636</v>
      </c>
      <c r="J183" s="20">
        <v>354</v>
      </c>
      <c r="K183" s="21">
        <f t="shared" si="96"/>
        <v>-1.11731843575419E-2</v>
      </c>
      <c r="L183" s="22">
        <f>IF(ISNUMBER(J183), $B199 * K183, "")</f>
        <v>-1675.977653631285</v>
      </c>
      <c r="M183" s="30">
        <v>356</v>
      </c>
      <c r="N183" s="21">
        <f t="shared" si="97"/>
        <v>-5.5865921787709499E-3</v>
      </c>
      <c r="O183" s="22">
        <f>IF(ISNUMBER(M183), $B199 * N183, "")</f>
        <v>-837.98882681564248</v>
      </c>
      <c r="Q183" s="161"/>
      <c r="R183" s="161"/>
      <c r="S183" s="161"/>
    </row>
    <row r="184" spans="1:19" ht="17.25" thickBot="1">
      <c r="A184" s="109" t="s">
        <v>120</v>
      </c>
      <c r="B184" s="113">
        <v>137</v>
      </c>
      <c r="C184" s="73">
        <v>-1.43884892E-2</v>
      </c>
      <c r="D184" s="96">
        <v>136</v>
      </c>
      <c r="E184" s="97">
        <f>IF(ISNUMBER(D184), (D184 - $B184) / $B184, "")</f>
        <v>-7.2992700729927005E-3</v>
      </c>
      <c r="F184" s="98">
        <f>IF(ISNUMBER(D184), $B199 * E184, "")</f>
        <v>-1094.8905109489051</v>
      </c>
      <c r="G184" s="99">
        <v>136</v>
      </c>
      <c r="H184" s="97">
        <f>IF(ISNUMBER(G184), (G184 - $B184) / $B184, "")</f>
        <v>-7.2992700729927005E-3</v>
      </c>
      <c r="I184" s="100">
        <f>IF(ISNUMBER(G184), $B199 * H184, "")</f>
        <v>-1094.8905109489051</v>
      </c>
      <c r="J184" s="96">
        <v>137</v>
      </c>
      <c r="K184" s="97">
        <f>IF(ISNUMBER(J184), (J184 - $B184) / $B184, "")</f>
        <v>0</v>
      </c>
      <c r="L184" s="98">
        <f>IF(ISNUMBER(J184), $B199 * K184, "")</f>
        <v>0</v>
      </c>
      <c r="M184" s="99">
        <v>136</v>
      </c>
      <c r="N184" s="97">
        <f>IF(ISNUMBER(M184), (M184 - $B184) / $B184, "")</f>
        <v>-7.2992700729927005E-3</v>
      </c>
      <c r="O184" s="98">
        <f>IF(ISNUMBER(M184), $B199 * N184, "")</f>
        <v>-1094.8905109489051</v>
      </c>
      <c r="Q184" s="161"/>
      <c r="R184" s="161"/>
      <c r="S184" s="161"/>
    </row>
    <row r="185" spans="1:19" ht="17.25" thickBot="1">
      <c r="A185" s="109" t="s">
        <v>103</v>
      </c>
      <c r="B185" s="110">
        <v>259</v>
      </c>
      <c r="C185" s="70">
        <v>-1.52091255E-2</v>
      </c>
      <c r="D185" s="15">
        <v>256</v>
      </c>
      <c r="E185" s="32">
        <f t="shared" ref="E185:E188" si="98">IF(ISNUMBER(D185), (D185 - $B185) / $B185, "")</f>
        <v>-1.1583011583011582E-2</v>
      </c>
      <c r="F185" s="18">
        <f>IF(ISNUMBER(D185), $B199 * E185, "")</f>
        <v>-1737.4517374517375</v>
      </c>
      <c r="G185" s="31">
        <v>256</v>
      </c>
      <c r="H185" s="32">
        <f t="shared" ref="H185:H188" si="99">IF(ISNUMBER(G185), (G185 - $B185) / $B185, "")</f>
        <v>-1.1583011583011582E-2</v>
      </c>
      <c r="I185" s="91">
        <f>IF(ISNUMBER(G185), $B199 * H185, "")</f>
        <v>-1737.4517374517375</v>
      </c>
      <c r="J185" s="15">
        <v>257</v>
      </c>
      <c r="K185" s="32">
        <f t="shared" ref="K185:K188" si="100">IF(ISNUMBER(J185), (J185 - $B185) / $B185, "")</f>
        <v>-7.7220077220077222E-3</v>
      </c>
      <c r="L185" s="18">
        <f>IF(ISNUMBER(J185), $B199 * K185, "")</f>
        <v>-1158.3011583011582</v>
      </c>
      <c r="M185" s="31">
        <v>256</v>
      </c>
      <c r="N185" s="32">
        <f t="shared" ref="N185:N188" si="101">IF(ISNUMBER(M185), (M185 - $B185) / $B185, "")</f>
        <v>-1.1583011583011582E-2</v>
      </c>
      <c r="O185" s="18">
        <f>IF(ISNUMBER(M185), $B199 * N185, "")</f>
        <v>-1737.4517374517375</v>
      </c>
      <c r="Q185" s="161"/>
      <c r="R185" s="161"/>
      <c r="S185" s="161"/>
    </row>
    <row r="186" spans="1:19" ht="17.25" thickBot="1">
      <c r="A186" s="109" t="s">
        <v>105</v>
      </c>
      <c r="B186" s="110">
        <v>244</v>
      </c>
      <c r="C186" s="70">
        <v>-1.6129032299999999E-2</v>
      </c>
      <c r="D186" s="15">
        <v>243</v>
      </c>
      <c r="E186" s="32">
        <f t="shared" si="98"/>
        <v>-4.0983606557377051E-3</v>
      </c>
      <c r="F186" s="18">
        <f>IF(ISNUMBER(D186), $B199 * E186, "")</f>
        <v>-614.7540983606558</v>
      </c>
      <c r="G186" s="31">
        <v>242</v>
      </c>
      <c r="H186" s="32">
        <f t="shared" si="99"/>
        <v>-8.1967213114754103E-3</v>
      </c>
      <c r="I186" s="91">
        <f>IF(ISNUMBER(G186), $B199 * H186, "")</f>
        <v>-1229.5081967213116</v>
      </c>
      <c r="J186" s="15">
        <v>242</v>
      </c>
      <c r="K186" s="32">
        <f t="shared" si="100"/>
        <v>-8.1967213114754103E-3</v>
      </c>
      <c r="L186" s="18">
        <f>IF(ISNUMBER(J186), $B199 * K186, "")</f>
        <v>-1229.5081967213116</v>
      </c>
      <c r="M186" s="31">
        <v>242</v>
      </c>
      <c r="N186" s="32">
        <f t="shared" si="101"/>
        <v>-8.1967213114754103E-3</v>
      </c>
      <c r="O186" s="18">
        <f>IF(ISNUMBER(M186), $B199 * N186, "")</f>
        <v>-1229.5081967213116</v>
      </c>
      <c r="Q186" s="161"/>
      <c r="R186" s="161"/>
      <c r="S186" s="161"/>
    </row>
    <row r="187" spans="1:19" ht="17.25" thickBot="1">
      <c r="A187" s="109" t="s">
        <v>224</v>
      </c>
      <c r="B187" s="110">
        <v>21.9</v>
      </c>
      <c r="C187" s="70">
        <v>-1.79372197E-2</v>
      </c>
      <c r="D187" s="15">
        <v>21.7</v>
      </c>
      <c r="E187" s="32">
        <f t="shared" si="98"/>
        <v>-9.1324200913241692E-3</v>
      </c>
      <c r="F187" s="18">
        <f>IF(ISNUMBER(D187), $B199 * E187, "")</f>
        <v>-1369.8630136986253</v>
      </c>
      <c r="G187" s="31">
        <v>21.7</v>
      </c>
      <c r="H187" s="32">
        <f t="shared" si="99"/>
        <v>-9.1324200913241692E-3</v>
      </c>
      <c r="I187" s="91">
        <f>IF(ISNUMBER(G187), $B199 * H187, "")</f>
        <v>-1369.8630136986253</v>
      </c>
      <c r="J187" s="15">
        <v>21.6</v>
      </c>
      <c r="K187" s="32">
        <f t="shared" si="100"/>
        <v>-1.3698630136986172E-2</v>
      </c>
      <c r="L187" s="18">
        <f>IF(ISNUMBER(J187), $B199 * K187, "")</f>
        <v>-2054.7945205479259</v>
      </c>
      <c r="M187" s="31">
        <v>21.5</v>
      </c>
      <c r="N187" s="32">
        <f t="shared" si="101"/>
        <v>-1.8264840182648338E-2</v>
      </c>
      <c r="O187" s="18">
        <f>IF(ISNUMBER(M187), $B199 * N187, "")</f>
        <v>-2739.7260273972506</v>
      </c>
      <c r="Q187" s="33"/>
      <c r="R187" s="33"/>
    </row>
    <row r="188" spans="1:19" ht="17.25" thickBot="1">
      <c r="A188" s="114" t="s">
        <v>118</v>
      </c>
      <c r="B188" s="115">
        <v>7.01</v>
      </c>
      <c r="C188" s="72">
        <v>-1.82072829E-2</v>
      </c>
      <c r="D188" s="24">
        <v>6.91</v>
      </c>
      <c r="E188" s="25">
        <f t="shared" si="98"/>
        <v>-1.4265335235377982E-2</v>
      </c>
      <c r="F188" s="94">
        <f>IF(ISNUMBER(D188), $B199 * E188, "")</f>
        <v>-2139.8002853066973</v>
      </c>
      <c r="G188" s="92">
        <v>6.9</v>
      </c>
      <c r="H188" s="25">
        <f t="shared" si="99"/>
        <v>-1.5691868758915754E-2</v>
      </c>
      <c r="I188" s="93">
        <f>IF(ISNUMBER(G188), $B199 * H188, "")</f>
        <v>-2353.7803138373633</v>
      </c>
      <c r="J188" s="24">
        <v>6.91</v>
      </c>
      <c r="K188" s="25">
        <f t="shared" si="100"/>
        <v>-1.4265335235377982E-2</v>
      </c>
      <c r="L188" s="94">
        <f>IF(ISNUMBER(J188), $B199 * K188, "")</f>
        <v>-2139.8002853066973</v>
      </c>
      <c r="M188" s="92">
        <v>6.89</v>
      </c>
      <c r="N188" s="25">
        <f t="shared" si="101"/>
        <v>-1.7118402282453652E-2</v>
      </c>
      <c r="O188" s="94">
        <f>IF(ISNUMBER(M188), $B199 * N188, "")</f>
        <v>-2567.760342368048</v>
      </c>
      <c r="Q188" s="170"/>
      <c r="R188" s="171"/>
      <c r="S188" s="172"/>
    </row>
    <row r="189" spans="1:19">
      <c r="A189" s="107" t="s">
        <v>187</v>
      </c>
      <c r="B189" s="108">
        <v>778</v>
      </c>
      <c r="C189" s="69">
        <v>-2.3839397700000001E-2</v>
      </c>
      <c r="D189" s="13">
        <v>923</v>
      </c>
      <c r="E189" s="14">
        <f>IF(ISNUMBER(D189), (D189 - $B189) / $B189, "")</f>
        <v>0.18637532133676094</v>
      </c>
      <c r="F189" s="16">
        <f>IF(ISNUMBER(D189), $B199 * E189, "")</f>
        <v>27956.298200514142</v>
      </c>
      <c r="G189" s="29">
        <v>938</v>
      </c>
      <c r="H189" s="14">
        <f>IF(ISNUMBER(G189), (G189 - $B189) / $B189, "")</f>
        <v>0.20565552699228792</v>
      </c>
      <c r="I189" s="90">
        <f>IF(ISNUMBER(G189), $B199 * H189, "")</f>
        <v>30848.329048843189</v>
      </c>
      <c r="J189" s="13">
        <v>918</v>
      </c>
      <c r="K189" s="14">
        <f>IF(ISNUMBER(J189), (J189 - $B189) / $B189, "")</f>
        <v>0.17994858611825193</v>
      </c>
      <c r="L189" s="16">
        <f>IF(ISNUMBER(J189), $B199 * K189, "")</f>
        <v>26992.287917737791</v>
      </c>
      <c r="M189" s="29">
        <v>898</v>
      </c>
      <c r="N189" s="14">
        <f>IF(ISNUMBER(M189), (M189 - $B189) / $B189, "")</f>
        <v>0.15424164524421594</v>
      </c>
      <c r="O189" s="16">
        <f>IF(ISNUMBER(M189), $B199 * N189, "")</f>
        <v>23136.24678663239</v>
      </c>
      <c r="Q189" s="173"/>
      <c r="R189" s="174"/>
      <c r="S189" s="175"/>
    </row>
    <row r="190" spans="1:19" ht="17.25" thickBot="1">
      <c r="A190" s="109" t="s">
        <v>228</v>
      </c>
      <c r="B190" s="110">
        <v>65.5</v>
      </c>
      <c r="C190" s="70">
        <v>-2.3845007500000001E-2</v>
      </c>
      <c r="D190" s="15">
        <v>65.2</v>
      </c>
      <c r="E190" s="32">
        <f t="shared" ref="E190:E193" si="102">IF(ISNUMBER(D190), (D190 - $B190) / $B190, "")</f>
        <v>-4.580152671755682E-3</v>
      </c>
      <c r="F190" s="18">
        <f>IF(ISNUMBER(D190), $B199 * E190, "")</f>
        <v>-687.02290076335225</v>
      </c>
      <c r="G190" s="31">
        <v>65.2</v>
      </c>
      <c r="H190" s="32">
        <f t="shared" ref="H190:H193" si="103">IF(ISNUMBER(G190), (G190 - $B190) / $B190, "")</f>
        <v>-4.580152671755682E-3</v>
      </c>
      <c r="I190" s="91">
        <f>IF(ISNUMBER(G190), $B199 * H190, "")</f>
        <v>-687.02290076335225</v>
      </c>
      <c r="J190" s="15">
        <v>65.2</v>
      </c>
      <c r="K190" s="32">
        <f t="shared" ref="K190:K193" si="104">IF(ISNUMBER(J190), (J190 - $B190) / $B190, "")</f>
        <v>-4.580152671755682E-3</v>
      </c>
      <c r="L190" s="18">
        <f>IF(ISNUMBER(J190), $B199 * K190, "")</f>
        <v>-687.02290076335225</v>
      </c>
      <c r="M190" s="31">
        <v>65.3</v>
      </c>
      <c r="N190" s="32">
        <f t="shared" ref="N190:N193" si="105">IF(ISNUMBER(M190), (M190 - $B190) / $B190, "")</f>
        <v>-3.0534351145038601E-3</v>
      </c>
      <c r="O190" s="18">
        <f>IF(ISNUMBER(M190), $B199 * N190, "")</f>
        <v>-458.01526717557903</v>
      </c>
      <c r="Q190" s="176"/>
      <c r="R190" s="177"/>
      <c r="S190" s="178"/>
    </row>
    <row r="191" spans="1:19" ht="17.25" thickBot="1">
      <c r="A191" s="109" t="s">
        <v>113</v>
      </c>
      <c r="B191" s="110">
        <v>1390</v>
      </c>
      <c r="C191" s="70">
        <v>-2.7972027999999999E-2</v>
      </c>
      <c r="D191" s="15">
        <v>1370</v>
      </c>
      <c r="E191" s="32">
        <f t="shared" si="102"/>
        <v>-1.4388489208633094E-2</v>
      </c>
      <c r="F191" s="18">
        <f>IF(ISNUMBER(D191), $B199 * E191, "")</f>
        <v>-2158.2733812949641</v>
      </c>
      <c r="G191" s="31">
        <v>1355</v>
      </c>
      <c r="H191" s="32">
        <f t="shared" si="103"/>
        <v>-2.5179856115107913E-2</v>
      </c>
      <c r="I191" s="91">
        <f>IF(ISNUMBER(G191), $B199 * H191, "")</f>
        <v>-3776.9784172661871</v>
      </c>
      <c r="J191" s="15">
        <v>1345</v>
      </c>
      <c r="K191" s="32">
        <f t="shared" si="104"/>
        <v>-3.237410071942446E-2</v>
      </c>
      <c r="L191" s="18">
        <f>IF(ISNUMBER(J191), $B199 * K191, "")</f>
        <v>-4856.1151079136689</v>
      </c>
      <c r="M191" s="31">
        <v>1345</v>
      </c>
      <c r="N191" s="32">
        <f t="shared" si="105"/>
        <v>-3.237410071942446E-2</v>
      </c>
      <c r="O191" s="18">
        <f>IF(ISNUMBER(M191), $B199 * N191, "")</f>
        <v>-4856.1151079136689</v>
      </c>
      <c r="Q191" s="161"/>
      <c r="R191" s="161"/>
      <c r="S191" s="161"/>
    </row>
    <row r="192" spans="1:19" ht="17.25" thickBot="1">
      <c r="A192" s="109" t="s">
        <v>163</v>
      </c>
      <c r="B192" s="110">
        <v>7635</v>
      </c>
      <c r="C192" s="70">
        <v>-3.3544303800000001E-2</v>
      </c>
      <c r="D192" s="15">
        <v>7500</v>
      </c>
      <c r="E192" s="32">
        <f t="shared" si="102"/>
        <v>-1.768172888015717E-2</v>
      </c>
      <c r="F192" s="18">
        <f>IF(ISNUMBER(D192), $B199 * E192, "")</f>
        <v>-2652.2593320235756</v>
      </c>
      <c r="G192" s="31">
        <v>7520</v>
      </c>
      <c r="H192" s="32">
        <f t="shared" si="103"/>
        <v>-1.5062213490504257E-2</v>
      </c>
      <c r="I192" s="91">
        <f>IF(ISNUMBER(G192), $B199 * H192, "")</f>
        <v>-2259.3320235756387</v>
      </c>
      <c r="J192" s="15">
        <v>7505</v>
      </c>
      <c r="K192" s="32">
        <f t="shared" si="104"/>
        <v>-1.7026850032743943E-2</v>
      </c>
      <c r="L192" s="18">
        <f>IF(ISNUMBER(J192), $B199 * K192, "")</f>
        <v>-2554.0275049115912</v>
      </c>
      <c r="M192" s="31">
        <v>7505</v>
      </c>
      <c r="N192" s="32">
        <f t="shared" si="105"/>
        <v>-1.7026850032743943E-2</v>
      </c>
      <c r="O192" s="18">
        <f>IF(ISNUMBER(M192), $B199 * N192, "")</f>
        <v>-2554.0275049115912</v>
      </c>
      <c r="Q192" s="156"/>
      <c r="R192" s="156"/>
      <c r="S192" s="156"/>
    </row>
    <row r="193" spans="1:19" ht="17.25" thickBot="1">
      <c r="A193" s="111" t="s">
        <v>66</v>
      </c>
      <c r="B193" s="112">
        <v>754</v>
      </c>
      <c r="C193" s="71">
        <v>-3.7037037000000002E-2</v>
      </c>
      <c r="D193" s="20">
        <v>755</v>
      </c>
      <c r="E193" s="21">
        <f t="shared" si="102"/>
        <v>1.3262599469496021E-3</v>
      </c>
      <c r="F193" s="22">
        <f>IF(ISNUMBER(D193), $B199 * E193, "")</f>
        <v>198.9389920424403</v>
      </c>
      <c r="G193" s="30">
        <v>758</v>
      </c>
      <c r="H193" s="21">
        <f t="shared" si="103"/>
        <v>5.3050397877984082E-3</v>
      </c>
      <c r="I193" s="95">
        <f>IF(ISNUMBER(G193), $B199 * H193, "")</f>
        <v>795.75596816976122</v>
      </c>
      <c r="J193" s="20">
        <v>758</v>
      </c>
      <c r="K193" s="21">
        <f t="shared" si="104"/>
        <v>5.3050397877984082E-3</v>
      </c>
      <c r="L193" s="22">
        <f>IF(ISNUMBER(J193), $B199 * K193, "")</f>
        <v>795.75596816976122</v>
      </c>
      <c r="M193" s="30">
        <v>754</v>
      </c>
      <c r="N193" s="21">
        <f t="shared" si="105"/>
        <v>0</v>
      </c>
      <c r="O193" s="22">
        <f>IF(ISNUMBER(M193), $B199 * N193, "")</f>
        <v>0</v>
      </c>
      <c r="Q193" s="156"/>
      <c r="R193" s="156"/>
      <c r="S193" s="156"/>
    </row>
    <row r="194" spans="1:19" ht="17.25" thickBot="1">
      <c r="A194" s="109" t="s">
        <v>107</v>
      </c>
      <c r="B194" s="113">
        <v>43.2</v>
      </c>
      <c r="C194" s="73">
        <v>-4.6357615900000003E-2</v>
      </c>
      <c r="D194" s="96">
        <v>42.7</v>
      </c>
      <c r="E194" s="97">
        <f>IF(ISNUMBER(D194), (D194 - $B194) / $B194, "")</f>
        <v>-1.1574074074074073E-2</v>
      </c>
      <c r="F194" s="98">
        <f>IF(ISNUMBER(D194), $B199 * E194, "")</f>
        <v>-1736.1111111111111</v>
      </c>
      <c r="G194" s="99">
        <v>42.8</v>
      </c>
      <c r="H194" s="97">
        <f>IF(ISNUMBER(G194), (G194 - $B194) / $B194, "")</f>
        <v>-9.2592592592593906E-3</v>
      </c>
      <c r="I194" s="100">
        <f>IF(ISNUMBER(G194), $B199 * H194, "")</f>
        <v>-1388.8888888889087</v>
      </c>
      <c r="J194" s="96">
        <v>42.7</v>
      </c>
      <c r="K194" s="97">
        <f>IF(ISNUMBER(J194), (J194 - $B194) / $B194, "")</f>
        <v>-1.1574074074074073E-2</v>
      </c>
      <c r="L194" s="98">
        <f>IF(ISNUMBER(J194), $B199 * K194, "")</f>
        <v>-1736.1111111111111</v>
      </c>
      <c r="M194" s="99">
        <v>42.7</v>
      </c>
      <c r="N194" s="97">
        <f>IF(ISNUMBER(M194), (M194 - $B194) / $B194, "")</f>
        <v>-1.1574074074074073E-2</v>
      </c>
      <c r="O194" s="98">
        <f>IF(ISNUMBER(M194), $B199 * N194, "")</f>
        <v>-1736.1111111111111</v>
      </c>
      <c r="Q194" s="161"/>
      <c r="R194" s="161"/>
      <c r="S194" s="161"/>
    </row>
    <row r="195" spans="1:19" ht="17.25" thickBot="1">
      <c r="A195" s="109" t="s">
        <v>349</v>
      </c>
      <c r="B195" s="110">
        <v>877</v>
      </c>
      <c r="C195" s="70">
        <v>-6.4034151499999997E-2</v>
      </c>
      <c r="D195" s="15">
        <v>878</v>
      </c>
      <c r="E195" s="32">
        <f t="shared" ref="E195:E198" si="106">IF(ISNUMBER(D195), (D195 - $B195) / $B195, "")</f>
        <v>1.1402508551881414E-3</v>
      </c>
      <c r="F195" s="18">
        <f>IF(ISNUMBER(D195), $B199 * E195, "")</f>
        <v>171.03762827822121</v>
      </c>
      <c r="G195" s="31">
        <v>852</v>
      </c>
      <c r="H195" s="32">
        <f t="shared" ref="H195:H198" si="107">IF(ISNUMBER(G195), (G195 - $B195) / $B195, "")</f>
        <v>-2.8506271379703536E-2</v>
      </c>
      <c r="I195" s="91">
        <f>IF(ISNUMBER(G195), $B199 * H195, "")</f>
        <v>-4275.94070695553</v>
      </c>
      <c r="J195" s="15">
        <v>848</v>
      </c>
      <c r="K195" s="32">
        <f t="shared" ref="K195:K198" si="108">IF(ISNUMBER(J195), (J195 - $B195) / $B195, "")</f>
        <v>-3.3067274800456098E-2</v>
      </c>
      <c r="L195" s="18">
        <f>IF(ISNUMBER(J195), $B199 * K195, "")</f>
        <v>-4960.0912200684143</v>
      </c>
      <c r="M195" s="31">
        <v>848</v>
      </c>
      <c r="N195" s="32">
        <f t="shared" ref="N195:N198" si="109">IF(ISNUMBER(M195), (M195 - $B195) / $B195, "")</f>
        <v>-3.3067274800456098E-2</v>
      </c>
      <c r="O195" s="18">
        <f>IF(ISNUMBER(M195), $B199 * N195, "")</f>
        <v>-4960.0912200684143</v>
      </c>
      <c r="Q195" s="161"/>
      <c r="R195" s="161"/>
      <c r="S195" s="161"/>
    </row>
    <row r="196" spans="1:19" ht="17.25" thickBot="1">
      <c r="A196" s="109" t="s">
        <v>350</v>
      </c>
      <c r="B196" s="110">
        <v>7.99</v>
      </c>
      <c r="C196" s="70">
        <v>-6.6588784999999998E-2</v>
      </c>
      <c r="D196" s="15">
        <v>8.0399999999999991</v>
      </c>
      <c r="E196" s="32">
        <f t="shared" si="106"/>
        <v>6.2578222778471755E-3</v>
      </c>
      <c r="F196" s="18">
        <f>IF(ISNUMBER(D196), $B199 * E196, "")</f>
        <v>938.67334167707634</v>
      </c>
      <c r="G196" s="31">
        <v>8.1</v>
      </c>
      <c r="H196" s="32">
        <f t="shared" si="107"/>
        <v>1.3767209011264008E-2</v>
      </c>
      <c r="I196" s="91">
        <f>IF(ISNUMBER(G196), $B199 * H196, "")</f>
        <v>2065.081351689601</v>
      </c>
      <c r="J196" s="15">
        <v>8.0500000000000007</v>
      </c>
      <c r="K196" s="32">
        <f t="shared" si="108"/>
        <v>7.5093867334168332E-3</v>
      </c>
      <c r="L196" s="18">
        <f>IF(ISNUMBER(J196), $B199 * K196, "")</f>
        <v>1126.408010012525</v>
      </c>
      <c r="M196" s="31">
        <v>8</v>
      </c>
      <c r="N196" s="32">
        <f t="shared" si="109"/>
        <v>1.2515644555694352E-3</v>
      </c>
      <c r="O196" s="18">
        <f>IF(ISNUMBER(M196), $B199 * N196, "")</f>
        <v>187.73466833541528</v>
      </c>
      <c r="Q196" s="161"/>
      <c r="R196" s="161"/>
      <c r="S196" s="161"/>
    </row>
    <row r="197" spans="1:19">
      <c r="A197" s="109" t="s">
        <v>198</v>
      </c>
      <c r="B197" s="110">
        <v>8.7799999999999994</v>
      </c>
      <c r="C197" s="70">
        <v>-7.5789473699999999E-2</v>
      </c>
      <c r="D197" s="15">
        <v>8.56</v>
      </c>
      <c r="E197" s="32">
        <f t="shared" si="106"/>
        <v>-2.5056947608200326E-2</v>
      </c>
      <c r="F197" s="18">
        <f>IF(ISNUMBER(D197), $B199 * E197, "")</f>
        <v>-3758.5421412300489</v>
      </c>
      <c r="G197" s="31">
        <v>8.49</v>
      </c>
      <c r="H197" s="32">
        <f t="shared" si="107"/>
        <v>-3.3029612756264141E-2</v>
      </c>
      <c r="I197" s="91">
        <f>IF(ISNUMBER(G197), $B199 * H197, "")</f>
        <v>-4954.4419134396212</v>
      </c>
      <c r="J197" s="15">
        <v>8.2100000000000009</v>
      </c>
      <c r="K197" s="32">
        <f t="shared" si="108"/>
        <v>-6.49202733485192E-2</v>
      </c>
      <c r="L197" s="18">
        <f>IF(ISNUMBER(J197), $B199 * K197, "")</f>
        <v>-9738.0410022778797</v>
      </c>
      <c r="M197" s="31">
        <v>8.39</v>
      </c>
      <c r="N197" s="32">
        <f t="shared" si="109"/>
        <v>-4.4419134396355218E-2</v>
      </c>
      <c r="O197" s="18">
        <f>IF(ISNUMBER(M197), $B199 * N197, "")</f>
        <v>-6662.8701594532831</v>
      </c>
      <c r="Q197" s="183"/>
      <c r="R197" s="184"/>
      <c r="S197" s="185"/>
    </row>
    <row r="198" spans="1:19" ht="17.25" thickBot="1">
      <c r="A198" s="114" t="s">
        <v>347</v>
      </c>
      <c r="B198" s="115">
        <v>1285</v>
      </c>
      <c r="C198" s="72">
        <v>-0.16558441560000001</v>
      </c>
      <c r="D198" s="24">
        <v>1195</v>
      </c>
      <c r="E198" s="25">
        <f t="shared" si="106"/>
        <v>-7.0038910505836577E-2</v>
      </c>
      <c r="F198" s="94">
        <f>IF(ISNUMBER(D198), $B199 * E198, "")</f>
        <v>-10505.836575875486</v>
      </c>
      <c r="G198" s="92">
        <v>1150</v>
      </c>
      <c r="H198" s="25">
        <f t="shared" si="107"/>
        <v>-0.10505836575875487</v>
      </c>
      <c r="I198" s="93">
        <f>IF(ISNUMBER(G198), $B199 * H198, "")</f>
        <v>-15758.75486381323</v>
      </c>
      <c r="J198" s="24">
        <v>1130</v>
      </c>
      <c r="K198" s="25">
        <f t="shared" si="108"/>
        <v>-0.12062256809338522</v>
      </c>
      <c r="L198" s="94">
        <f>IF(ISNUMBER(J198), $B199 * K198, "")</f>
        <v>-18093.385214007783</v>
      </c>
      <c r="M198" s="92">
        <v>1090</v>
      </c>
      <c r="N198" s="25">
        <f t="shared" si="109"/>
        <v>-0.1517509727626459</v>
      </c>
      <c r="O198" s="94">
        <f>IF(ISNUMBER(M198), $B199 * N198, "")</f>
        <v>-22762.645914396886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-1.1635372402493394E-3</v>
      </c>
      <c r="F199" s="28">
        <f>SUM(F179:F198)</f>
        <v>-3490.6117207480183</v>
      </c>
      <c r="G199" s="26" t="s">
        <v>261</v>
      </c>
      <c r="H199" s="27">
        <f>IF(COUNT(H179:H198), SUM(H179:H198) / COUNT(H179:H198), 0)</f>
        <v>-3.4853206325001383E-3</v>
      </c>
      <c r="I199" s="28">
        <f>SUM(I179:I198)</f>
        <v>-10455.96189750042</v>
      </c>
      <c r="J199" s="26" t="s">
        <v>261</v>
      </c>
      <c r="K199" s="27">
        <f>IF(COUNT(K179:K198), SUM(K179:K198) / COUNT(K179:K198), 0)</f>
        <v>-7.5540349884654244E-3</v>
      </c>
      <c r="L199" s="28">
        <f>SUM(L179:L198)</f>
        <v>-22662.104965396273</v>
      </c>
      <c r="M199" s="26" t="s">
        <v>261</v>
      </c>
      <c r="N199" s="27">
        <f>IF(COUNT(N179:N198), SUM(N179:N198) / COUNT(N179:N198), 0)</f>
        <v>-1.07546307696431E-2</v>
      </c>
      <c r="O199" s="28">
        <f>SUM(O179:O198)</f>
        <v>-32263.892308929302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27" priority="157">
      <formula>AND($N17 &gt; 0, ISNUMBER($N17))</formula>
    </cfRule>
    <cfRule type="expression" dxfId="3726" priority="158">
      <formula>AND($N17 = 0 * ISNUMBER($N17))</formula>
    </cfRule>
    <cfRule type="expression" dxfId="3725" priority="159">
      <formula>AND($N17 &lt; 0, ISNUMBER($N17))</formula>
    </cfRule>
  </conditionalFormatting>
  <conditionalFormatting sqref="A17:F36">
    <cfRule type="expression" dxfId="3724" priority="166">
      <formula>AND($E17 &gt; 0, ISNUMBER($E17))</formula>
    </cfRule>
    <cfRule type="expression" dxfId="3723" priority="167">
      <formula>AND($E17 = 0 * ISNUMBER($E17))</formula>
    </cfRule>
    <cfRule type="expression" dxfId="3722" priority="168">
      <formula>AND($E17 &lt; 0, ISNUMBER($E17))</formula>
    </cfRule>
  </conditionalFormatting>
  <conditionalFormatting sqref="A17:C36 G17:I36">
    <cfRule type="expression" dxfId="3721" priority="163">
      <formula>AND($H17 &gt; 0, ISNUMBER($H17))</formula>
    </cfRule>
    <cfRule type="expression" dxfId="3720" priority="164">
      <formula>AND($H17 = 0 * ISNUMBER($H17))</formula>
    </cfRule>
    <cfRule type="expression" dxfId="3719" priority="165">
      <formula>AND($H17 &lt; 0, ISNUMBER($H17))</formula>
    </cfRule>
  </conditionalFormatting>
  <conditionalFormatting sqref="A17:C36 J17:L36">
    <cfRule type="expression" dxfId="3718" priority="160">
      <formula>AND($K17 &gt; 0, ISNUMBER($K17))</formula>
    </cfRule>
    <cfRule type="expression" dxfId="3717" priority="161">
      <formula>AND($K17 = 0 * ISNUMBER($K17))</formula>
    </cfRule>
    <cfRule type="expression" dxfId="3716" priority="162">
      <formula>AND($K17 &lt; 0, ISNUMBER($K17))</formula>
    </cfRule>
  </conditionalFormatting>
  <conditionalFormatting sqref="D15:F16 E37:F37">
    <cfRule type="expression" dxfId="3715" priority="154">
      <formula>$E$37 &gt; 0</formula>
    </cfRule>
    <cfRule type="expression" dxfId="3714" priority="155">
      <formula>$E$37 = 0</formula>
    </cfRule>
    <cfRule type="expression" dxfId="3713" priority="156">
      <formula>$E$37 &lt; 0</formula>
    </cfRule>
  </conditionalFormatting>
  <conditionalFormatting sqref="G15:I16 H37:I37">
    <cfRule type="expression" dxfId="3712" priority="151">
      <formula>$H$37 &gt; 0</formula>
    </cfRule>
    <cfRule type="expression" dxfId="3711" priority="152">
      <formula>$H$37 = 0</formula>
    </cfRule>
    <cfRule type="expression" dxfId="3710" priority="153">
      <formula>$H$37 &lt; 0</formula>
    </cfRule>
  </conditionalFormatting>
  <conditionalFormatting sqref="J15:L16 K37:L37">
    <cfRule type="expression" dxfId="3709" priority="148">
      <formula>$K$37 &gt; 0</formula>
    </cfRule>
    <cfRule type="expression" dxfId="3708" priority="149">
      <formula>$K$37 = 0</formula>
    </cfRule>
    <cfRule type="expression" dxfId="3707" priority="150">
      <formula>$K$37 &lt; 0</formula>
    </cfRule>
  </conditionalFormatting>
  <conditionalFormatting sqref="M15:O16 N37:O37">
    <cfRule type="expression" dxfId="3706" priority="145">
      <formula>$N$37 &gt; 0</formula>
    </cfRule>
    <cfRule type="expression" dxfId="3705" priority="146">
      <formula>$N$37 = 0</formula>
    </cfRule>
    <cfRule type="expression" dxfId="3704" priority="147">
      <formula>$N$37 &lt; 0</formula>
    </cfRule>
  </conditionalFormatting>
  <conditionalFormatting sqref="A44:C63 M44:O63">
    <cfRule type="expression" dxfId="3703" priority="133">
      <formula>AND($N44 &gt; 0, ISNUMBER($N44))</formula>
    </cfRule>
    <cfRule type="expression" dxfId="3702" priority="134">
      <formula>AND($N44 = 0 * ISNUMBER($N44))</formula>
    </cfRule>
    <cfRule type="expression" dxfId="3701" priority="135">
      <formula>AND($N44 &lt; 0, ISNUMBER($N44))</formula>
    </cfRule>
  </conditionalFormatting>
  <conditionalFormatting sqref="A44:F63">
    <cfRule type="expression" dxfId="3700" priority="142">
      <formula>AND($E44 &gt; 0, ISNUMBER($E44))</formula>
    </cfRule>
    <cfRule type="expression" dxfId="3699" priority="143">
      <formula>AND($E44 = 0 * ISNUMBER($E44))</formula>
    </cfRule>
    <cfRule type="expression" dxfId="3698" priority="144">
      <formula>AND($E44 &lt; 0, ISNUMBER($E44))</formula>
    </cfRule>
  </conditionalFormatting>
  <conditionalFormatting sqref="A44:C63 G44:I63">
    <cfRule type="expression" dxfId="3697" priority="139">
      <formula>AND($H44 &gt; 0, ISNUMBER($H44))</formula>
    </cfRule>
    <cfRule type="expression" dxfId="3696" priority="140">
      <formula>AND($H44 = 0 * ISNUMBER($H44))</formula>
    </cfRule>
    <cfRule type="expression" dxfId="3695" priority="141">
      <formula>AND($H44 &lt; 0, ISNUMBER($H44))</formula>
    </cfRule>
  </conditionalFormatting>
  <conditionalFormatting sqref="A44:C63 J44:L63">
    <cfRule type="expression" dxfId="3694" priority="136">
      <formula>AND($K44 &gt; 0, ISNUMBER($K44))</formula>
    </cfRule>
    <cfRule type="expression" dxfId="3693" priority="137">
      <formula>AND($K44 = 0 * ISNUMBER($K44))</formula>
    </cfRule>
    <cfRule type="expression" dxfId="3692" priority="138">
      <formula>AND($K44 &lt; 0, ISNUMBER($K44))</formula>
    </cfRule>
  </conditionalFormatting>
  <conditionalFormatting sqref="D42:F43 E64:F64">
    <cfRule type="expression" dxfId="3691" priority="130">
      <formula>$E$64 &gt; 0</formula>
    </cfRule>
    <cfRule type="expression" dxfId="3690" priority="131">
      <formula>$E$64 = 0</formula>
    </cfRule>
    <cfRule type="expression" dxfId="3689" priority="132">
      <formula>$E$64 &lt; 0</formula>
    </cfRule>
  </conditionalFormatting>
  <conditionalFormatting sqref="G42:I43 H64:I64">
    <cfRule type="expression" dxfId="3688" priority="127">
      <formula>$H$64 &gt; 0</formula>
    </cfRule>
    <cfRule type="expression" dxfId="3687" priority="128">
      <formula>$H$64 = 0</formula>
    </cfRule>
    <cfRule type="expression" dxfId="3686" priority="129">
      <formula>$H$64 &lt; 0</formula>
    </cfRule>
  </conditionalFormatting>
  <conditionalFormatting sqref="J42:L43 K64:L64">
    <cfRule type="expression" dxfId="3685" priority="124">
      <formula>$K$64 &gt; 0</formula>
    </cfRule>
    <cfRule type="expression" dxfId="3684" priority="125">
      <formula>$K$64 = 0</formula>
    </cfRule>
    <cfRule type="expression" dxfId="3683" priority="126">
      <formula>$K$64 &lt; 0</formula>
    </cfRule>
  </conditionalFormatting>
  <conditionalFormatting sqref="M42:O43 N64:O64">
    <cfRule type="expression" dxfId="3682" priority="121">
      <formula>$N$64 &gt; 0</formula>
    </cfRule>
    <cfRule type="expression" dxfId="3681" priority="122">
      <formula>$N$64 = 0</formula>
    </cfRule>
    <cfRule type="expression" dxfId="3680" priority="123">
      <formula>$N$64 &lt; 0</formula>
    </cfRule>
  </conditionalFormatting>
  <conditionalFormatting sqref="A71:C90 M71:O90">
    <cfRule type="expression" dxfId="3679" priority="109">
      <formula>AND($N71 &gt; 0, ISNUMBER($N71))</formula>
    </cfRule>
    <cfRule type="expression" dxfId="3678" priority="110">
      <formula>AND($N71 = 0 * ISNUMBER($N71))</formula>
    </cfRule>
    <cfRule type="expression" dxfId="3677" priority="111">
      <formula>AND($N71 &lt; 0, ISNUMBER($N71))</formula>
    </cfRule>
  </conditionalFormatting>
  <conditionalFormatting sqref="A71:F90">
    <cfRule type="expression" dxfId="3676" priority="118">
      <formula>AND($E71 &gt; 0, ISNUMBER($E71))</formula>
    </cfRule>
    <cfRule type="expression" dxfId="3675" priority="119">
      <formula>AND($E71 = 0 * ISNUMBER($E71))</formula>
    </cfRule>
    <cfRule type="expression" dxfId="3674" priority="120">
      <formula>AND($E71 &lt; 0, ISNUMBER($E71))</formula>
    </cfRule>
  </conditionalFormatting>
  <conditionalFormatting sqref="A71:C90 G71:I90">
    <cfRule type="expression" dxfId="3673" priority="115">
      <formula>AND($H71 &gt; 0, ISNUMBER($H71))</formula>
    </cfRule>
    <cfRule type="expression" dxfId="3672" priority="116">
      <formula>AND($H71 = 0 * ISNUMBER($H71))</formula>
    </cfRule>
    <cfRule type="expression" dxfId="3671" priority="117">
      <formula>AND($H71 &lt; 0, ISNUMBER($H71))</formula>
    </cfRule>
  </conditionalFormatting>
  <conditionalFormatting sqref="A71:C90 J71:L90">
    <cfRule type="expression" dxfId="3670" priority="112">
      <formula>AND($K71 &gt; 0, ISNUMBER($K71))</formula>
    </cfRule>
    <cfRule type="expression" dxfId="3669" priority="113">
      <formula>AND($K71 = 0 * ISNUMBER($K71))</formula>
    </cfRule>
    <cfRule type="expression" dxfId="3668" priority="114">
      <formula>AND($K71 &lt; 0, ISNUMBER($K71))</formula>
    </cfRule>
  </conditionalFormatting>
  <conditionalFormatting sqref="D69:F70 E91:F91">
    <cfRule type="expression" dxfId="3667" priority="106">
      <formula>$E$91 &gt; 0</formula>
    </cfRule>
    <cfRule type="expression" dxfId="3666" priority="107">
      <formula>$E$91 = 0</formula>
    </cfRule>
    <cfRule type="expression" dxfId="3665" priority="108">
      <formula>$E$91 &lt; 0</formula>
    </cfRule>
  </conditionalFormatting>
  <conditionalFormatting sqref="G69:I70 H91:I91">
    <cfRule type="expression" dxfId="3664" priority="103">
      <formula>$H$91 &gt; 0</formula>
    </cfRule>
    <cfRule type="expression" dxfId="3663" priority="104">
      <formula>$H$91 = 0</formula>
    </cfRule>
    <cfRule type="expression" dxfId="3662" priority="105">
      <formula>$H$91 &lt; 0</formula>
    </cfRule>
  </conditionalFormatting>
  <conditionalFormatting sqref="J69:L70 K91:L91">
    <cfRule type="expression" dxfId="3661" priority="100">
      <formula>$K$91 &gt; 0</formula>
    </cfRule>
    <cfRule type="expression" dxfId="3660" priority="101">
      <formula>$K$91 = 0</formula>
    </cfRule>
    <cfRule type="expression" dxfId="3659" priority="102">
      <formula>$K$91 &lt; 0</formula>
    </cfRule>
  </conditionalFormatting>
  <conditionalFormatting sqref="M69:O70 N91:O91">
    <cfRule type="expression" dxfId="3658" priority="97">
      <formula>$N$91 &gt; 0</formula>
    </cfRule>
    <cfRule type="expression" dxfId="3657" priority="98">
      <formula>$N$91 = 0</formula>
    </cfRule>
    <cfRule type="expression" dxfId="3656" priority="99">
      <formula>$N$91 &lt; 0</formula>
    </cfRule>
  </conditionalFormatting>
  <conditionalFormatting sqref="A98:C117 M98:O117">
    <cfRule type="expression" dxfId="3655" priority="85">
      <formula>AND($N98 &gt; 0, ISNUMBER($N98))</formula>
    </cfRule>
    <cfRule type="expression" dxfId="3654" priority="86">
      <formula>AND($N98 = 0 * ISNUMBER($N98))</formula>
    </cfRule>
    <cfRule type="expression" dxfId="3653" priority="87">
      <formula>AND($N98 &lt; 0, ISNUMBER($N98))</formula>
    </cfRule>
  </conditionalFormatting>
  <conditionalFormatting sqref="A98:F117">
    <cfRule type="expression" dxfId="3652" priority="94">
      <formula>AND($E98 &gt; 0, ISNUMBER($E98))</formula>
    </cfRule>
    <cfRule type="expression" dxfId="3651" priority="95">
      <formula>AND($E98 = 0 * ISNUMBER($E98))</formula>
    </cfRule>
    <cfRule type="expression" dxfId="3650" priority="96">
      <formula>AND($E98 &lt; 0, ISNUMBER($E98))</formula>
    </cfRule>
  </conditionalFormatting>
  <conditionalFormatting sqref="A98:C117 G98:I117">
    <cfRule type="expression" dxfId="3649" priority="91">
      <formula>AND($H98 &gt; 0, ISNUMBER($H98))</formula>
    </cfRule>
    <cfRule type="expression" dxfId="3648" priority="92">
      <formula>AND($H98 = 0 * ISNUMBER($H98))</formula>
    </cfRule>
    <cfRule type="expression" dxfId="3647" priority="93">
      <formula>AND($H98 &lt; 0, ISNUMBER($H98))</formula>
    </cfRule>
  </conditionalFormatting>
  <conditionalFormatting sqref="A98:C117 J98:L117">
    <cfRule type="expression" dxfId="3646" priority="88">
      <formula>AND($K98 &gt; 0, ISNUMBER($K98))</formula>
    </cfRule>
    <cfRule type="expression" dxfId="3645" priority="89">
      <formula>AND($K98 = 0 * ISNUMBER($K98))</formula>
    </cfRule>
    <cfRule type="expression" dxfId="3644" priority="90">
      <formula>AND($K98 &lt; 0, ISNUMBER($K98))</formula>
    </cfRule>
  </conditionalFormatting>
  <conditionalFormatting sqref="D96:F97 E118:F118">
    <cfRule type="expression" dxfId="3643" priority="82">
      <formula>$E$118 &gt; 0</formula>
    </cfRule>
    <cfRule type="expression" dxfId="3642" priority="83">
      <formula>$E$118 = 0</formula>
    </cfRule>
    <cfRule type="expression" dxfId="3641" priority="84">
      <formula>$E$118 &lt; 0</formula>
    </cfRule>
  </conditionalFormatting>
  <conditionalFormatting sqref="G96:I97 H118:I118">
    <cfRule type="expression" dxfId="3640" priority="79">
      <formula>$H$118 &gt; 0</formula>
    </cfRule>
    <cfRule type="expression" dxfId="3639" priority="80">
      <formula>$H$118 = 0</formula>
    </cfRule>
    <cfRule type="expression" dxfId="3638" priority="81">
      <formula>$H$118 &lt; 0</formula>
    </cfRule>
  </conditionalFormatting>
  <conditionalFormatting sqref="J96:L97 K118:L118">
    <cfRule type="expression" dxfId="3637" priority="76">
      <formula>$K$118 &gt; 0</formula>
    </cfRule>
    <cfRule type="expression" dxfId="3636" priority="77">
      <formula>$K$118 = 0</formula>
    </cfRule>
    <cfRule type="expression" dxfId="3635" priority="78">
      <formula>$K$118 &lt; 0</formula>
    </cfRule>
  </conditionalFormatting>
  <conditionalFormatting sqref="M96:O97 N118:O118">
    <cfRule type="expression" dxfId="3634" priority="73">
      <formula>$N$118 &gt; 0</formula>
    </cfRule>
    <cfRule type="expression" dxfId="3633" priority="74">
      <formula>$N$118 = 0</formula>
    </cfRule>
    <cfRule type="expression" dxfId="3632" priority="75">
      <formula>$N$118 &lt; 0</formula>
    </cfRule>
  </conditionalFormatting>
  <conditionalFormatting sqref="A125:C144 M125:O144">
    <cfRule type="expression" dxfId="3631" priority="61">
      <formula>AND($N125 &gt; 0, ISNUMBER($N125))</formula>
    </cfRule>
    <cfRule type="expression" dxfId="3630" priority="62">
      <formula>AND($N125 = 0 * ISNUMBER($N125))</formula>
    </cfRule>
    <cfRule type="expression" dxfId="3629" priority="63">
      <formula>AND($N125 &lt; 0, ISNUMBER($N125))</formula>
    </cfRule>
  </conditionalFormatting>
  <conditionalFormatting sqref="A125:F144">
    <cfRule type="expression" dxfId="3628" priority="70">
      <formula>AND($E125 &gt; 0, ISNUMBER($E125))</formula>
    </cfRule>
    <cfRule type="expression" dxfId="3627" priority="71">
      <formula>AND($E125 = 0 * ISNUMBER($E125))</formula>
    </cfRule>
    <cfRule type="expression" dxfId="3626" priority="72">
      <formula>AND($E125 &lt; 0, ISNUMBER($E125))</formula>
    </cfRule>
  </conditionalFormatting>
  <conditionalFormatting sqref="A125:C144 G125:I144">
    <cfRule type="expression" dxfId="3625" priority="67">
      <formula>AND($H125 &gt; 0, ISNUMBER($H125))</formula>
    </cfRule>
    <cfRule type="expression" dxfId="3624" priority="68">
      <formula>AND($H125 = 0 * ISNUMBER($H125))</formula>
    </cfRule>
    <cfRule type="expression" dxfId="3623" priority="69">
      <formula>AND($H125 &lt; 0, ISNUMBER($H125))</formula>
    </cfRule>
  </conditionalFormatting>
  <conditionalFormatting sqref="A125:C144 J125:L144">
    <cfRule type="expression" dxfId="3622" priority="64">
      <formula>AND($K125 &gt; 0, ISNUMBER($K125))</formula>
    </cfRule>
    <cfRule type="expression" dxfId="3621" priority="65">
      <formula>AND($K125 = 0 * ISNUMBER($K125))</formula>
    </cfRule>
    <cfRule type="expression" dxfId="3620" priority="66">
      <formula>AND($K125 &lt; 0, ISNUMBER($K125))</formula>
    </cfRule>
  </conditionalFormatting>
  <conditionalFormatting sqref="D123:F124 E145:F145">
    <cfRule type="expression" dxfId="3619" priority="58">
      <formula>$E$145 &gt; 0</formula>
    </cfRule>
    <cfRule type="expression" dxfId="3618" priority="59">
      <formula>$E$145 = 0</formula>
    </cfRule>
    <cfRule type="expression" dxfId="3617" priority="60">
      <formula>$E$145 &lt; 0</formula>
    </cfRule>
  </conditionalFormatting>
  <conditionalFormatting sqref="G123:I124 H145:I145">
    <cfRule type="expression" dxfId="3616" priority="55">
      <formula>$H$145 &gt; 0</formula>
    </cfRule>
    <cfRule type="expression" dxfId="3615" priority="56">
      <formula>$H$145 = 0</formula>
    </cfRule>
    <cfRule type="expression" dxfId="3614" priority="57">
      <formula>$H$145 &lt; 0</formula>
    </cfRule>
  </conditionalFormatting>
  <conditionalFormatting sqref="J123:L124 K145:L145">
    <cfRule type="expression" dxfId="3613" priority="52">
      <formula>$K$145 &gt; 0</formula>
    </cfRule>
    <cfRule type="expression" dxfId="3612" priority="53">
      <formula>$K$145 = 0</formula>
    </cfRule>
    <cfRule type="expression" dxfId="3611" priority="54">
      <formula>$K$145 &lt; 0</formula>
    </cfRule>
  </conditionalFormatting>
  <conditionalFormatting sqref="M123:O124 N145:O145">
    <cfRule type="expression" dxfId="3610" priority="49">
      <formula>$N$145 &gt; 0</formula>
    </cfRule>
    <cfRule type="expression" dxfId="3609" priority="50">
      <formula>$N$145 = 0</formula>
    </cfRule>
    <cfRule type="expression" dxfId="3608" priority="51">
      <formula>$N$145 &lt; 0</formula>
    </cfRule>
  </conditionalFormatting>
  <conditionalFormatting sqref="A152:C171 M152:O171">
    <cfRule type="expression" dxfId="3607" priority="37">
      <formula>AND($N152 &gt; 0, ISNUMBER($N152))</formula>
    </cfRule>
    <cfRule type="expression" dxfId="3606" priority="38">
      <formula>AND($N152 = 0 * ISNUMBER($N152))</formula>
    </cfRule>
    <cfRule type="expression" dxfId="3605" priority="39">
      <formula>AND($N152 &lt; 0, ISNUMBER($N152))</formula>
    </cfRule>
  </conditionalFormatting>
  <conditionalFormatting sqref="A152:F171">
    <cfRule type="expression" dxfId="3604" priority="46">
      <formula>AND($E152 &gt; 0, ISNUMBER($E152))</formula>
    </cfRule>
    <cfRule type="expression" dxfId="3603" priority="47">
      <formula>AND($E152 = 0 * ISNUMBER($E152))</formula>
    </cfRule>
    <cfRule type="expression" dxfId="3602" priority="48">
      <formula>AND($E152 &lt; 0, ISNUMBER($E152))</formula>
    </cfRule>
  </conditionalFormatting>
  <conditionalFormatting sqref="A152:C171 G152:I171">
    <cfRule type="expression" dxfId="3601" priority="43">
      <formula>AND($H152 &gt; 0, ISNUMBER($H152))</formula>
    </cfRule>
    <cfRule type="expression" dxfId="3600" priority="44">
      <formula>AND($H152 = 0 * ISNUMBER($H152))</formula>
    </cfRule>
    <cfRule type="expression" dxfId="3599" priority="45">
      <formula>AND($H152 &lt; 0, ISNUMBER($H152))</formula>
    </cfRule>
  </conditionalFormatting>
  <conditionalFormatting sqref="A152:C171 J152:L171">
    <cfRule type="expression" dxfId="3598" priority="40">
      <formula>AND($K152 &gt; 0, ISNUMBER($K152))</formula>
    </cfRule>
    <cfRule type="expression" dxfId="3597" priority="41">
      <formula>AND($K152 = 0 * ISNUMBER($K152))</formula>
    </cfRule>
    <cfRule type="expression" dxfId="3596" priority="42">
      <formula>AND($K152 &lt; 0, ISNUMBER($K152))</formula>
    </cfRule>
  </conditionalFormatting>
  <conditionalFormatting sqref="D150:F151 E172:F172">
    <cfRule type="expression" dxfId="3595" priority="34">
      <formula>$E$172 &gt; 0</formula>
    </cfRule>
    <cfRule type="expression" dxfId="3594" priority="35">
      <formula>$E$172 = 0</formula>
    </cfRule>
    <cfRule type="expression" dxfId="3593" priority="36">
      <formula>$E$172 &lt; 0</formula>
    </cfRule>
  </conditionalFormatting>
  <conditionalFormatting sqref="G150:I151 H172:I172">
    <cfRule type="expression" dxfId="3592" priority="31">
      <formula>$H$172 &gt; 0</formula>
    </cfRule>
    <cfRule type="expression" dxfId="3591" priority="32">
      <formula>$H$172 = 0</formula>
    </cfRule>
    <cfRule type="expression" dxfId="3590" priority="33">
      <formula>$H$172 &lt; 0</formula>
    </cfRule>
  </conditionalFormatting>
  <conditionalFormatting sqref="J150:L151 K172:L172">
    <cfRule type="expression" dxfId="3589" priority="28">
      <formula>$K$172 &gt; 0</formula>
    </cfRule>
    <cfRule type="expression" dxfId="3588" priority="29">
      <formula>$K$172 = 0</formula>
    </cfRule>
    <cfRule type="expression" dxfId="3587" priority="30">
      <formula>$K$172 &lt; 0</formula>
    </cfRule>
  </conditionalFormatting>
  <conditionalFormatting sqref="M150:O151 N172:O172">
    <cfRule type="expression" dxfId="3586" priority="25">
      <formula>$N$172 &gt; 0</formula>
    </cfRule>
    <cfRule type="expression" dxfId="3585" priority="26">
      <formula>$N$172 = 0</formula>
    </cfRule>
    <cfRule type="expression" dxfId="3584" priority="27">
      <formula>$N$172 &lt; 0</formula>
    </cfRule>
  </conditionalFormatting>
  <conditionalFormatting sqref="A179:C198 M179:O198">
    <cfRule type="expression" dxfId="3583" priority="13">
      <formula>AND($N179 &gt; 0, ISNUMBER($N179))</formula>
    </cfRule>
    <cfRule type="expression" dxfId="3582" priority="14">
      <formula>AND($N179 = 0 * ISNUMBER($N179))</formula>
    </cfRule>
    <cfRule type="expression" dxfId="3581" priority="15">
      <formula>AND($N179 &lt; 0, ISNUMBER($N179))</formula>
    </cfRule>
  </conditionalFormatting>
  <conditionalFormatting sqref="A179:F198">
    <cfRule type="expression" dxfId="3580" priority="22">
      <formula>AND($E179 &gt; 0, ISNUMBER($E179))</formula>
    </cfRule>
    <cfRule type="expression" dxfId="3579" priority="23">
      <formula>AND($E179 = 0 * ISNUMBER($E179))</formula>
    </cfRule>
    <cfRule type="expression" dxfId="3578" priority="24">
      <formula>AND($E179 &lt; 0, ISNUMBER($E179))</formula>
    </cfRule>
  </conditionalFormatting>
  <conditionalFormatting sqref="A179:C198 G179:I198">
    <cfRule type="expression" dxfId="3577" priority="19">
      <formula>AND($H179 &gt; 0, ISNUMBER($H179))</formula>
    </cfRule>
    <cfRule type="expression" dxfId="3576" priority="20">
      <formula>AND($H179 = 0 * ISNUMBER($H179))</formula>
    </cfRule>
    <cfRule type="expression" dxfId="3575" priority="21">
      <formula>AND($H179 &lt; 0, ISNUMBER($H179))</formula>
    </cfRule>
  </conditionalFormatting>
  <conditionalFormatting sqref="A179:C198 J179:L198">
    <cfRule type="expression" dxfId="3574" priority="16">
      <formula>AND($K179 &gt; 0, ISNUMBER($K179))</formula>
    </cfRule>
    <cfRule type="expression" dxfId="3573" priority="17">
      <formula>AND($K179 = 0 * ISNUMBER($K179))</formula>
    </cfRule>
    <cfRule type="expression" dxfId="3572" priority="18">
      <formula>AND($K179 &lt; 0, ISNUMBER($K179))</formula>
    </cfRule>
  </conditionalFormatting>
  <conditionalFormatting sqref="D177:F178 E199:F199">
    <cfRule type="expression" dxfId="3571" priority="10">
      <formula>$E$199 &gt; 0</formula>
    </cfRule>
    <cfRule type="expression" dxfId="3570" priority="11">
      <formula>$E$199 = 0</formula>
    </cfRule>
    <cfRule type="expression" dxfId="3569" priority="12">
      <formula>$E$199 &lt; 0</formula>
    </cfRule>
  </conditionalFormatting>
  <conditionalFormatting sqref="G177:I178 H199:I199">
    <cfRule type="expression" dxfId="3568" priority="7">
      <formula>$H$199 &gt; 0</formula>
    </cfRule>
    <cfRule type="expression" dxfId="3567" priority="8">
      <formula>$H$199 = 0</formula>
    </cfRule>
    <cfRule type="expression" dxfId="3566" priority="9">
      <formula>$H$199 &lt; 0</formula>
    </cfRule>
  </conditionalFormatting>
  <conditionalFormatting sqref="J177:L178 K199:L199">
    <cfRule type="expression" dxfId="3565" priority="4">
      <formula>$K$199 &gt; 0</formula>
    </cfRule>
    <cfRule type="expression" dxfId="3564" priority="5">
      <formula>$K$199 = 0</formula>
    </cfRule>
    <cfRule type="expression" dxfId="3563" priority="6">
      <formula>$K$199 &lt; 0</formula>
    </cfRule>
  </conditionalFormatting>
  <conditionalFormatting sqref="M177:O178 N199:O199">
    <cfRule type="expression" dxfId="3562" priority="1">
      <formula>$N$199 &gt; 0</formula>
    </cfRule>
    <cfRule type="expression" dxfId="3561" priority="2">
      <formula>$N$199 = 0</formula>
    </cfRule>
    <cfRule type="expression" dxfId="35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D8EF6-9D0D-4A5B-A7A5-B5BF1BA3EE3E}">
  <sheetPr codeName="Sheet13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44902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-134,806 KRW (-4.49%)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-85,889 KRW (-2.86%)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-121,042 KRW (-4.03%)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-193,291 KRW (-6.78%)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2022-12-07(수) 오전 00:00</v>
      </c>
      <c r="C15" s="202"/>
      <c r="D15" s="158" t="str">
        <f>TEXT($G$1, "[$-ko-KR]yyyy-mm-dd(ddd) ") &amp; "오후 14:00"</f>
        <v>2022-12-07(수) 오후 14:00</v>
      </c>
      <c r="E15" s="159"/>
      <c r="F15" s="160"/>
      <c r="G15" s="158" t="str">
        <f>TEXT($G$1, "[$-ko-KR]yyyy-mm-dd(ddd) ") &amp; "오후 19:00"</f>
        <v>2022-12-07(수) 오후 19:00</v>
      </c>
      <c r="H15" s="159"/>
      <c r="I15" s="160"/>
      <c r="J15" s="158" t="str">
        <f>TEXT($G$1, "[$-ko-KR]yyyy-mm-dd(ddd) ") &amp; "오후 21:00"</f>
        <v>2022-12-07(수) 오후 21:00</v>
      </c>
      <c r="K15" s="159"/>
      <c r="L15" s="160"/>
      <c r="M15" s="158" t="str">
        <f>TEXT($G$1+1, "[$-ko-KR]yyyy-mm-dd(ddd) ") &amp; "오전 00:00"</f>
        <v>2022-12-08(목)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2022-12-07(수) 오전 00:00</v>
      </c>
      <c r="C42" s="199"/>
      <c r="D42" s="158" t="str">
        <f>TEXT($G$1, "[$-ko-KR]yyyy-mm-dd(ddd) ") &amp; "오후 14:00"</f>
        <v>2022-12-07(수) 오후 14:00</v>
      </c>
      <c r="E42" s="159"/>
      <c r="F42" s="160"/>
      <c r="G42" s="158" t="str">
        <f>TEXT($G$1, "[$-ko-KR]yyyy-mm-dd(ddd) ") &amp; "오후 19:00"</f>
        <v>2022-12-07(수) 오후 19:00</v>
      </c>
      <c r="H42" s="159"/>
      <c r="I42" s="160"/>
      <c r="J42" s="158" t="str">
        <f>TEXT($G$1, "[$-ko-KR]yyyy-mm-dd(ddd) ") &amp; "오후 21:00"</f>
        <v>2022-12-07(수) 오후 21:00</v>
      </c>
      <c r="K42" s="159"/>
      <c r="L42" s="160"/>
      <c r="M42" s="158" t="str">
        <f>TEXT($G$1+1, "[$-ko-KR]yyyy-mm-dd(ddd) ") &amp; "오전 00:00"</f>
        <v>2022-12-08(목)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97</v>
      </c>
      <c r="B44" s="108">
        <v>1E-3</v>
      </c>
      <c r="C44" s="69">
        <v>0.11111111110000001</v>
      </c>
      <c r="D44" s="13">
        <v>1E-3</v>
      </c>
      <c r="E44" s="14">
        <f>IF(ISNUMBER(D44), (D44 - $B44) / $B44, "")</f>
        <v>0</v>
      </c>
      <c r="F44" s="16">
        <f>IF(ISNUMBER(D44), $B64 * E44, "")</f>
        <v>0</v>
      </c>
      <c r="G44" s="29">
        <v>8.9999999999999998E-4</v>
      </c>
      <c r="H44" s="14">
        <f>IF(ISNUMBER(G44), (G44 - $B44) / $B44, "")</f>
        <v>-0.10000000000000005</v>
      </c>
      <c r="I44" s="90">
        <f>IF(ISNUMBER(G44), $B64 * H44, "")</f>
        <v>-15000.000000000007</v>
      </c>
      <c r="J44" s="13">
        <v>8.9999999999999998E-4</v>
      </c>
      <c r="K44" s="14">
        <f>IF(ISNUMBER(J44), (J44 - $B44) / $B44, "")</f>
        <v>-0.10000000000000005</v>
      </c>
      <c r="L44" s="16">
        <f>IF(ISNUMBER(J44), $B64 * K44, "")</f>
        <v>-15000.000000000007</v>
      </c>
      <c r="M44" s="29">
        <v>8.0000000000000004E-4</v>
      </c>
      <c r="N44" s="14">
        <f>IF(ISNUMBER(M44), (M44 - $B44) / $B44, "")</f>
        <v>-0.19999999999999998</v>
      </c>
      <c r="O44" s="16">
        <f>IF(ISNUMBER(M44), $B64 * N44, "")</f>
        <v>-29999.999999999996</v>
      </c>
      <c r="Q44" s="156"/>
      <c r="R44" s="156"/>
      <c r="S44" s="156"/>
    </row>
    <row r="45" spans="1:19" ht="17.25" customHeight="1" thickBot="1">
      <c r="A45" s="109" t="s">
        <v>138</v>
      </c>
      <c r="B45" s="110">
        <v>29.1</v>
      </c>
      <c r="C45" s="70">
        <v>1.04166667E-2</v>
      </c>
      <c r="D45" s="15">
        <v>28.5</v>
      </c>
      <c r="E45" s="32">
        <f t="shared" ref="E45:E48" si="14">IF(ISNUMBER(D45), (D45 - $B45) / $B45, "")</f>
        <v>-2.0618556701030976E-2</v>
      </c>
      <c r="F45" s="18">
        <f>IF(ISNUMBER(D45), $B64 * E45, "")</f>
        <v>-3092.7835051546463</v>
      </c>
      <c r="G45" s="31">
        <v>27.9</v>
      </c>
      <c r="H45" s="32">
        <f t="shared" ref="H45:H48" si="15">IF(ISNUMBER(G45), (G45 - $B45) / $B45, "")</f>
        <v>-4.1237113402061952E-2</v>
      </c>
      <c r="I45" s="91">
        <f>IF(ISNUMBER(G45), $B64 * H45, "")</f>
        <v>-6185.5670103092925</v>
      </c>
      <c r="J45" s="15">
        <v>28.3</v>
      </c>
      <c r="K45" s="32">
        <f t="shared" ref="K45:K48" si="16">IF(ISNUMBER(J45), (J45 - $B45) / $B45, "")</f>
        <v>-2.7491408934707928E-2</v>
      </c>
      <c r="L45" s="18">
        <f>IF(ISNUMBER(J45), $B64 * K45, "")</f>
        <v>-4123.7113402061896</v>
      </c>
      <c r="M45" s="31">
        <v>27.8</v>
      </c>
      <c r="N45" s="32">
        <f t="shared" ref="N45:N48" si="17">IF(ISNUMBER(M45), (M45 - $B45) / $B45, "")</f>
        <v>-4.4673539518900365E-2</v>
      </c>
      <c r="O45" s="18">
        <f>IF(ISNUMBER(M45), $B64 * N45, "")</f>
        <v>-6701.0309278350551</v>
      </c>
      <c r="Q45" s="156"/>
      <c r="R45" s="156"/>
      <c r="S45" s="156"/>
    </row>
    <row r="46" spans="1:19" ht="17.25" customHeight="1" thickBot="1">
      <c r="A46" s="109" t="s">
        <v>64</v>
      </c>
      <c r="B46" s="110">
        <v>11.5</v>
      </c>
      <c r="C46" s="70">
        <v>8.7719297999999998E-3</v>
      </c>
      <c r="D46" s="15">
        <v>11.3</v>
      </c>
      <c r="E46" s="32">
        <f t="shared" si="14"/>
        <v>-1.7391304347826025E-2</v>
      </c>
      <c r="F46" s="18">
        <f>IF(ISNUMBER(D46), $B64 * E46, "")</f>
        <v>-2608.6956521739039</v>
      </c>
      <c r="G46" s="31">
        <v>11.1</v>
      </c>
      <c r="H46" s="32">
        <f t="shared" si="15"/>
        <v>-3.4782608695652202E-2</v>
      </c>
      <c r="I46" s="91">
        <f>IF(ISNUMBER(G46), $B64 * H46, "")</f>
        <v>-5217.3913043478306</v>
      </c>
      <c r="J46" s="15">
        <v>11.1</v>
      </c>
      <c r="K46" s="32">
        <f t="shared" si="16"/>
        <v>-3.4782608695652202E-2</v>
      </c>
      <c r="L46" s="18">
        <f>IF(ISNUMBER(J46), $B64 * K46, "")</f>
        <v>-5217.3913043478306</v>
      </c>
      <c r="M46" s="31">
        <v>11.1</v>
      </c>
      <c r="N46" s="32">
        <f t="shared" si="17"/>
        <v>-3.4782608695652202E-2</v>
      </c>
      <c r="O46" s="18">
        <f>IF(ISNUMBER(M46), $B64 * N46, "")</f>
        <v>-5217.3913043478306</v>
      </c>
      <c r="Q46" s="161"/>
      <c r="R46" s="161"/>
      <c r="S46" s="161"/>
    </row>
    <row r="47" spans="1:19" ht="17.25" customHeight="1" thickBot="1">
      <c r="A47" s="109" t="s">
        <v>56</v>
      </c>
      <c r="B47" s="110">
        <v>43.9</v>
      </c>
      <c r="C47" s="70">
        <v>6.8807338999999999E-3</v>
      </c>
      <c r="D47" s="15">
        <v>43.7</v>
      </c>
      <c r="E47" s="32">
        <f t="shared" si="14"/>
        <v>-4.5558086560363491E-3</v>
      </c>
      <c r="F47" s="18">
        <f>IF(ISNUMBER(D47), $B64 * E47, "")</f>
        <v>-683.37129840545242</v>
      </c>
      <c r="G47" s="31">
        <v>43.1</v>
      </c>
      <c r="H47" s="32">
        <f t="shared" si="15"/>
        <v>-1.8223234624145723E-2</v>
      </c>
      <c r="I47" s="91">
        <f>IF(ISNUMBER(G47), $B64 * H47, "")</f>
        <v>-2733.4851936218583</v>
      </c>
      <c r="J47" s="15">
        <v>43.6</v>
      </c>
      <c r="K47" s="32">
        <f t="shared" si="16"/>
        <v>-6.8337129840546048E-3</v>
      </c>
      <c r="L47" s="18">
        <f>IF(ISNUMBER(J47), $B64 * K47, "")</f>
        <v>-1025.0569476081907</v>
      </c>
      <c r="M47" s="31">
        <v>43.4</v>
      </c>
      <c r="N47" s="32">
        <f t="shared" si="17"/>
        <v>-1.1389521640091117E-2</v>
      </c>
      <c r="O47" s="18">
        <f>IF(ISNUMBER(M47), $B64 * N47, "")</f>
        <v>-1708.4282460136676</v>
      </c>
      <c r="Q47" s="161"/>
      <c r="R47" s="161"/>
      <c r="S47" s="161"/>
    </row>
    <row r="48" spans="1:19" ht="17.25" customHeight="1" thickBot="1">
      <c r="A48" s="111" t="s">
        <v>326</v>
      </c>
      <c r="B48" s="112">
        <v>24.4</v>
      </c>
      <c r="C48" s="71">
        <v>4.1152263000000001E-3</v>
      </c>
      <c r="D48" s="20">
        <v>24.1</v>
      </c>
      <c r="E48" s="21">
        <f t="shared" si="14"/>
        <v>-1.2295081967212998E-2</v>
      </c>
      <c r="F48" s="22">
        <f>IF(ISNUMBER(D48), $B64 * E48, "")</f>
        <v>-1844.2622950819498</v>
      </c>
      <c r="G48" s="30">
        <v>23.3</v>
      </c>
      <c r="H48" s="21">
        <f t="shared" si="15"/>
        <v>-4.5081967213114672E-2</v>
      </c>
      <c r="I48" s="95">
        <f>IF(ISNUMBER(G48), $B64 * H48, "")</f>
        <v>-6762.2950819672005</v>
      </c>
      <c r="J48" s="20">
        <v>23.5</v>
      </c>
      <c r="K48" s="21">
        <f t="shared" si="16"/>
        <v>-3.6885245901639288E-2</v>
      </c>
      <c r="L48" s="22">
        <f>IF(ISNUMBER(J48), $B64 * K48, "")</f>
        <v>-5532.7868852458932</v>
      </c>
      <c r="M48" s="30">
        <v>23.7</v>
      </c>
      <c r="N48" s="21">
        <f t="shared" si="17"/>
        <v>-2.8688524590163907E-2</v>
      </c>
      <c r="O48" s="22">
        <f>IF(ISNUMBER(M48), $B64 * N48, "")</f>
        <v>-4303.278688524586</v>
      </c>
      <c r="Q48" s="161"/>
      <c r="R48" s="161"/>
      <c r="S48" s="161"/>
    </row>
    <row r="49" spans="1:19" ht="17.25" customHeight="1" thickBot="1">
      <c r="A49" s="109" t="s">
        <v>230</v>
      </c>
      <c r="B49" s="113">
        <v>41.6</v>
      </c>
      <c r="C49" s="73">
        <v>2.4096386000000002E-3</v>
      </c>
      <c r="D49" s="96">
        <v>41.2</v>
      </c>
      <c r="E49" s="97">
        <f>IF(ISNUMBER(D49), (D49 - $B49) / $B49, "")</f>
        <v>-9.6153846153845812E-3</v>
      </c>
      <c r="F49" s="98">
        <f>IF(ISNUMBER(D49), $B64 * E49, "")</f>
        <v>-1442.3076923076871</v>
      </c>
      <c r="G49" s="99">
        <v>39.9</v>
      </c>
      <c r="H49" s="97">
        <f>IF(ISNUMBER(G49), (G49 - $B49) / $B49, "")</f>
        <v>-4.0865384615384685E-2</v>
      </c>
      <c r="I49" s="100">
        <f>IF(ISNUMBER(G49), $B64 * H49, "")</f>
        <v>-6129.8076923077024</v>
      </c>
      <c r="J49" s="96">
        <v>40.299999999999997</v>
      </c>
      <c r="K49" s="97">
        <f>IF(ISNUMBER(J49), (J49 - $B49) / $B49, "")</f>
        <v>-3.1250000000000104E-2</v>
      </c>
      <c r="L49" s="98">
        <f>IF(ISNUMBER(J49), $B64 * K49, "")</f>
        <v>-4687.5000000000155</v>
      </c>
      <c r="M49" s="99">
        <v>40.1</v>
      </c>
      <c r="N49" s="97">
        <f>IF(ISNUMBER(M49), (M49 - $B49) / $B49, "")</f>
        <v>-3.6057692307692304E-2</v>
      </c>
      <c r="O49" s="98">
        <f>IF(ISNUMBER(M49), $B64 * N49, "")</f>
        <v>-5408.6538461538457</v>
      </c>
      <c r="Q49" s="161"/>
      <c r="R49" s="161"/>
      <c r="S49" s="161"/>
    </row>
    <row r="50" spans="1:19" ht="17.25" customHeight="1" thickBot="1">
      <c r="A50" s="109" t="s">
        <v>191</v>
      </c>
      <c r="B50" s="110">
        <v>52.5</v>
      </c>
      <c r="C50" s="70">
        <v>1.9083969E-3</v>
      </c>
      <c r="D50" s="15">
        <v>59.5</v>
      </c>
      <c r="E50" s="32">
        <f t="shared" ref="E50:E53" si="18">IF(ISNUMBER(D50), (D50 - $B50) / $B50, "")</f>
        <v>0.13333333333333333</v>
      </c>
      <c r="F50" s="18">
        <f>IF(ISNUMBER(D50), $B64 * E50, "")</f>
        <v>20000</v>
      </c>
      <c r="G50" s="31">
        <v>57.1</v>
      </c>
      <c r="H50" s="32">
        <f t="shared" ref="H50:H53" si="19">IF(ISNUMBER(G50), (G50 - $B50) / $B50, "")</f>
        <v>8.7619047619047652E-2</v>
      </c>
      <c r="I50" s="91">
        <f>IF(ISNUMBER(G50), $B64 * H50, "")</f>
        <v>13142.857142857149</v>
      </c>
      <c r="J50" s="15">
        <v>55.9</v>
      </c>
      <c r="K50" s="32">
        <f t="shared" ref="K50:K53" si="20">IF(ISNUMBER(J50), (J50 - $B50) / $B50, "")</f>
        <v>6.4761904761904729E-2</v>
      </c>
      <c r="L50" s="18">
        <f>IF(ISNUMBER(J50), $B64 * K50, "")</f>
        <v>9714.2857142857101</v>
      </c>
      <c r="M50" s="31">
        <v>55.1</v>
      </c>
      <c r="N50" s="32">
        <f t="shared" ref="N50:N53" si="21">IF(ISNUMBER(M50), (M50 - $B50) / $B50, "")</f>
        <v>4.9523809523809553E-2</v>
      </c>
      <c r="O50" s="18">
        <f>IF(ISNUMBER(M50), $B64 * N50, "")</f>
        <v>7428.571428571433</v>
      </c>
      <c r="Q50" s="161"/>
      <c r="R50" s="161"/>
      <c r="S50" s="161"/>
    </row>
    <row r="51" spans="1:19" ht="17.25" customHeight="1" thickBot="1">
      <c r="A51" s="109" t="s">
        <v>126</v>
      </c>
      <c r="B51" s="110">
        <v>30.4</v>
      </c>
      <c r="C51" s="70">
        <v>0</v>
      </c>
      <c r="D51" s="15">
        <v>29.7</v>
      </c>
      <c r="E51" s="32">
        <f t="shared" si="18"/>
        <v>-2.3026315789473662E-2</v>
      </c>
      <c r="F51" s="18">
        <f>IF(ISNUMBER(D51), $B64 * E51, "")</f>
        <v>-3453.9473684210493</v>
      </c>
      <c r="G51" s="31">
        <v>29.1</v>
      </c>
      <c r="H51" s="32">
        <f t="shared" si="19"/>
        <v>-4.2763157894736753E-2</v>
      </c>
      <c r="I51" s="91">
        <f>IF(ISNUMBER(G51), $B64 * H51, "")</f>
        <v>-6414.4736842105131</v>
      </c>
      <c r="J51" s="15">
        <v>29.3</v>
      </c>
      <c r="K51" s="32">
        <f t="shared" si="20"/>
        <v>-3.6184210526315722E-2</v>
      </c>
      <c r="L51" s="18">
        <f>IF(ISNUMBER(J51), $B64 * K51, "")</f>
        <v>-5427.6315789473583</v>
      </c>
      <c r="M51" s="31">
        <v>29.4</v>
      </c>
      <c r="N51" s="32">
        <f t="shared" si="21"/>
        <v>-3.2894736842105261E-2</v>
      </c>
      <c r="O51" s="18">
        <f>IF(ISNUMBER(M51), $B64 * N51, "")</f>
        <v>-4934.2105263157891</v>
      </c>
      <c r="Q51" s="161"/>
      <c r="R51" s="161"/>
      <c r="S51" s="161"/>
    </row>
    <row r="52" spans="1:19" ht="17.25" customHeight="1" thickBot="1">
      <c r="A52" s="109" t="s">
        <v>71</v>
      </c>
      <c r="B52" s="110">
        <v>11.8</v>
      </c>
      <c r="C52" s="70">
        <v>0</v>
      </c>
      <c r="D52" s="15">
        <v>11.9</v>
      </c>
      <c r="E52" s="32">
        <f t="shared" si="18"/>
        <v>8.4745762711864094E-3</v>
      </c>
      <c r="F52" s="18">
        <f>IF(ISNUMBER(D52), $B64 * E52, "")</f>
        <v>1271.1864406779614</v>
      </c>
      <c r="G52" s="31">
        <v>11.3</v>
      </c>
      <c r="H52" s="32">
        <f t="shared" si="19"/>
        <v>-4.2372881355932202E-2</v>
      </c>
      <c r="I52" s="91">
        <f>IF(ISNUMBER(G52), $B64 * H52, "")</f>
        <v>-6355.9322033898306</v>
      </c>
      <c r="J52" s="15">
        <v>11.5</v>
      </c>
      <c r="K52" s="32">
        <f t="shared" si="20"/>
        <v>-2.5423728813559379E-2</v>
      </c>
      <c r="L52" s="18">
        <f>IF(ISNUMBER(J52), $B64 * K52, "")</f>
        <v>-3813.5593220339069</v>
      </c>
      <c r="M52" s="31">
        <v>11.5</v>
      </c>
      <c r="N52" s="32">
        <f t="shared" si="21"/>
        <v>-2.5423728813559379E-2</v>
      </c>
      <c r="O52" s="18">
        <f>IF(ISNUMBER(M52), $B64 * N52, "")</f>
        <v>-3813.5593220339069</v>
      </c>
      <c r="Q52" s="33"/>
      <c r="R52" s="33"/>
    </row>
    <row r="53" spans="1:19" ht="17.25" customHeight="1" thickBot="1">
      <c r="A53" s="114" t="s">
        <v>206</v>
      </c>
      <c r="B53" s="115">
        <v>3.48</v>
      </c>
      <c r="C53" s="72">
        <v>0</v>
      </c>
      <c r="D53" s="24">
        <v>3.57</v>
      </c>
      <c r="E53" s="25">
        <f t="shared" si="18"/>
        <v>2.5862068965517199E-2</v>
      </c>
      <c r="F53" s="94">
        <f>IF(ISNUMBER(D53), $B64 * E53, "")</f>
        <v>3879.3103448275797</v>
      </c>
      <c r="G53" s="92">
        <v>3.39</v>
      </c>
      <c r="H53" s="25">
        <f t="shared" si="19"/>
        <v>-2.5862068965517199E-2</v>
      </c>
      <c r="I53" s="93">
        <f>IF(ISNUMBER(G53), $B64 * H53, "")</f>
        <v>-3879.3103448275797</v>
      </c>
      <c r="J53" s="24">
        <v>3.5</v>
      </c>
      <c r="K53" s="25">
        <f t="shared" si="20"/>
        <v>5.7471264367816143E-3</v>
      </c>
      <c r="L53" s="94">
        <f>IF(ISNUMBER(J53), $B64 * K53, "")</f>
        <v>862.06896551724219</v>
      </c>
      <c r="M53" s="92">
        <v>3.47</v>
      </c>
      <c r="N53" s="25">
        <f t="shared" si="21"/>
        <v>-2.8735632183907434E-3</v>
      </c>
      <c r="O53" s="94">
        <f>IF(ISNUMBER(M53), $B64 * N53, "")</f>
        <v>-431.03448275861149</v>
      </c>
      <c r="Q53" s="170"/>
      <c r="R53" s="171"/>
      <c r="S53" s="172"/>
    </row>
    <row r="54" spans="1:19" ht="17.25" customHeight="1">
      <c r="A54" s="107" t="s">
        <v>181</v>
      </c>
      <c r="B54" s="108">
        <v>4.45</v>
      </c>
      <c r="C54" s="69">
        <v>0</v>
      </c>
      <c r="D54" s="13">
        <v>4.43</v>
      </c>
      <c r="E54" s="14">
        <f>IF(ISNUMBER(D54), (D54 - $B54) / $B54, "")</f>
        <v>-4.4943820224720137E-3</v>
      </c>
      <c r="F54" s="16">
        <f>IF(ISNUMBER(D54), $B64 * E54, "")</f>
        <v>-674.15730337080208</v>
      </c>
      <c r="G54" s="29">
        <v>4.3</v>
      </c>
      <c r="H54" s="14">
        <f>IF(ISNUMBER(G54), (G54 - $B54) / $B54, "")</f>
        <v>-3.3707865168539401E-2</v>
      </c>
      <c r="I54" s="90">
        <f>IF(ISNUMBER(G54), $B64 * H54, "")</f>
        <v>-5056.1797752809098</v>
      </c>
      <c r="J54" s="13">
        <v>4.6900000000000004</v>
      </c>
      <c r="K54" s="14">
        <f>IF(ISNUMBER(J54), (J54 - $B54) / $B54, "")</f>
        <v>5.3932584269662964E-2</v>
      </c>
      <c r="L54" s="16">
        <f>IF(ISNUMBER(J54), $B64 * K54, "")</f>
        <v>8089.8876404494449</v>
      </c>
      <c r="M54" s="29">
        <v>4.5599999999999996</v>
      </c>
      <c r="N54" s="14">
        <f>IF(ISNUMBER(M54), (M54 - $B54) / $B54, "")</f>
        <v>2.4719101123595377E-2</v>
      </c>
      <c r="O54" s="16">
        <f>IF(ISNUMBER(M54), $B64 * N54, "")</f>
        <v>3707.8651685393065</v>
      </c>
      <c r="Q54" s="173"/>
      <c r="R54" s="174"/>
      <c r="S54" s="175"/>
    </row>
    <row r="55" spans="1:19" ht="17.25" customHeight="1" thickBot="1">
      <c r="A55" s="109" t="s">
        <v>185</v>
      </c>
      <c r="B55" s="110">
        <v>32.799999999999997</v>
      </c>
      <c r="C55" s="70">
        <v>0</v>
      </c>
      <c r="D55" s="15">
        <v>32.6</v>
      </c>
      <c r="E55" s="32">
        <f t="shared" ref="E55:E58" si="22">IF(ISNUMBER(D55), (D55 - $B55) / $B55, "")</f>
        <v>-6.0975609756096271E-3</v>
      </c>
      <c r="F55" s="18">
        <f>IF(ISNUMBER(D55), $B64 * E55, "")</f>
        <v>-914.63414634144408</v>
      </c>
      <c r="G55" s="31">
        <v>31.8</v>
      </c>
      <c r="H55" s="32">
        <f t="shared" ref="H55:H58" si="23">IF(ISNUMBER(G55), (G55 - $B55) / $B55, "")</f>
        <v>-3.0487804878048676E-2</v>
      </c>
      <c r="I55" s="91">
        <f>IF(ISNUMBER(G55), $B64 * H55, "")</f>
        <v>-4573.1707317073015</v>
      </c>
      <c r="J55" s="15">
        <v>32</v>
      </c>
      <c r="K55" s="32">
        <f t="shared" ref="K55:K58" si="24">IF(ISNUMBER(J55), (J55 - $B55) / $B55, "")</f>
        <v>-2.4390243902438939E-2</v>
      </c>
      <c r="L55" s="18">
        <f>IF(ISNUMBER(J55), $B64 * K55, "")</f>
        <v>-3658.5365853658409</v>
      </c>
      <c r="M55" s="31">
        <v>31.7</v>
      </c>
      <c r="N55" s="32">
        <f t="shared" ref="N55:N58" si="25">IF(ISNUMBER(M55), (M55 - $B55) / $B55, "")</f>
        <v>-3.3536585365853598E-2</v>
      </c>
      <c r="O55" s="18">
        <f>IF(ISNUMBER(M55), $B64 * N55, "")</f>
        <v>-5030.4878048780402</v>
      </c>
      <c r="Q55" s="176"/>
      <c r="R55" s="177"/>
      <c r="S55" s="178"/>
    </row>
    <row r="56" spans="1:19" ht="17.25" customHeight="1" thickBot="1">
      <c r="A56" s="109" t="s">
        <v>335</v>
      </c>
      <c r="B56" s="110">
        <v>3.95E-2</v>
      </c>
      <c r="C56" s="70">
        <v>0</v>
      </c>
      <c r="D56" s="15">
        <v>3.9100000000000003E-2</v>
      </c>
      <c r="E56" s="32">
        <f t="shared" si="22"/>
        <v>-1.0126582278480952E-2</v>
      </c>
      <c r="F56" s="18">
        <f>IF(ISNUMBER(D56), $B64 * E56, "")</f>
        <v>-1518.9873417721428</v>
      </c>
      <c r="G56" s="31">
        <v>3.8399999999999997E-2</v>
      </c>
      <c r="H56" s="32">
        <f t="shared" si="23"/>
        <v>-2.7848101265822881E-2</v>
      </c>
      <c r="I56" s="91">
        <f>IF(ISNUMBER(G56), $B64 * H56, "")</f>
        <v>-4177.2151898734319</v>
      </c>
      <c r="J56" s="15">
        <v>3.8600000000000002E-2</v>
      </c>
      <c r="K56" s="32">
        <f t="shared" si="24"/>
        <v>-2.278481012658223E-2</v>
      </c>
      <c r="L56" s="18">
        <f>IF(ISNUMBER(J56), $B64 * K56, "")</f>
        <v>-3417.7215189873345</v>
      </c>
      <c r="M56" s="31">
        <v>3.8399999999999997E-2</v>
      </c>
      <c r="N56" s="32">
        <f t="shared" si="25"/>
        <v>-2.7848101265822881E-2</v>
      </c>
      <c r="O56" s="18">
        <f>IF(ISNUMBER(M56), $B64 * N56, "")</f>
        <v>-4177.2151898734319</v>
      </c>
      <c r="Q56" s="161"/>
      <c r="R56" s="161"/>
      <c r="S56" s="161"/>
    </row>
    <row r="57" spans="1:19" ht="17.25" customHeight="1" thickBot="1">
      <c r="A57" s="109" t="s">
        <v>145</v>
      </c>
      <c r="B57" s="110">
        <v>71.3</v>
      </c>
      <c r="C57" s="70">
        <v>-2.7972028000000002E-3</v>
      </c>
      <c r="D57" s="15">
        <v>71.099999999999994</v>
      </c>
      <c r="E57" s="32">
        <f t="shared" si="22"/>
        <v>-2.8050490883590861E-3</v>
      </c>
      <c r="F57" s="18">
        <f>IF(ISNUMBER(D57), $B64 * E57, "")</f>
        <v>-420.75736325386293</v>
      </c>
      <c r="G57" s="31">
        <v>70.900000000000006</v>
      </c>
      <c r="H57" s="32">
        <f t="shared" si="23"/>
        <v>-5.6100981767179736E-3</v>
      </c>
      <c r="I57" s="91">
        <f>IF(ISNUMBER(G57), $B64 * H57, "")</f>
        <v>-841.51472650769608</v>
      </c>
      <c r="J57" s="15">
        <v>71.400000000000006</v>
      </c>
      <c r="K57" s="32">
        <f t="shared" si="24"/>
        <v>1.4025245441796428E-3</v>
      </c>
      <c r="L57" s="18">
        <f>IF(ISNUMBER(J57), $B64 * K57, "")</f>
        <v>210.37868162694642</v>
      </c>
      <c r="M57" s="31">
        <v>71.400000000000006</v>
      </c>
      <c r="N57" s="32">
        <f t="shared" si="25"/>
        <v>1.4025245441796428E-3</v>
      </c>
      <c r="O57" s="18">
        <f>IF(ISNUMBER(M57), $B64 * N57, "")</f>
        <v>210.37868162694642</v>
      </c>
      <c r="Q57" s="156"/>
      <c r="R57" s="156"/>
      <c r="S57" s="156"/>
    </row>
    <row r="58" spans="1:19" ht="17.25" customHeight="1" thickBot="1">
      <c r="A58" s="111" t="s">
        <v>195</v>
      </c>
      <c r="B58" s="112">
        <v>6.78</v>
      </c>
      <c r="C58" s="71">
        <v>-2.9411764999999999E-3</v>
      </c>
      <c r="D58" s="20">
        <v>6.68</v>
      </c>
      <c r="E58" s="21">
        <f t="shared" si="22"/>
        <v>-1.4749262536873234E-2</v>
      </c>
      <c r="F58" s="22">
        <f>IF(ISNUMBER(D58), $B64 * E58, "")</f>
        <v>-2212.3893805309849</v>
      </c>
      <c r="G58" s="30">
        <v>6.46</v>
      </c>
      <c r="H58" s="21">
        <f t="shared" si="23"/>
        <v>-4.7197640117994141E-2</v>
      </c>
      <c r="I58" s="95">
        <f>IF(ISNUMBER(G58), $B64 * H58, "")</f>
        <v>-7079.6460176991213</v>
      </c>
      <c r="J58" s="20">
        <v>6.62</v>
      </c>
      <c r="K58" s="21">
        <f t="shared" si="24"/>
        <v>-2.3598820058997071E-2</v>
      </c>
      <c r="L58" s="22">
        <f>IF(ISNUMBER(J58), $B64 * K58, "")</f>
        <v>-3539.8230088495607</v>
      </c>
      <c r="M58" s="30">
        <v>6.58</v>
      </c>
      <c r="N58" s="21">
        <f t="shared" si="25"/>
        <v>-2.9498525073746337E-2</v>
      </c>
      <c r="O58" s="22">
        <f>IF(ISNUMBER(M58), $B64 * N58, "")</f>
        <v>-4424.7787610619507</v>
      </c>
      <c r="Q58" s="156"/>
      <c r="R58" s="156"/>
      <c r="S58" s="156"/>
    </row>
    <row r="59" spans="1:19" ht="17.25" customHeight="1" thickBot="1">
      <c r="A59" s="109" t="s">
        <v>155</v>
      </c>
      <c r="B59" s="113">
        <v>30.6</v>
      </c>
      <c r="C59" s="73">
        <v>-3.2573290000000002E-3</v>
      </c>
      <c r="D59" s="96">
        <v>30.2</v>
      </c>
      <c r="E59" s="97">
        <f>IF(ISNUMBER(D59), (D59 - $B59) / $B59, "")</f>
        <v>-1.3071895424836671E-2</v>
      </c>
      <c r="F59" s="98">
        <f>IF(ISNUMBER(D59), $B64 * E59, "")</f>
        <v>-1960.7843137255006</v>
      </c>
      <c r="G59" s="99">
        <v>29.5</v>
      </c>
      <c r="H59" s="97">
        <f>IF(ISNUMBER(G59), (G59 - $B59) / $B59, "")</f>
        <v>-3.5947712418300699E-2</v>
      </c>
      <c r="I59" s="100">
        <f>IF(ISNUMBER(G59), $B64 * H59, "")</f>
        <v>-5392.1568627451052</v>
      </c>
      <c r="J59" s="96">
        <v>30</v>
      </c>
      <c r="K59" s="97">
        <f>IF(ISNUMBER(J59), (J59 - $B59) / $B59, "")</f>
        <v>-1.9607843137254947E-2</v>
      </c>
      <c r="L59" s="98">
        <f>IF(ISNUMBER(J59), $B64 * K59, "")</f>
        <v>-2941.176470588242</v>
      </c>
      <c r="M59" s="99">
        <v>29.7</v>
      </c>
      <c r="N59" s="97">
        <f>IF(ISNUMBER(M59), (M59 - $B59) / $B59, "")</f>
        <v>-2.9411764705882422E-2</v>
      </c>
      <c r="O59" s="98">
        <f>IF(ISNUMBER(M59), $B64 * N59, "")</f>
        <v>-4411.7647058823632</v>
      </c>
      <c r="Q59" s="161"/>
      <c r="R59" s="161"/>
      <c r="S59" s="161"/>
    </row>
    <row r="60" spans="1:19" ht="17.25" customHeight="1" thickBot="1">
      <c r="A60" s="109" t="s">
        <v>240</v>
      </c>
      <c r="B60" s="110">
        <v>29.7</v>
      </c>
      <c r="C60" s="70">
        <v>-3.3557047E-3</v>
      </c>
      <c r="D60" s="15">
        <v>29.3</v>
      </c>
      <c r="E60" s="32">
        <f t="shared" ref="E60:E63" si="26">IF(ISNUMBER(D60), (D60 - $B60) / $B60, "")</f>
        <v>-1.3468013468013421E-2</v>
      </c>
      <c r="F60" s="18">
        <f>IF(ISNUMBER(D60), $B64 * E60, "")</f>
        <v>-2020.202020202013</v>
      </c>
      <c r="G60" s="31">
        <v>28.9</v>
      </c>
      <c r="H60" s="32">
        <f t="shared" ref="H60:H63" si="27">IF(ISNUMBER(G60), (G60 - $B60) / $B60, "")</f>
        <v>-2.6936026936026959E-2</v>
      </c>
      <c r="I60" s="91">
        <f>IF(ISNUMBER(G60), $B64 * H60, "")</f>
        <v>-4040.4040404040438</v>
      </c>
      <c r="J60" s="15">
        <v>29.8</v>
      </c>
      <c r="K60" s="32">
        <f t="shared" ref="K60:K63" si="28">IF(ISNUMBER(J60), (J60 - $B60) / $B60, "")</f>
        <v>3.367003367003415E-3</v>
      </c>
      <c r="L60" s="18">
        <f>IF(ISNUMBER(J60), $B64 * K60, "")</f>
        <v>505.05050505051224</v>
      </c>
      <c r="M60" s="31">
        <v>29.6</v>
      </c>
      <c r="N60" s="32">
        <f t="shared" ref="N60:N63" si="29">IF(ISNUMBER(M60), (M60 - $B60) / $B60, "")</f>
        <v>-3.3670033670032953E-3</v>
      </c>
      <c r="O60" s="18">
        <f>IF(ISNUMBER(M60), $B64 * N60, "")</f>
        <v>-505.05050505049428</v>
      </c>
      <c r="Q60" s="161"/>
      <c r="R60" s="161"/>
      <c r="S60" s="161"/>
    </row>
    <row r="61" spans="1:19" ht="17.25" customHeight="1" thickBot="1">
      <c r="A61" s="109" t="s">
        <v>212</v>
      </c>
      <c r="B61" s="110">
        <v>87.8</v>
      </c>
      <c r="C61" s="70">
        <v>-3.4052213E-3</v>
      </c>
      <c r="D61" s="15">
        <v>88.5</v>
      </c>
      <c r="E61" s="32">
        <f t="shared" si="26"/>
        <v>7.9726651480638133E-3</v>
      </c>
      <c r="F61" s="18">
        <f>IF(ISNUMBER(D61), $B64 * E61, "")</f>
        <v>1195.8997722095719</v>
      </c>
      <c r="G61" s="31">
        <v>83.3</v>
      </c>
      <c r="H61" s="32">
        <f t="shared" si="27"/>
        <v>-5.1252847380410027E-2</v>
      </c>
      <c r="I61" s="91">
        <f>IF(ISNUMBER(G61), $B64 * H61, "")</f>
        <v>-7687.9271070615041</v>
      </c>
      <c r="J61" s="15">
        <v>84.6</v>
      </c>
      <c r="K61" s="32">
        <f t="shared" si="28"/>
        <v>-3.6446469248291605E-2</v>
      </c>
      <c r="L61" s="18">
        <f>IF(ISNUMBER(J61), $B64 * K61, "")</f>
        <v>-5466.9703872437403</v>
      </c>
      <c r="M61" s="31">
        <v>84.7</v>
      </c>
      <c r="N61" s="32">
        <f t="shared" si="29"/>
        <v>-3.5307517084282397E-2</v>
      </c>
      <c r="O61" s="18">
        <f>IF(ISNUMBER(M61), $B64 * N61, "")</f>
        <v>-5296.1275626423594</v>
      </c>
      <c r="Q61" s="161"/>
      <c r="R61" s="161"/>
      <c r="S61" s="161"/>
    </row>
    <row r="62" spans="1:19" ht="17.25" customHeight="1">
      <c r="A62" s="109" t="s">
        <v>228</v>
      </c>
      <c r="B62" s="110">
        <v>65.3</v>
      </c>
      <c r="C62" s="70">
        <v>-4.5731707000000003E-3</v>
      </c>
      <c r="D62" s="15">
        <v>64</v>
      </c>
      <c r="E62" s="32">
        <f t="shared" si="26"/>
        <v>-1.9908116385911136E-2</v>
      </c>
      <c r="F62" s="18">
        <f>IF(ISNUMBER(D62), $B64 * E62, "")</f>
        <v>-2986.2174578866707</v>
      </c>
      <c r="G62" s="31">
        <v>62.9</v>
      </c>
      <c r="H62" s="32">
        <f t="shared" si="27"/>
        <v>-3.6753445635528313E-2</v>
      </c>
      <c r="I62" s="91">
        <f>IF(ISNUMBER(G62), $B64 * H62, "")</f>
        <v>-5513.0168453292472</v>
      </c>
      <c r="J62" s="15">
        <v>63.3</v>
      </c>
      <c r="K62" s="32">
        <f t="shared" si="28"/>
        <v>-3.0627871362940276E-2</v>
      </c>
      <c r="L62" s="18">
        <f>IF(ISNUMBER(J62), $B64 * K62, "")</f>
        <v>-4594.1807044410416</v>
      </c>
      <c r="M62" s="31">
        <v>63.3</v>
      </c>
      <c r="N62" s="32">
        <f t="shared" si="29"/>
        <v>-3.0627871362940276E-2</v>
      </c>
      <c r="O62" s="18">
        <f>IF(ISNUMBER(M62), $B64 * N62, "")</f>
        <v>-4594.1807044410416</v>
      </c>
      <c r="Q62" s="183"/>
      <c r="R62" s="184"/>
      <c r="S62" s="185"/>
    </row>
    <row r="63" spans="1:19" ht="17.25" customHeight="1" thickBot="1">
      <c r="A63" s="114" t="s">
        <v>224</v>
      </c>
      <c r="B63" s="115">
        <v>21.5</v>
      </c>
      <c r="C63" s="72">
        <v>-4.6296295999999999E-3</v>
      </c>
      <c r="D63" s="24">
        <v>20.8</v>
      </c>
      <c r="E63" s="25">
        <f t="shared" si="26"/>
        <v>-3.2558139534883686E-2</v>
      </c>
      <c r="F63" s="94">
        <f>IF(ISNUMBER(D63), $B64 * E63, "")</f>
        <v>-4883.7209302325527</v>
      </c>
      <c r="G63" s="92">
        <v>20.6</v>
      </c>
      <c r="H63" s="25">
        <f t="shared" si="27"/>
        <v>-4.1860465116279007E-2</v>
      </c>
      <c r="I63" s="93">
        <f>IF(ISNUMBER(G63), $B64 * H63, "")</f>
        <v>-6279.0697674418507</v>
      </c>
      <c r="J63" s="24">
        <v>20.8</v>
      </c>
      <c r="K63" s="25">
        <f t="shared" si="28"/>
        <v>-3.2558139534883686E-2</v>
      </c>
      <c r="L63" s="94">
        <f>IF(ISNUMBER(J63), $B64 * K63, "")</f>
        <v>-4883.7209302325527</v>
      </c>
      <c r="M63" s="92">
        <v>20.6</v>
      </c>
      <c r="N63" s="25">
        <f t="shared" si="29"/>
        <v>-4.1860465116279007E-2</v>
      </c>
      <c r="O63" s="94">
        <f>IF(ISNUMBER(M63), $B64 * N63, "")</f>
        <v>-6279.0697674418507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-1.4569405037151832E-3</v>
      </c>
      <c r="F64" s="28">
        <f>SUM(F44:F63)</f>
        <v>-4370.821511145552</v>
      </c>
      <c r="G64" s="26" t="s">
        <v>261</v>
      </c>
      <c r="H64" s="27">
        <f>IF(COUNT(H44:H63), SUM(H44:H63) / COUNT(H44:H63), 0)</f>
        <v>-3.2058568812058291E-2</v>
      </c>
      <c r="I64" s="28">
        <f>SUM(I44:I63)</f>
        <v>-96175.706436174863</v>
      </c>
      <c r="J64" s="26" t="s">
        <v>261</v>
      </c>
      <c r="K64" s="27">
        <f>IF(COUNT(K44:K63), SUM(K44:K63) / COUNT(K44:K63), 0)</f>
        <v>-1.798269849238928E-2</v>
      </c>
      <c r="L64" s="28">
        <f>SUM(L44:L63)</f>
        <v>-53948.095477167852</v>
      </c>
      <c r="M64" s="26" t="s">
        <v>261</v>
      </c>
      <c r="N64" s="27">
        <f>IF(COUNT(N44:N63), SUM(N44:N63) / COUNT(N44:N63), 0)</f>
        <v>-2.8629815688839044E-2</v>
      </c>
      <c r="O64" s="28">
        <f>SUM(O44:O63)</f>
        <v>-85889.44706651711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2022-12-07(수) 오전 00:00</v>
      </c>
      <c r="C69" s="199"/>
      <c r="D69" s="158" t="str">
        <f>TEXT($G$1, "[$-ko-KR]yyyy-mm-dd(ddd) ") &amp; "오후 14:00"</f>
        <v>2022-12-07(수) 오후 14:00</v>
      </c>
      <c r="E69" s="159"/>
      <c r="F69" s="160"/>
      <c r="G69" s="158" t="str">
        <f>TEXT($G$1, "[$-ko-KR]yyyy-mm-dd(ddd) ") &amp; "오후 19:00"</f>
        <v>2022-12-07(수) 오후 19:00</v>
      </c>
      <c r="H69" s="159"/>
      <c r="I69" s="160"/>
      <c r="J69" s="158" t="str">
        <f>TEXT($G$1, "[$-ko-KR]yyyy-mm-dd(ddd) ") &amp; "오후 21:00"</f>
        <v>2022-12-07(수) 오후 21:00</v>
      </c>
      <c r="K69" s="159"/>
      <c r="L69" s="160"/>
      <c r="M69" s="158" t="str">
        <f>TEXT($G$1+1, "[$-ko-KR]yyyy-mm-dd(ddd) ") &amp; "오전 00:00"</f>
        <v>2022-12-08(목)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187</v>
      </c>
      <c r="B71" s="108">
        <v>898</v>
      </c>
      <c r="C71" s="69">
        <v>0.14249363870000001</v>
      </c>
      <c r="D71" s="13">
        <v>810</v>
      </c>
      <c r="E71" s="14">
        <f>IF(ISNUMBER(D71), (D71 - $B71) / $B71, "")</f>
        <v>-9.7995545657015584E-2</v>
      </c>
      <c r="F71" s="16">
        <f>IF(ISNUMBER(D71), $B91 * E71, "")</f>
        <v>-14699.331848552338</v>
      </c>
      <c r="G71" s="29">
        <v>798</v>
      </c>
      <c r="H71" s="14">
        <f>IF(ISNUMBER(G71), (G71 - $B71) / $B71, "")</f>
        <v>-0.111358574610245</v>
      </c>
      <c r="I71" s="90">
        <f>IF(ISNUMBER(G71), $B91 * H71, "")</f>
        <v>-16703.78619153675</v>
      </c>
      <c r="J71" s="13">
        <v>809</v>
      </c>
      <c r="K71" s="14">
        <f>IF(ISNUMBER(J71), (J71 - $B71) / $B71, "")</f>
        <v>-9.9109131403118042E-2</v>
      </c>
      <c r="L71" s="16">
        <f>IF(ISNUMBER(J71), $B91 * K71, "")</f>
        <v>-14866.369710467707</v>
      </c>
      <c r="M71" s="29">
        <v>806</v>
      </c>
      <c r="N71" s="14">
        <f>IF(ISNUMBER(M71), (M71 - $B71) / $B71, "")</f>
        <v>-0.10244988864142539</v>
      </c>
      <c r="O71" s="16">
        <f>IF(ISNUMBER(M71), $B91 * N71, "")</f>
        <v>-15367.483296213808</v>
      </c>
      <c r="Q71" s="156"/>
      <c r="R71" s="156"/>
      <c r="S71" s="156"/>
    </row>
    <row r="72" spans="1:19" ht="17.25" thickBot="1">
      <c r="A72" s="109" t="s">
        <v>157</v>
      </c>
      <c r="B72" s="110">
        <v>174</v>
      </c>
      <c r="C72" s="70">
        <v>5.45454545E-2</v>
      </c>
      <c r="D72" s="15">
        <v>171</v>
      </c>
      <c r="E72" s="32">
        <f t="shared" ref="E72:E75" si="30">IF(ISNUMBER(D72), (D72 - $B72) / $B72, "")</f>
        <v>-1.7241379310344827E-2</v>
      </c>
      <c r="F72" s="18">
        <f>IF(ISNUMBER(D72), $B91 * E72, "")</f>
        <v>-2586.2068965517242</v>
      </c>
      <c r="G72" s="31">
        <v>169</v>
      </c>
      <c r="H72" s="32">
        <f t="shared" ref="H72:H75" si="31">IF(ISNUMBER(G72), (G72 - $B72) / $B72, "")</f>
        <v>-2.8735632183908046E-2</v>
      </c>
      <c r="I72" s="91">
        <f>IF(ISNUMBER(G72), $B91 * H72, "")</f>
        <v>-4310.3448275862065</v>
      </c>
      <c r="J72" s="15">
        <v>170</v>
      </c>
      <c r="K72" s="32">
        <f t="shared" ref="K72:K75" si="32">IF(ISNUMBER(J72), (J72 - $B72) / $B72, "")</f>
        <v>-2.2988505747126436E-2</v>
      </c>
      <c r="L72" s="18">
        <f>IF(ISNUMBER(J72), $B91 * K72, "")</f>
        <v>-3448.2758620689656</v>
      </c>
      <c r="M72" s="31">
        <v>172</v>
      </c>
      <c r="N72" s="32">
        <f t="shared" ref="N72:N75" si="33">IF(ISNUMBER(M72), (M72 - $B72) / $B72, "")</f>
        <v>-1.1494252873563218E-2</v>
      </c>
      <c r="O72" s="18">
        <f>IF(ISNUMBER(M72), $B91 * N72, "")</f>
        <v>-1724.1379310344828</v>
      </c>
      <c r="Q72" s="156"/>
      <c r="R72" s="156"/>
      <c r="S72" s="156"/>
    </row>
    <row r="73" spans="1:19" ht="17.25" thickBot="1">
      <c r="A73" s="109" t="s">
        <v>130</v>
      </c>
      <c r="B73" s="110">
        <v>895</v>
      </c>
      <c r="C73" s="70">
        <v>3.7079953700000001E-2</v>
      </c>
      <c r="D73" s="15">
        <v>873</v>
      </c>
      <c r="E73" s="32">
        <f t="shared" si="30"/>
        <v>-2.4581005586592177E-2</v>
      </c>
      <c r="F73" s="18">
        <f>IF(ISNUMBER(D73), $B91 * E73, "")</f>
        <v>-3687.1508379888264</v>
      </c>
      <c r="G73" s="31">
        <v>837</v>
      </c>
      <c r="H73" s="32">
        <f t="shared" si="31"/>
        <v>-6.4804469273743018E-2</v>
      </c>
      <c r="I73" s="91">
        <f>IF(ISNUMBER(G73), $B91 * H73, "")</f>
        <v>-9720.6703910614524</v>
      </c>
      <c r="J73" s="15">
        <v>843</v>
      </c>
      <c r="K73" s="32">
        <f t="shared" si="32"/>
        <v>-5.8100558659217878E-2</v>
      </c>
      <c r="L73" s="18">
        <f>IF(ISNUMBER(J73), $B91 * K73, "")</f>
        <v>-8715.0837988826825</v>
      </c>
      <c r="M73" s="31">
        <v>835</v>
      </c>
      <c r="N73" s="32">
        <f t="shared" si="33"/>
        <v>-6.7039106145251395E-2</v>
      </c>
      <c r="O73" s="18">
        <f>IF(ISNUMBER(M73), $B91 * N73, "")</f>
        <v>-10055.865921787708</v>
      </c>
      <c r="Q73" s="161"/>
      <c r="R73" s="161"/>
      <c r="S73" s="161"/>
    </row>
    <row r="74" spans="1:19" ht="17.25" thickBot="1">
      <c r="A74" s="109" t="s">
        <v>346</v>
      </c>
      <c r="B74" s="110">
        <v>540</v>
      </c>
      <c r="C74" s="70">
        <v>2.2727272699999999E-2</v>
      </c>
      <c r="D74" s="15">
        <v>546</v>
      </c>
      <c r="E74" s="32">
        <f t="shared" si="30"/>
        <v>1.1111111111111112E-2</v>
      </c>
      <c r="F74" s="18">
        <f>IF(ISNUMBER(D74), $B91 * E74, "")</f>
        <v>1666.6666666666667</v>
      </c>
      <c r="G74" s="31">
        <v>529</v>
      </c>
      <c r="H74" s="32">
        <f t="shared" si="31"/>
        <v>-2.0370370370370372E-2</v>
      </c>
      <c r="I74" s="91">
        <f>IF(ISNUMBER(G74), $B91 * H74, "")</f>
        <v>-3055.5555555555557</v>
      </c>
      <c r="J74" s="15">
        <v>555</v>
      </c>
      <c r="K74" s="32">
        <f t="shared" si="32"/>
        <v>2.7777777777777776E-2</v>
      </c>
      <c r="L74" s="18">
        <f>IF(ISNUMBER(J74), $B91 * K74, "")</f>
        <v>4166.6666666666661</v>
      </c>
      <c r="M74" s="31">
        <v>547</v>
      </c>
      <c r="N74" s="32">
        <f t="shared" si="33"/>
        <v>1.2962962962962963E-2</v>
      </c>
      <c r="O74" s="18">
        <f>IF(ISNUMBER(M74), $B91 * N74, "")</f>
        <v>1944.4444444444443</v>
      </c>
      <c r="Q74" s="161"/>
      <c r="R74" s="161"/>
      <c r="S74" s="161"/>
    </row>
    <row r="75" spans="1:19" ht="17.25" thickBot="1">
      <c r="A75" s="111" t="s">
        <v>216</v>
      </c>
      <c r="B75" s="112">
        <v>529</v>
      </c>
      <c r="C75" s="71">
        <v>1.9267822699999999E-2</v>
      </c>
      <c r="D75" s="20">
        <v>512</v>
      </c>
      <c r="E75" s="21">
        <f t="shared" si="30"/>
        <v>-3.2136105860113423E-2</v>
      </c>
      <c r="F75" s="22">
        <f>IF(ISNUMBER(D75), $B91 * E75, "")</f>
        <v>-4820.4158790170131</v>
      </c>
      <c r="G75" s="30">
        <v>502</v>
      </c>
      <c r="H75" s="21">
        <f t="shared" si="31"/>
        <v>-5.1039697542533083E-2</v>
      </c>
      <c r="I75" s="95">
        <f>IF(ISNUMBER(G75), $B91 * H75, "")</f>
        <v>-7655.9546313799628</v>
      </c>
      <c r="J75" s="20">
        <v>508</v>
      </c>
      <c r="K75" s="21">
        <f t="shared" si="32"/>
        <v>-3.9697542533081283E-2</v>
      </c>
      <c r="L75" s="22">
        <f>IF(ISNUMBER(J75), $B91 * K75, "")</f>
        <v>-5954.6313799621921</v>
      </c>
      <c r="M75" s="30">
        <v>506</v>
      </c>
      <c r="N75" s="21">
        <f t="shared" si="33"/>
        <v>-4.3478260869565216E-2</v>
      </c>
      <c r="O75" s="22">
        <f>IF(ISNUMBER(M75), $B91 * N75, "")</f>
        <v>-6521.7391304347821</v>
      </c>
      <c r="Q75" s="161"/>
      <c r="R75" s="161"/>
      <c r="S75" s="161"/>
    </row>
    <row r="76" spans="1:19" ht="17.25" thickBot="1">
      <c r="A76" s="109" t="s">
        <v>337</v>
      </c>
      <c r="B76" s="113">
        <v>335</v>
      </c>
      <c r="C76" s="73">
        <v>1.51515152E-2</v>
      </c>
      <c r="D76" s="96">
        <v>336</v>
      </c>
      <c r="E76" s="97">
        <f>IF(ISNUMBER(D76), (D76 - $B76) / $B76, "")</f>
        <v>2.9850746268656717E-3</v>
      </c>
      <c r="F76" s="98">
        <f>IF(ISNUMBER(D76), $B91 * E76, "")</f>
        <v>447.76119402985074</v>
      </c>
      <c r="G76" s="99">
        <v>322</v>
      </c>
      <c r="H76" s="97">
        <f>IF(ISNUMBER(G76), (G76 - $B76) / $B76, "")</f>
        <v>-3.880597014925373E-2</v>
      </c>
      <c r="I76" s="100">
        <f>IF(ISNUMBER(G76), $B91 * H76, "")</f>
        <v>-5820.8955223880594</v>
      </c>
      <c r="J76" s="96">
        <v>324</v>
      </c>
      <c r="K76" s="97">
        <f>IF(ISNUMBER(J76), (J76 - $B76) / $B76, "")</f>
        <v>-3.2835820895522387E-2</v>
      </c>
      <c r="L76" s="98">
        <f>IF(ISNUMBER(J76), $B91 * K76, "")</f>
        <v>-4925.373134328358</v>
      </c>
      <c r="M76" s="99">
        <v>323</v>
      </c>
      <c r="N76" s="97">
        <f>IF(ISNUMBER(M76), (M76 - $B76) / $B76, "")</f>
        <v>-3.5820895522388062E-2</v>
      </c>
      <c r="O76" s="98">
        <f>IF(ISNUMBER(M76), $B91 * N76, "")</f>
        <v>-5373.1343283582091</v>
      </c>
      <c r="Q76" s="161"/>
      <c r="R76" s="161"/>
      <c r="S76" s="161"/>
    </row>
    <row r="77" spans="1:19" ht="17.25" thickBot="1">
      <c r="A77" s="109" t="s">
        <v>342</v>
      </c>
      <c r="B77" s="110">
        <v>140</v>
      </c>
      <c r="C77" s="70">
        <v>1.44927536E-2</v>
      </c>
      <c r="D77" s="15">
        <v>137</v>
      </c>
      <c r="E77" s="32">
        <f t="shared" ref="E77:E80" si="34">IF(ISNUMBER(D77), (D77 - $B77) / $B77, "")</f>
        <v>-2.1428571428571429E-2</v>
      </c>
      <c r="F77" s="18">
        <f>IF(ISNUMBER(D77), $B91 * E77, "")</f>
        <v>-3214.2857142857142</v>
      </c>
      <c r="G77" s="31">
        <v>137</v>
      </c>
      <c r="H77" s="32">
        <f t="shared" ref="H77:H80" si="35">IF(ISNUMBER(G77), (G77 - $B77) / $B77, "")</f>
        <v>-2.1428571428571429E-2</v>
      </c>
      <c r="I77" s="91">
        <f>IF(ISNUMBER(G77), $B91 * H77, "")</f>
        <v>-3214.2857142857142</v>
      </c>
      <c r="J77" s="15">
        <v>134</v>
      </c>
      <c r="K77" s="32">
        <f t="shared" ref="K77:K80" si="36">IF(ISNUMBER(J77), (J77 - $B77) / $B77, "")</f>
        <v>-4.2857142857142858E-2</v>
      </c>
      <c r="L77" s="18">
        <f>IF(ISNUMBER(J77), $B91 * K77, "")</f>
        <v>-6428.5714285714284</v>
      </c>
      <c r="M77" s="31">
        <v>134</v>
      </c>
      <c r="N77" s="32">
        <f t="shared" ref="N77:N80" si="37">IF(ISNUMBER(M77), (M77 - $B77) / $B77, "")</f>
        <v>-4.2857142857142858E-2</v>
      </c>
      <c r="O77" s="18">
        <f>IF(ISNUMBER(M77), $B91 * N77, "")</f>
        <v>-6428.5714285714284</v>
      </c>
      <c r="Q77" s="161"/>
      <c r="R77" s="161"/>
      <c r="S77" s="161"/>
    </row>
    <row r="78" spans="1:19" ht="17.25" thickBot="1">
      <c r="A78" s="109" t="s">
        <v>183</v>
      </c>
      <c r="B78" s="110">
        <v>150</v>
      </c>
      <c r="C78" s="70">
        <v>1.3513513499999999E-2</v>
      </c>
      <c r="D78" s="15">
        <v>147</v>
      </c>
      <c r="E78" s="32">
        <f t="shared" si="34"/>
        <v>-0.02</v>
      </c>
      <c r="F78" s="18">
        <f>IF(ISNUMBER(D78), $B91 * E78, "")</f>
        <v>-3000</v>
      </c>
      <c r="G78" s="31">
        <v>143</v>
      </c>
      <c r="H78" s="32">
        <f t="shared" si="35"/>
        <v>-4.6666666666666669E-2</v>
      </c>
      <c r="I78" s="91">
        <f>IF(ISNUMBER(G78), $B91 * H78, "")</f>
        <v>-7000</v>
      </c>
      <c r="J78" s="15">
        <v>144</v>
      </c>
      <c r="K78" s="32">
        <f t="shared" si="36"/>
        <v>-0.04</v>
      </c>
      <c r="L78" s="18">
        <f>IF(ISNUMBER(J78), $B91 * K78, "")</f>
        <v>-6000</v>
      </c>
      <c r="M78" s="31">
        <v>143</v>
      </c>
      <c r="N78" s="32">
        <f t="shared" si="37"/>
        <v>-4.6666666666666669E-2</v>
      </c>
      <c r="O78" s="18">
        <f>IF(ISNUMBER(M78), $B91 * N78, "")</f>
        <v>-7000</v>
      </c>
      <c r="Q78" s="161"/>
      <c r="R78" s="161"/>
      <c r="S78" s="161"/>
    </row>
    <row r="79" spans="1:19" ht="17.25" thickBot="1">
      <c r="A79" s="109" t="s">
        <v>232</v>
      </c>
      <c r="B79" s="110">
        <v>301</v>
      </c>
      <c r="C79" s="70">
        <v>1.00671141E-2</v>
      </c>
      <c r="D79" s="15">
        <v>298</v>
      </c>
      <c r="E79" s="32">
        <f t="shared" si="34"/>
        <v>-9.9667774086378731E-3</v>
      </c>
      <c r="F79" s="18">
        <f>IF(ISNUMBER(D79), $B91 * E79, "")</f>
        <v>-1495.0166112956811</v>
      </c>
      <c r="G79" s="31">
        <v>288</v>
      </c>
      <c r="H79" s="32">
        <f t="shared" si="35"/>
        <v>-4.3189368770764118E-2</v>
      </c>
      <c r="I79" s="91">
        <f>IF(ISNUMBER(G79), $B91 * H79, "")</f>
        <v>-6478.4053156146174</v>
      </c>
      <c r="J79" s="15">
        <v>293</v>
      </c>
      <c r="K79" s="32">
        <f t="shared" si="36"/>
        <v>-2.6578073089700997E-2</v>
      </c>
      <c r="L79" s="18">
        <f>IF(ISNUMBER(J79), $B91 * K79, "")</f>
        <v>-3986.7109634551498</v>
      </c>
      <c r="M79" s="31">
        <v>291</v>
      </c>
      <c r="N79" s="32">
        <f t="shared" si="37"/>
        <v>-3.3222591362126248E-2</v>
      </c>
      <c r="O79" s="18">
        <f>IF(ISNUMBER(M79), $B91 * N79, "")</f>
        <v>-4983.388704318937</v>
      </c>
      <c r="Q79" s="33"/>
      <c r="R79" s="33"/>
    </row>
    <row r="80" spans="1:19" ht="17.25" thickBot="1">
      <c r="A80" s="114" t="s">
        <v>79</v>
      </c>
      <c r="B80" s="115">
        <v>312</v>
      </c>
      <c r="C80" s="72">
        <v>9.7087379000000001E-3</v>
      </c>
      <c r="D80" s="24">
        <v>305</v>
      </c>
      <c r="E80" s="25">
        <f t="shared" si="34"/>
        <v>-2.2435897435897436E-2</v>
      </c>
      <c r="F80" s="94">
        <f>IF(ISNUMBER(D80), $B91 * E80, "")</f>
        <v>-3365.3846153846152</v>
      </c>
      <c r="G80" s="92">
        <v>296</v>
      </c>
      <c r="H80" s="25">
        <f t="shared" si="35"/>
        <v>-5.128205128205128E-2</v>
      </c>
      <c r="I80" s="93">
        <f>IF(ISNUMBER(G80), $B91 * H80, "")</f>
        <v>-7692.3076923076924</v>
      </c>
      <c r="J80" s="24">
        <v>299</v>
      </c>
      <c r="K80" s="25">
        <f t="shared" si="36"/>
        <v>-4.1666666666666664E-2</v>
      </c>
      <c r="L80" s="94">
        <f>IF(ISNUMBER(J80), $B91 * K80, "")</f>
        <v>-6250</v>
      </c>
      <c r="M80" s="92">
        <v>299</v>
      </c>
      <c r="N80" s="25">
        <f t="shared" si="37"/>
        <v>-4.1666666666666664E-2</v>
      </c>
      <c r="O80" s="94">
        <f>IF(ISNUMBER(M80), $B91 * N80, "")</f>
        <v>-6250</v>
      </c>
      <c r="Q80" s="170"/>
      <c r="R80" s="171"/>
      <c r="S80" s="172"/>
    </row>
    <row r="81" spans="1:19">
      <c r="A81" s="107" t="s">
        <v>242</v>
      </c>
      <c r="B81" s="108">
        <v>467</v>
      </c>
      <c r="C81" s="69">
        <v>4.3010753000000002E-3</v>
      </c>
      <c r="D81" s="13">
        <v>455</v>
      </c>
      <c r="E81" s="14">
        <f>IF(ISNUMBER(D81), (D81 - $B81) / $B81, "")</f>
        <v>-2.569593147751606E-2</v>
      </c>
      <c r="F81" s="16">
        <f>IF(ISNUMBER(D81), $B91 * E81, "")</f>
        <v>-3854.389721627409</v>
      </c>
      <c r="G81" s="29">
        <v>442</v>
      </c>
      <c r="H81" s="14">
        <f>IF(ISNUMBER(G81), (G81 - $B81) / $B81, "")</f>
        <v>-5.353319057815846E-2</v>
      </c>
      <c r="I81" s="90">
        <f>IF(ISNUMBER(G81), $B91 * H81, "")</f>
        <v>-8029.9785867237688</v>
      </c>
      <c r="J81" s="13">
        <v>453</v>
      </c>
      <c r="K81" s="14">
        <f>IF(ISNUMBER(J81), (J81 - $B81) / $B81, "")</f>
        <v>-2.9978586723768737E-2</v>
      </c>
      <c r="L81" s="16">
        <f>IF(ISNUMBER(J81), $B91 * K81, "")</f>
        <v>-4496.7880085653105</v>
      </c>
      <c r="M81" s="29">
        <v>449</v>
      </c>
      <c r="N81" s="14">
        <f>IF(ISNUMBER(M81), (M81 - $B81) / $B81, "")</f>
        <v>-3.8543897216274089E-2</v>
      </c>
      <c r="O81" s="16">
        <f>IF(ISNUMBER(M81), $B91 * N81, "")</f>
        <v>-5781.5845824411135</v>
      </c>
      <c r="Q81" s="173"/>
      <c r="R81" s="174"/>
      <c r="S81" s="175"/>
    </row>
    <row r="82" spans="1:19" ht="17.25" thickBot="1">
      <c r="A82" s="109" t="s">
        <v>105</v>
      </c>
      <c r="B82" s="110">
        <v>242</v>
      </c>
      <c r="C82" s="70">
        <v>4.1493776000000003E-3</v>
      </c>
      <c r="D82" s="15">
        <v>240</v>
      </c>
      <c r="E82" s="32">
        <f t="shared" ref="E82:E85" si="38">IF(ISNUMBER(D82), (D82 - $B82) / $B82, "")</f>
        <v>-8.2644628099173556E-3</v>
      </c>
      <c r="F82" s="18">
        <f>IF(ISNUMBER(D82), $B91 * E82, "")</f>
        <v>-1239.6694214876034</v>
      </c>
      <c r="G82" s="31">
        <v>234</v>
      </c>
      <c r="H82" s="32">
        <f t="shared" ref="H82:H85" si="39">IF(ISNUMBER(G82), (G82 - $B82) / $B82, "")</f>
        <v>-3.3057851239669422E-2</v>
      </c>
      <c r="I82" s="91">
        <f>IF(ISNUMBER(G82), $B91 * H82, "")</f>
        <v>-4958.6776859504134</v>
      </c>
      <c r="J82" s="15">
        <v>234</v>
      </c>
      <c r="K82" s="32">
        <f t="shared" ref="K82:K85" si="40">IF(ISNUMBER(J82), (J82 - $B82) / $B82, "")</f>
        <v>-3.3057851239669422E-2</v>
      </c>
      <c r="L82" s="18">
        <f>IF(ISNUMBER(J82), $B91 * K82, "")</f>
        <v>-4958.6776859504134</v>
      </c>
      <c r="M82" s="31">
        <v>234</v>
      </c>
      <c r="N82" s="32">
        <f t="shared" ref="N82:N85" si="41">IF(ISNUMBER(M82), (M82 - $B82) / $B82, "")</f>
        <v>-3.3057851239669422E-2</v>
      </c>
      <c r="O82" s="18">
        <f>IF(ISNUMBER(M82), $B91 * N82, "")</f>
        <v>-4958.6776859504134</v>
      </c>
      <c r="Q82" s="176"/>
      <c r="R82" s="177"/>
      <c r="S82" s="178"/>
    </row>
    <row r="83" spans="1:19" ht="17.25" thickBot="1">
      <c r="A83" s="109" t="s">
        <v>66</v>
      </c>
      <c r="B83" s="110">
        <v>754</v>
      </c>
      <c r="C83" s="70">
        <v>3.9946738000000001E-3</v>
      </c>
      <c r="D83" s="15">
        <v>737</v>
      </c>
      <c r="E83" s="32">
        <f t="shared" si="38"/>
        <v>-2.2546419098143235E-2</v>
      </c>
      <c r="F83" s="18">
        <f>IF(ISNUMBER(D83), $B91 * E83, "")</f>
        <v>-3381.9628647214854</v>
      </c>
      <c r="G83" s="31">
        <v>725</v>
      </c>
      <c r="H83" s="32">
        <f t="shared" si="39"/>
        <v>-3.8461538461538464E-2</v>
      </c>
      <c r="I83" s="91">
        <f>IF(ISNUMBER(G83), $B91 * H83, "")</f>
        <v>-5769.2307692307695</v>
      </c>
      <c r="J83" s="15">
        <v>728</v>
      </c>
      <c r="K83" s="32">
        <f t="shared" si="40"/>
        <v>-3.4482758620689655E-2</v>
      </c>
      <c r="L83" s="18">
        <f>IF(ISNUMBER(J83), $B91 * K83, "")</f>
        <v>-5172.4137931034484</v>
      </c>
      <c r="M83" s="31">
        <v>730</v>
      </c>
      <c r="N83" s="32">
        <f t="shared" si="41"/>
        <v>-3.1830238726790451E-2</v>
      </c>
      <c r="O83" s="18">
        <f>IF(ISNUMBER(M83), $B91 * N83, "")</f>
        <v>-4774.5358090185673</v>
      </c>
      <c r="Q83" s="161"/>
      <c r="R83" s="161"/>
      <c r="S83" s="161"/>
    </row>
    <row r="84" spans="1:19" ht="17.25" thickBot="1">
      <c r="A84" s="109" t="s">
        <v>111</v>
      </c>
      <c r="B84" s="110">
        <v>825</v>
      </c>
      <c r="C84" s="70">
        <v>1.2135922E-3</v>
      </c>
      <c r="D84" s="15">
        <v>806</v>
      </c>
      <c r="E84" s="32">
        <f t="shared" si="38"/>
        <v>-2.3030303030303029E-2</v>
      </c>
      <c r="F84" s="18">
        <f>IF(ISNUMBER(D84), $B91 * E84, "")</f>
        <v>-3454.5454545454545</v>
      </c>
      <c r="G84" s="31">
        <v>778</v>
      </c>
      <c r="H84" s="32">
        <f t="shared" si="39"/>
        <v>-5.6969696969696969E-2</v>
      </c>
      <c r="I84" s="91">
        <f>IF(ISNUMBER(G84), $B91 * H84, "")</f>
        <v>-8545.454545454546</v>
      </c>
      <c r="J84" s="15">
        <v>786</v>
      </c>
      <c r="K84" s="32">
        <f t="shared" si="40"/>
        <v>-4.7272727272727272E-2</v>
      </c>
      <c r="L84" s="18">
        <f>IF(ISNUMBER(J84), $B91 * K84, "")</f>
        <v>-7090.909090909091</v>
      </c>
      <c r="M84" s="31">
        <v>778</v>
      </c>
      <c r="N84" s="32">
        <f t="shared" si="41"/>
        <v>-5.6969696969696969E-2</v>
      </c>
      <c r="O84" s="18">
        <f>IF(ISNUMBER(M84), $B91 * N84, "")</f>
        <v>-8545.454545454546</v>
      </c>
      <c r="Q84" s="156"/>
      <c r="R84" s="156"/>
      <c r="S84" s="156"/>
    </row>
    <row r="85" spans="1:19" ht="17.25" thickBot="1">
      <c r="A85" s="111" t="s">
        <v>234</v>
      </c>
      <c r="B85" s="112">
        <v>373</v>
      </c>
      <c r="C85" s="71">
        <v>0</v>
      </c>
      <c r="D85" s="20">
        <v>365</v>
      </c>
      <c r="E85" s="21">
        <f t="shared" si="38"/>
        <v>-2.1447721179624665E-2</v>
      </c>
      <c r="F85" s="22">
        <f>IF(ISNUMBER(D85), $B91 * E85, "")</f>
        <v>-3217.1581769436998</v>
      </c>
      <c r="G85" s="30">
        <v>355</v>
      </c>
      <c r="H85" s="21">
        <f t="shared" si="39"/>
        <v>-4.8257372654155493E-2</v>
      </c>
      <c r="I85" s="95">
        <f>IF(ISNUMBER(G85), $B91 * H85, "")</f>
        <v>-7238.6058981233236</v>
      </c>
      <c r="J85" s="20">
        <v>359</v>
      </c>
      <c r="K85" s="21">
        <f t="shared" si="40"/>
        <v>-3.7533512064343161E-2</v>
      </c>
      <c r="L85" s="22">
        <f>IF(ISNUMBER(J85), $B91 * K85, "")</f>
        <v>-5630.0268096514737</v>
      </c>
      <c r="M85" s="30">
        <v>359</v>
      </c>
      <c r="N85" s="21">
        <f t="shared" si="41"/>
        <v>-3.7533512064343161E-2</v>
      </c>
      <c r="O85" s="22">
        <f>IF(ISNUMBER(M85), $B91 * N85, "")</f>
        <v>-5630.0268096514737</v>
      </c>
      <c r="Q85" s="156"/>
      <c r="R85" s="156"/>
      <c r="S85" s="156"/>
    </row>
    <row r="86" spans="1:19" ht="17.25" thickBot="1">
      <c r="A86" s="109" t="s">
        <v>103</v>
      </c>
      <c r="B86" s="113">
        <v>256</v>
      </c>
      <c r="C86" s="73">
        <v>0</v>
      </c>
      <c r="D86" s="96">
        <v>253</v>
      </c>
      <c r="E86" s="97">
        <f>IF(ISNUMBER(D86), (D86 - $B86) / $B86, "")</f>
        <v>-1.171875E-2</v>
      </c>
      <c r="F86" s="98">
        <f>IF(ISNUMBER(D86), $B91 * E86, "")</f>
        <v>-1757.8125</v>
      </c>
      <c r="G86" s="99">
        <v>245</v>
      </c>
      <c r="H86" s="97">
        <f>IF(ISNUMBER(G86), (G86 - $B86) / $B86, "")</f>
        <v>-4.296875E-2</v>
      </c>
      <c r="I86" s="100">
        <f>IF(ISNUMBER(G86), $B91 * H86, "")</f>
        <v>-6445.3125</v>
      </c>
      <c r="J86" s="96">
        <v>248</v>
      </c>
      <c r="K86" s="97">
        <f>IF(ISNUMBER(J86), (J86 - $B86) / $B86, "")</f>
        <v>-3.125E-2</v>
      </c>
      <c r="L86" s="98">
        <f>IF(ISNUMBER(J86), $B91 * K86, "")</f>
        <v>-4687.5</v>
      </c>
      <c r="M86" s="99">
        <v>246</v>
      </c>
      <c r="N86" s="97">
        <f>IF(ISNUMBER(M86), (M86 - $B86) / $B86, "")</f>
        <v>-3.90625E-2</v>
      </c>
      <c r="O86" s="98">
        <f>IF(ISNUMBER(M86), $B91 * N86, "")</f>
        <v>-5859.375</v>
      </c>
      <c r="Q86" s="161"/>
      <c r="R86" s="161"/>
      <c r="S86" s="161"/>
    </row>
    <row r="87" spans="1:19" ht="17.25" thickBot="1">
      <c r="A87" s="109" t="s">
        <v>159</v>
      </c>
      <c r="B87" s="110">
        <v>207</v>
      </c>
      <c r="C87" s="70">
        <v>0</v>
      </c>
      <c r="D87" s="15">
        <v>204</v>
      </c>
      <c r="E87" s="32">
        <f t="shared" ref="E87:E90" si="42">IF(ISNUMBER(D87), (D87 - $B87) / $B87, "")</f>
        <v>-1.4492753623188406E-2</v>
      </c>
      <c r="F87" s="18">
        <f>IF(ISNUMBER(D87), $B91 * E87, "")</f>
        <v>-2173.913043478261</v>
      </c>
      <c r="G87" s="31">
        <v>200</v>
      </c>
      <c r="H87" s="32">
        <f t="shared" ref="H87:H90" si="43">IF(ISNUMBER(G87), (G87 - $B87) / $B87, "")</f>
        <v>-3.3816425120772944E-2</v>
      </c>
      <c r="I87" s="91">
        <f>IF(ISNUMBER(G87), $B91 * H87, "")</f>
        <v>-5072.463768115942</v>
      </c>
      <c r="J87" s="15">
        <v>202</v>
      </c>
      <c r="K87" s="32">
        <f t="shared" ref="K87:K90" si="44">IF(ISNUMBER(J87), (J87 - $B87) / $B87, "")</f>
        <v>-2.4154589371980676E-2</v>
      </c>
      <c r="L87" s="18">
        <f>IF(ISNUMBER(J87), $B91 * K87, "")</f>
        <v>-3623.1884057971015</v>
      </c>
      <c r="M87" s="31">
        <v>202</v>
      </c>
      <c r="N87" s="32">
        <f t="shared" ref="N87:N90" si="45">IF(ISNUMBER(M87), (M87 - $B87) / $B87, "")</f>
        <v>-2.4154589371980676E-2</v>
      </c>
      <c r="O87" s="18">
        <f>IF(ISNUMBER(M87), $B91 * N87, "")</f>
        <v>-3623.1884057971015</v>
      </c>
      <c r="Q87" s="161"/>
      <c r="R87" s="161"/>
      <c r="S87" s="161"/>
    </row>
    <row r="88" spans="1:19" ht="17.25" thickBot="1">
      <c r="A88" s="109" t="s">
        <v>204</v>
      </c>
      <c r="B88" s="110">
        <v>278</v>
      </c>
      <c r="C88" s="70">
        <v>0</v>
      </c>
      <c r="D88" s="15">
        <v>275</v>
      </c>
      <c r="E88" s="32">
        <f t="shared" si="42"/>
        <v>-1.0791366906474821E-2</v>
      </c>
      <c r="F88" s="18">
        <f>IF(ISNUMBER(D88), $B91 * E88, "")</f>
        <v>-1618.7050359712232</v>
      </c>
      <c r="G88" s="31">
        <v>265</v>
      </c>
      <c r="H88" s="32">
        <f t="shared" si="43"/>
        <v>-4.6762589928057555E-2</v>
      </c>
      <c r="I88" s="91">
        <f>IF(ISNUMBER(G88), $B91 * H88, "")</f>
        <v>-7014.3884892086335</v>
      </c>
      <c r="J88" s="15">
        <v>268</v>
      </c>
      <c r="K88" s="32">
        <f t="shared" si="44"/>
        <v>-3.5971223021582732E-2</v>
      </c>
      <c r="L88" s="18">
        <f>IF(ISNUMBER(J88), $B91 * K88, "")</f>
        <v>-5395.6834532374096</v>
      </c>
      <c r="M88" s="31">
        <v>266</v>
      </c>
      <c r="N88" s="32">
        <f t="shared" si="45"/>
        <v>-4.3165467625899283E-2</v>
      </c>
      <c r="O88" s="18">
        <f>IF(ISNUMBER(M88), $B91 * N88, "")</f>
        <v>-6474.8201438848928</v>
      </c>
      <c r="Q88" s="161"/>
      <c r="R88" s="161"/>
      <c r="S88" s="161"/>
    </row>
    <row r="89" spans="1:19">
      <c r="A89" s="109" t="s">
        <v>208</v>
      </c>
      <c r="B89" s="110">
        <v>112</v>
      </c>
      <c r="C89" s="70">
        <v>0</v>
      </c>
      <c r="D89" s="15">
        <v>107</v>
      </c>
      <c r="E89" s="32">
        <f t="shared" si="42"/>
        <v>-4.4642857142857144E-2</v>
      </c>
      <c r="F89" s="18">
        <f>IF(ISNUMBER(D89), $B91 * E89, "")</f>
        <v>-6696.4285714285716</v>
      </c>
      <c r="G89" s="31">
        <v>105</v>
      </c>
      <c r="H89" s="32">
        <f t="shared" si="43"/>
        <v>-6.25E-2</v>
      </c>
      <c r="I89" s="91">
        <f>IF(ISNUMBER(G89), $B91 * H89, "")</f>
        <v>-9375</v>
      </c>
      <c r="J89" s="15">
        <v>108</v>
      </c>
      <c r="K89" s="32">
        <f t="shared" si="44"/>
        <v>-3.5714285714285712E-2</v>
      </c>
      <c r="L89" s="18">
        <f>IF(ISNUMBER(J89), $B91 * K89, "")</f>
        <v>-5357.1428571428569</v>
      </c>
      <c r="M89" s="31">
        <v>106</v>
      </c>
      <c r="N89" s="32">
        <f t="shared" si="45"/>
        <v>-5.3571428571428568E-2</v>
      </c>
      <c r="O89" s="18">
        <f>IF(ISNUMBER(M89), $B91 * N89, "")</f>
        <v>-8035.7142857142853</v>
      </c>
      <c r="Q89" s="183"/>
      <c r="R89" s="184"/>
      <c r="S89" s="185"/>
    </row>
    <row r="90" spans="1:19" ht="17.25" thickBot="1">
      <c r="A90" s="114" t="s">
        <v>238</v>
      </c>
      <c r="B90" s="115">
        <v>643</v>
      </c>
      <c r="C90" s="72">
        <v>-1.552795E-3</v>
      </c>
      <c r="D90" s="24">
        <v>628</v>
      </c>
      <c r="E90" s="25">
        <f t="shared" si="42"/>
        <v>-2.3328149300155521E-2</v>
      </c>
      <c r="F90" s="94">
        <f>IF(ISNUMBER(D90), $B91 * E90, "")</f>
        <v>-3499.2223950233283</v>
      </c>
      <c r="G90" s="92">
        <v>617</v>
      </c>
      <c r="H90" s="25">
        <f t="shared" si="43"/>
        <v>-4.0435458786936239E-2</v>
      </c>
      <c r="I90" s="93">
        <f>IF(ISNUMBER(G90), $B91 * H90, "")</f>
        <v>-6065.3188180404359</v>
      </c>
      <c r="J90" s="24">
        <v>620</v>
      </c>
      <c r="K90" s="25">
        <f t="shared" si="44"/>
        <v>-3.5769828926905133E-2</v>
      </c>
      <c r="L90" s="94">
        <f>IF(ISNUMBER(J90), $B91 * K90, "")</f>
        <v>-5365.4743390357698</v>
      </c>
      <c r="M90" s="92">
        <v>619</v>
      </c>
      <c r="N90" s="25">
        <f t="shared" si="45"/>
        <v>-3.7325038880248837E-2</v>
      </c>
      <c r="O90" s="94">
        <f>IF(ISNUMBER(M90), $B91 * N90, "")</f>
        <v>-5598.7558320373255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-2.1882390575868813E-2</v>
      </c>
      <c r="F91" s="28">
        <f>SUM(F71:F90)</f>
        <v>-65647.17172760643</v>
      </c>
      <c r="G91" s="26" t="s">
        <v>261</v>
      </c>
      <c r="H91" s="27">
        <f>IF(COUNT(H71:H90), SUM(H71:H90) / COUNT(H71:H90), 0)</f>
        <v>-4.6722212300854618E-2</v>
      </c>
      <c r="I91" s="28">
        <f>SUM(I71:I90)</f>
        <v>-140166.63690256383</v>
      </c>
      <c r="J91" s="26" t="s">
        <v>261</v>
      </c>
      <c r="K91" s="27">
        <f>IF(COUNT(K71:K90), SUM(K71:K90) / COUNT(K71:K90), 0)</f>
        <v>-3.6062051351487566E-2</v>
      </c>
      <c r="L91" s="28">
        <f>SUM(L71:L90)</f>
        <v>-108186.15405446269</v>
      </c>
      <c r="M91" s="26" t="s">
        <v>261</v>
      </c>
      <c r="N91" s="27">
        <f>IF(COUNT(N71:N90), SUM(N71:N90) / COUNT(N71:N90), 0)</f>
        <v>-4.0347336465408216E-2</v>
      </c>
      <c r="O91" s="28">
        <f>SUM(O71:O90)</f>
        <v>-121042.00939622463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2022-12-07(수) 오전 00:00</v>
      </c>
      <c r="C96" s="199"/>
      <c r="D96" s="158" t="str">
        <f>TEXT($G$1, "[$-ko-KR]yyyy-mm-dd(ddd) ") &amp; "오후 14:00"</f>
        <v>2022-12-07(수) 오후 14:00</v>
      </c>
      <c r="E96" s="159"/>
      <c r="F96" s="160"/>
      <c r="G96" s="158" t="str">
        <f>TEXT($G$1, "[$-ko-KR]yyyy-mm-dd(ddd) ") &amp; "오후 19:00"</f>
        <v>2022-12-07(수) 오후 19:00</v>
      </c>
      <c r="H96" s="159"/>
      <c r="I96" s="160"/>
      <c r="J96" s="158" t="str">
        <f>TEXT($G$1, "[$-ko-KR]yyyy-mm-dd(ddd) ") &amp; "오후 21:00"</f>
        <v>2022-12-07(수) 오후 21:00</v>
      </c>
      <c r="K96" s="159"/>
      <c r="L96" s="160"/>
      <c r="M96" s="158" t="str">
        <f>TEXT($G$1+1, "[$-ko-KR]yyyy-mm-dd(ddd) ") &amp; "오전 00:00"</f>
        <v>2022-12-08(목)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187</v>
      </c>
      <c r="B98" s="108">
        <v>898</v>
      </c>
      <c r="C98" s="69">
        <v>0.14249363870000001</v>
      </c>
      <c r="D98" s="13">
        <v>810</v>
      </c>
      <c r="E98" s="14">
        <f>IF(ISNUMBER(D98), (D98 - $B98) / $B98, "")</f>
        <v>-9.7995545657015584E-2</v>
      </c>
      <c r="F98" s="16">
        <f>IF(ISNUMBER(D98), $B118 * E98, "")</f>
        <v>-14699.331848552338</v>
      </c>
      <c r="G98" s="29">
        <v>798</v>
      </c>
      <c r="H98" s="14">
        <f>IF(ISNUMBER(G98), (G98 - $B98) / $B98, "")</f>
        <v>-0.111358574610245</v>
      </c>
      <c r="I98" s="90">
        <f>IF(ISNUMBER(G98), $B118 * H98, "")</f>
        <v>-16703.78619153675</v>
      </c>
      <c r="J98" s="13">
        <v>809</v>
      </c>
      <c r="K98" s="14">
        <f>IF(ISNUMBER(J98), (J98 - $B98) / $B98, "")</f>
        <v>-9.9109131403118042E-2</v>
      </c>
      <c r="L98" s="16">
        <f>IF(ISNUMBER(J98), $B118 * K98, "")</f>
        <v>-14866.369710467707</v>
      </c>
      <c r="M98" s="29">
        <v>806</v>
      </c>
      <c r="N98" s="14">
        <f>IF(ISNUMBER(M98), (M98 - $B98) / $B98, "")</f>
        <v>-0.10244988864142539</v>
      </c>
      <c r="O98" s="16">
        <f>IF(ISNUMBER(M98), $B118 * N98, "")</f>
        <v>-15367.483296213808</v>
      </c>
      <c r="Q98" s="156"/>
      <c r="R98" s="156"/>
      <c r="S98" s="156"/>
    </row>
    <row r="99" spans="1:19" ht="17.25" thickBot="1">
      <c r="A99" s="109" t="s">
        <v>97</v>
      </c>
      <c r="B99" s="110">
        <v>1E-3</v>
      </c>
      <c r="C99" s="70">
        <v>0.11111111110000001</v>
      </c>
      <c r="D99" s="15">
        <v>1E-3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8.9999999999999998E-4</v>
      </c>
      <c r="H99" s="32">
        <f t="shared" ref="H99:H102" si="47">IF(ISNUMBER(G99), (G99 - $B99) / $B99, "")</f>
        <v>-0.10000000000000005</v>
      </c>
      <c r="I99" s="91">
        <f>IF(ISNUMBER(G99), $B118 * H99, "")</f>
        <v>-15000.000000000007</v>
      </c>
      <c r="J99" s="15">
        <v>8.9999999999999998E-4</v>
      </c>
      <c r="K99" s="32">
        <f t="shared" ref="K99:K102" si="48">IF(ISNUMBER(J99), (J99 - $B99) / $B99, "")</f>
        <v>-0.10000000000000005</v>
      </c>
      <c r="L99" s="18">
        <f>IF(ISNUMBER(J99), $B118 * K99, "")</f>
        <v>-15000.000000000007</v>
      </c>
      <c r="M99" s="31">
        <v>8.0000000000000004E-4</v>
      </c>
      <c r="N99" s="32">
        <f t="shared" ref="N99:N102" si="49">IF(ISNUMBER(M99), (M99 - $B99) / $B99, "")</f>
        <v>-0.19999999999999998</v>
      </c>
      <c r="O99" s="18">
        <f>IF(ISNUMBER(M99), $B118 * N99, "")</f>
        <v>-29999.999999999996</v>
      </c>
      <c r="Q99" s="156"/>
      <c r="R99" s="156"/>
      <c r="S99" s="156"/>
    </row>
    <row r="100" spans="1:19" ht="17.25" thickBot="1">
      <c r="A100" s="109" t="s">
        <v>157</v>
      </c>
      <c r="B100" s="110">
        <v>174</v>
      </c>
      <c r="C100" s="70">
        <v>5.45454545E-2</v>
      </c>
      <c r="D100" s="15">
        <v>171</v>
      </c>
      <c r="E100" s="32">
        <f t="shared" si="46"/>
        <v>-1.7241379310344827E-2</v>
      </c>
      <c r="F100" s="18">
        <f>IF(ISNUMBER(D100), $B118 * E100, "")</f>
        <v>-2586.2068965517242</v>
      </c>
      <c r="G100" s="31">
        <v>169</v>
      </c>
      <c r="H100" s="32">
        <f t="shared" si="47"/>
        <v>-2.8735632183908046E-2</v>
      </c>
      <c r="I100" s="91">
        <f>IF(ISNUMBER(G100), $B118 * H100, "")</f>
        <v>-4310.3448275862065</v>
      </c>
      <c r="J100" s="15">
        <v>170</v>
      </c>
      <c r="K100" s="32">
        <f t="shared" si="48"/>
        <v>-2.2988505747126436E-2</v>
      </c>
      <c r="L100" s="18">
        <f>IF(ISNUMBER(J100), $B118 * K100, "")</f>
        <v>-3448.2758620689656</v>
      </c>
      <c r="M100" s="31">
        <v>172</v>
      </c>
      <c r="N100" s="32">
        <f t="shared" si="49"/>
        <v>-1.1494252873563218E-2</v>
      </c>
      <c r="O100" s="18">
        <f>IF(ISNUMBER(M100), $B118 * N100, "")</f>
        <v>-1724.1379310344828</v>
      </c>
      <c r="Q100" s="161"/>
      <c r="R100" s="161"/>
      <c r="S100" s="161"/>
    </row>
    <row r="101" spans="1:19" ht="17.25" thickBot="1">
      <c r="A101" s="109" t="s">
        <v>151</v>
      </c>
      <c r="B101" s="110">
        <v>3325</v>
      </c>
      <c r="C101" s="70">
        <v>4.0688575900000003E-2</v>
      </c>
      <c r="D101" s="15">
        <v>3235</v>
      </c>
      <c r="E101" s="32">
        <f t="shared" si="46"/>
        <v>-2.7067669172932331E-2</v>
      </c>
      <c r="F101" s="18">
        <f>IF(ISNUMBER(D101), $B118 * E101, "")</f>
        <v>-4060.1503759398497</v>
      </c>
      <c r="G101" s="31">
        <v>3110</v>
      </c>
      <c r="H101" s="32">
        <f t="shared" si="47"/>
        <v>-6.4661654135338351E-2</v>
      </c>
      <c r="I101" s="91">
        <f>IF(ISNUMBER(G101), $B118 * H101, "")</f>
        <v>-9699.2481203007519</v>
      </c>
      <c r="J101" s="15">
        <v>3145</v>
      </c>
      <c r="K101" s="32">
        <f t="shared" si="48"/>
        <v>-5.4135338345864661E-2</v>
      </c>
      <c r="L101" s="18">
        <f>IF(ISNUMBER(J101), $B118 * K101, "")</f>
        <v>-8120.3007518796994</v>
      </c>
      <c r="M101" s="31">
        <v>3110</v>
      </c>
      <c r="N101" s="32">
        <f t="shared" si="49"/>
        <v>-6.4661654135338351E-2</v>
      </c>
      <c r="O101" s="18">
        <f>IF(ISNUMBER(M101), $B118 * N101, "")</f>
        <v>-9699.2481203007519</v>
      </c>
      <c r="Q101" s="161"/>
      <c r="R101" s="161"/>
      <c r="S101" s="161"/>
    </row>
    <row r="102" spans="1:19" ht="17.25" thickBot="1">
      <c r="A102" s="111" t="s">
        <v>147</v>
      </c>
      <c r="B102" s="112">
        <v>12240</v>
      </c>
      <c r="C102" s="71">
        <v>3.7288135600000001E-2</v>
      </c>
      <c r="D102" s="20">
        <v>11730</v>
      </c>
      <c r="E102" s="21">
        <f t="shared" si="46"/>
        <v>-4.1666666666666664E-2</v>
      </c>
      <c r="F102" s="22">
        <f>IF(ISNUMBER(D102), $B118 * E102, "")</f>
        <v>-6250</v>
      </c>
      <c r="G102" s="30">
        <v>11380</v>
      </c>
      <c r="H102" s="21">
        <f t="shared" si="47"/>
        <v>-7.0261437908496732E-2</v>
      </c>
      <c r="I102" s="95">
        <f>IF(ISNUMBER(G102), $B118 * H102, "")</f>
        <v>-10539.215686274511</v>
      </c>
      <c r="J102" s="20">
        <v>11600</v>
      </c>
      <c r="K102" s="21">
        <f t="shared" si="48"/>
        <v>-5.2287581699346407E-2</v>
      </c>
      <c r="L102" s="22">
        <f>IF(ISNUMBER(J102), $B118 * K102, "")</f>
        <v>-7843.1372549019607</v>
      </c>
      <c r="M102" s="30">
        <v>11630</v>
      </c>
      <c r="N102" s="21">
        <f t="shared" si="49"/>
        <v>-4.9836601307189546E-2</v>
      </c>
      <c r="O102" s="22">
        <f>IF(ISNUMBER(M102), $B118 * N102, "")</f>
        <v>-7475.4901960784318</v>
      </c>
      <c r="Q102" s="161"/>
      <c r="R102" s="161"/>
      <c r="S102" s="161"/>
    </row>
    <row r="103" spans="1:19" ht="17.25" thickBot="1">
      <c r="A103" s="109" t="s">
        <v>130</v>
      </c>
      <c r="B103" s="113">
        <v>895</v>
      </c>
      <c r="C103" s="73">
        <v>3.7079953700000001E-2</v>
      </c>
      <c r="D103" s="96">
        <v>873</v>
      </c>
      <c r="E103" s="97">
        <f>IF(ISNUMBER(D103), (D103 - $B103) / $B103, "")</f>
        <v>-2.4581005586592177E-2</v>
      </c>
      <c r="F103" s="98">
        <f>IF(ISNUMBER(D103), $B118 * E103, "")</f>
        <v>-3687.1508379888264</v>
      </c>
      <c r="G103" s="99">
        <v>837</v>
      </c>
      <c r="H103" s="97">
        <f>IF(ISNUMBER(G103), (G103 - $B103) / $B103, "")</f>
        <v>-6.4804469273743018E-2</v>
      </c>
      <c r="I103" s="100">
        <f>IF(ISNUMBER(G103), $B118 * H103, "")</f>
        <v>-9720.6703910614524</v>
      </c>
      <c r="J103" s="96">
        <v>843</v>
      </c>
      <c r="K103" s="97">
        <f>IF(ISNUMBER(J103), (J103 - $B103) / $B103, "")</f>
        <v>-5.8100558659217878E-2</v>
      </c>
      <c r="L103" s="98">
        <f>IF(ISNUMBER(J103), $B118 * K103, "")</f>
        <v>-8715.0837988826825</v>
      </c>
      <c r="M103" s="99">
        <v>835</v>
      </c>
      <c r="N103" s="97">
        <f>IF(ISNUMBER(M103), (M103 - $B103) / $B103, "")</f>
        <v>-6.7039106145251395E-2</v>
      </c>
      <c r="O103" s="98">
        <f>IF(ISNUMBER(M103), $B118 * N103, "")</f>
        <v>-10055.865921787708</v>
      </c>
      <c r="Q103" s="161"/>
      <c r="R103" s="161"/>
      <c r="S103" s="161"/>
    </row>
    <row r="104" spans="1:19" ht="17.25" thickBot="1">
      <c r="A104" s="109" t="s">
        <v>83</v>
      </c>
      <c r="B104" s="110">
        <v>1285</v>
      </c>
      <c r="C104" s="70">
        <v>3.2128514099999998E-2</v>
      </c>
      <c r="D104" s="15">
        <v>1280</v>
      </c>
      <c r="E104" s="32">
        <f t="shared" ref="E104:E107" si="50">IF(ISNUMBER(D104), (D104 - $B104) / $B104, "")</f>
        <v>-3.8910505836575876E-3</v>
      </c>
      <c r="F104" s="18">
        <f>IF(ISNUMBER(D104), $B118 * E104, "")</f>
        <v>-583.65758754863816</v>
      </c>
      <c r="G104" s="31">
        <v>1255</v>
      </c>
      <c r="H104" s="32">
        <f t="shared" ref="H104:H107" si="51">IF(ISNUMBER(G104), (G104 - $B104) / $B104, "")</f>
        <v>-2.3346303501945526E-2</v>
      </c>
      <c r="I104" s="91">
        <f>IF(ISNUMBER(G104), $B118 * H104, "")</f>
        <v>-3501.9455252918287</v>
      </c>
      <c r="J104" s="15">
        <v>1265</v>
      </c>
      <c r="K104" s="32">
        <f t="shared" ref="K104:K107" si="52">IF(ISNUMBER(J104), (J104 - $B104) / $B104, "")</f>
        <v>-1.556420233463035E-2</v>
      </c>
      <c r="L104" s="18">
        <f>IF(ISNUMBER(J104), $B118 * K104, "")</f>
        <v>-2334.6303501945526</v>
      </c>
      <c r="M104" s="31">
        <v>1325</v>
      </c>
      <c r="N104" s="32">
        <f t="shared" ref="N104:N107" si="53">IF(ISNUMBER(M104), (M104 - $B104) / $B104, "")</f>
        <v>3.1128404669260701E-2</v>
      </c>
      <c r="O104" s="18">
        <f>IF(ISNUMBER(M104), $B118 * N104, "")</f>
        <v>4669.2607003891053</v>
      </c>
      <c r="Q104" s="161"/>
      <c r="R104" s="161"/>
      <c r="S104" s="161"/>
    </row>
    <row r="105" spans="1:19" ht="17.25" thickBot="1">
      <c r="A105" s="109" t="s">
        <v>62</v>
      </c>
      <c r="B105" s="110">
        <v>9520</v>
      </c>
      <c r="C105" s="70">
        <v>2.4757804099999999E-2</v>
      </c>
      <c r="D105" s="15">
        <v>9355</v>
      </c>
      <c r="E105" s="32">
        <f t="shared" si="50"/>
        <v>-1.7331932773109245E-2</v>
      </c>
      <c r="F105" s="18">
        <f>IF(ISNUMBER(D105), $B118 * E105, "")</f>
        <v>-2599.7899159663866</v>
      </c>
      <c r="G105" s="31">
        <v>9085</v>
      </c>
      <c r="H105" s="32">
        <f t="shared" si="51"/>
        <v>-4.5693277310924367E-2</v>
      </c>
      <c r="I105" s="91">
        <f>IF(ISNUMBER(G105), $B118 * H105, "")</f>
        <v>-6853.9915966386552</v>
      </c>
      <c r="J105" s="15">
        <v>9160</v>
      </c>
      <c r="K105" s="32">
        <f t="shared" si="52"/>
        <v>-3.7815126050420166E-2</v>
      </c>
      <c r="L105" s="18">
        <f>IF(ISNUMBER(J105), $B118 * K105, "")</f>
        <v>-5672.2689075630251</v>
      </c>
      <c r="M105" s="31">
        <v>9180</v>
      </c>
      <c r="N105" s="32">
        <f t="shared" si="53"/>
        <v>-3.5714285714285712E-2</v>
      </c>
      <c r="O105" s="18">
        <f>IF(ISNUMBER(M105), $B118 * N105, "")</f>
        <v>-5357.1428571428569</v>
      </c>
      <c r="Q105" s="161"/>
      <c r="R105" s="161"/>
      <c r="S105" s="161"/>
    </row>
    <row r="106" spans="1:19" ht="17.25" thickBot="1">
      <c r="A106" s="109" t="s">
        <v>346</v>
      </c>
      <c r="B106" s="110">
        <v>540</v>
      </c>
      <c r="C106" s="70">
        <v>2.2727272699999999E-2</v>
      </c>
      <c r="D106" s="15">
        <v>546</v>
      </c>
      <c r="E106" s="32">
        <f t="shared" si="50"/>
        <v>1.1111111111111112E-2</v>
      </c>
      <c r="F106" s="18">
        <f>IF(ISNUMBER(D106), $B118 * E106, "")</f>
        <v>1666.6666666666667</v>
      </c>
      <c r="G106" s="31">
        <v>529</v>
      </c>
      <c r="H106" s="32">
        <f t="shared" si="51"/>
        <v>-2.0370370370370372E-2</v>
      </c>
      <c r="I106" s="91">
        <f>IF(ISNUMBER(G106), $B118 * H106, "")</f>
        <v>-3055.5555555555557</v>
      </c>
      <c r="J106" s="15">
        <v>555</v>
      </c>
      <c r="K106" s="32">
        <f t="shared" si="52"/>
        <v>2.7777777777777776E-2</v>
      </c>
      <c r="L106" s="18">
        <f>IF(ISNUMBER(J106), $B118 * K106, "")</f>
        <v>4166.6666666666661</v>
      </c>
      <c r="M106" s="31">
        <v>547</v>
      </c>
      <c r="N106" s="32">
        <f t="shared" si="53"/>
        <v>1.2962962962962963E-2</v>
      </c>
      <c r="O106" s="18">
        <f>IF(ISNUMBER(M106), $B118 * N106, "")</f>
        <v>1944.4444444444443</v>
      </c>
      <c r="Q106" s="33"/>
      <c r="R106" s="33"/>
    </row>
    <row r="107" spans="1:19" ht="17.25" thickBot="1">
      <c r="A107" s="114" t="s">
        <v>320</v>
      </c>
      <c r="B107" s="115">
        <v>2350</v>
      </c>
      <c r="C107" s="72">
        <v>2.1739130400000001E-2</v>
      </c>
      <c r="D107" s="24">
        <v>2375</v>
      </c>
      <c r="E107" s="25">
        <f t="shared" si="50"/>
        <v>1.0638297872340425E-2</v>
      </c>
      <c r="F107" s="94">
        <f>IF(ISNUMBER(D107), $B118 * E107, "")</f>
        <v>1595.7446808510638</v>
      </c>
      <c r="G107" s="92">
        <v>2320</v>
      </c>
      <c r="H107" s="25">
        <f t="shared" si="51"/>
        <v>-1.276595744680851E-2</v>
      </c>
      <c r="I107" s="93">
        <f>IF(ISNUMBER(G107), $B118 * H107, "")</f>
        <v>-1914.8936170212764</v>
      </c>
      <c r="J107" s="24">
        <v>2305</v>
      </c>
      <c r="K107" s="25">
        <f t="shared" si="52"/>
        <v>-1.9148936170212766E-2</v>
      </c>
      <c r="L107" s="94">
        <f>IF(ISNUMBER(J107), $B118 * K107, "")</f>
        <v>-2872.3404255319147</v>
      </c>
      <c r="M107" s="92">
        <v>2280</v>
      </c>
      <c r="N107" s="25">
        <f t="shared" si="53"/>
        <v>-2.9787234042553193E-2</v>
      </c>
      <c r="O107" s="94">
        <f>IF(ISNUMBER(M107), $B118 * N107, "")</f>
        <v>-4468.0851063829787</v>
      </c>
      <c r="Q107" s="170"/>
      <c r="R107" s="171"/>
      <c r="S107" s="172"/>
    </row>
    <row r="108" spans="1:19">
      <c r="A108" s="107" t="s">
        <v>216</v>
      </c>
      <c r="B108" s="108">
        <v>529</v>
      </c>
      <c r="C108" s="69">
        <v>1.9267822699999999E-2</v>
      </c>
      <c r="D108" s="13">
        <v>512</v>
      </c>
      <c r="E108" s="14">
        <f>IF(ISNUMBER(D108), (D108 - $B108) / $B108, "")</f>
        <v>-3.2136105860113423E-2</v>
      </c>
      <c r="F108" s="16">
        <f>IF(ISNUMBER(D108), $B118 * E108, "")</f>
        <v>-4820.4158790170131</v>
      </c>
      <c r="G108" s="29">
        <v>502</v>
      </c>
      <c r="H108" s="14">
        <f>IF(ISNUMBER(G108), (G108 - $B108) / $B108, "")</f>
        <v>-5.1039697542533083E-2</v>
      </c>
      <c r="I108" s="90">
        <f>IF(ISNUMBER(G108), $B118 * H108, "")</f>
        <v>-7655.9546313799628</v>
      </c>
      <c r="J108" s="13">
        <v>508</v>
      </c>
      <c r="K108" s="14">
        <f>IF(ISNUMBER(J108), (J108 - $B108) / $B108, "")</f>
        <v>-3.9697542533081283E-2</v>
      </c>
      <c r="L108" s="16">
        <f>IF(ISNUMBER(J108), $B118 * K108, "")</f>
        <v>-5954.6313799621921</v>
      </c>
      <c r="M108" s="29">
        <v>506</v>
      </c>
      <c r="N108" s="14">
        <f>IF(ISNUMBER(M108), (M108 - $B108) / $B108, "")</f>
        <v>-4.3478260869565216E-2</v>
      </c>
      <c r="O108" s="16">
        <f>IF(ISNUMBER(M108), $B118 * N108, "")</f>
        <v>-6521.7391304347821</v>
      </c>
      <c r="Q108" s="173"/>
      <c r="R108" s="174"/>
      <c r="S108" s="175"/>
    </row>
    <row r="109" spans="1:19" ht="17.25" thickBot="1">
      <c r="A109" s="109" t="s">
        <v>330</v>
      </c>
      <c r="B109" s="110">
        <v>18790</v>
      </c>
      <c r="C109" s="70">
        <v>1.5675675699999999E-2</v>
      </c>
      <c r="D109" s="15">
        <v>18610</v>
      </c>
      <c r="E109" s="32">
        <f t="shared" ref="E109:E112" si="54">IF(ISNUMBER(D109), (D109 - $B109) / $B109, "")</f>
        <v>-9.5795635976583283E-3</v>
      </c>
      <c r="F109" s="18">
        <f>IF(ISNUMBER(D109), $B118 * E109, "")</f>
        <v>-1436.9345396487493</v>
      </c>
      <c r="G109" s="31">
        <v>18220</v>
      </c>
      <c r="H109" s="32">
        <f t="shared" ref="H109:H112" si="55">IF(ISNUMBER(G109), (G109 - $B109) / $B109, "")</f>
        <v>-3.0335284725918042E-2</v>
      </c>
      <c r="I109" s="91">
        <f>IF(ISNUMBER(G109), $B118 * H109, "")</f>
        <v>-4550.2927088877059</v>
      </c>
      <c r="J109" s="15">
        <v>18370</v>
      </c>
      <c r="K109" s="32">
        <f t="shared" ref="K109:K112" si="56">IF(ISNUMBER(J109), (J109 - $B109) / $B109, "")</f>
        <v>-2.2352315061202766E-2</v>
      </c>
      <c r="L109" s="18">
        <f>IF(ISNUMBER(J109), $B118 * K109, "")</f>
        <v>-3352.8472591804148</v>
      </c>
      <c r="M109" s="31">
        <v>18290</v>
      </c>
      <c r="N109" s="32">
        <f t="shared" ref="N109:N112" si="57">IF(ISNUMBER(M109), (M109 - $B109) / $B109, "")</f>
        <v>-2.6609898882384245E-2</v>
      </c>
      <c r="O109" s="18">
        <f>IF(ISNUMBER(M109), $B118 * N109, "")</f>
        <v>-3991.4848323576366</v>
      </c>
      <c r="Q109" s="176"/>
      <c r="R109" s="177"/>
      <c r="S109" s="178"/>
    </row>
    <row r="110" spans="1:19" ht="17.25" thickBot="1">
      <c r="A110" s="109" t="s">
        <v>337</v>
      </c>
      <c r="B110" s="110">
        <v>335</v>
      </c>
      <c r="C110" s="70">
        <v>1.51515152E-2</v>
      </c>
      <c r="D110" s="15">
        <v>336</v>
      </c>
      <c r="E110" s="32">
        <f t="shared" si="54"/>
        <v>2.9850746268656717E-3</v>
      </c>
      <c r="F110" s="18">
        <f>IF(ISNUMBER(D110), $B118 * E110, "")</f>
        <v>447.76119402985074</v>
      </c>
      <c r="G110" s="31">
        <v>322</v>
      </c>
      <c r="H110" s="32">
        <f t="shared" si="55"/>
        <v>-3.880597014925373E-2</v>
      </c>
      <c r="I110" s="91">
        <f>IF(ISNUMBER(G110), $B118 * H110, "")</f>
        <v>-5820.8955223880594</v>
      </c>
      <c r="J110" s="15">
        <v>324</v>
      </c>
      <c r="K110" s="32">
        <f t="shared" si="56"/>
        <v>-3.2835820895522387E-2</v>
      </c>
      <c r="L110" s="18">
        <f>IF(ISNUMBER(J110), $B118 * K110, "")</f>
        <v>-4925.373134328358</v>
      </c>
      <c r="M110" s="31">
        <v>323</v>
      </c>
      <c r="N110" s="32">
        <f t="shared" si="57"/>
        <v>-3.5820895522388062E-2</v>
      </c>
      <c r="O110" s="18">
        <f>IF(ISNUMBER(M110), $B118 * N110, "")</f>
        <v>-5373.1343283582091</v>
      </c>
      <c r="Q110" s="161"/>
      <c r="R110" s="161"/>
      <c r="S110" s="161"/>
    </row>
    <row r="111" spans="1:19" ht="17.25" thickBot="1">
      <c r="A111" s="109" t="s">
        <v>165</v>
      </c>
      <c r="B111" s="110">
        <v>1015</v>
      </c>
      <c r="C111" s="70">
        <v>1.4999999999999999E-2</v>
      </c>
      <c r="D111" s="15">
        <v>988</v>
      </c>
      <c r="E111" s="32">
        <f t="shared" si="54"/>
        <v>-2.6600985221674877E-2</v>
      </c>
      <c r="F111" s="18">
        <f>IF(ISNUMBER(D111), $B118 * E111, "")</f>
        <v>-3990.1477832512314</v>
      </c>
      <c r="G111" s="31">
        <v>959</v>
      </c>
      <c r="H111" s="32">
        <f t="shared" si="55"/>
        <v>-5.5172413793103448E-2</v>
      </c>
      <c r="I111" s="91">
        <f>IF(ISNUMBER(G111), $B118 * H111, "")</f>
        <v>-8275.8620689655163</v>
      </c>
      <c r="J111" s="15">
        <v>967</v>
      </c>
      <c r="K111" s="32">
        <f t="shared" si="56"/>
        <v>-4.7290640394088673E-2</v>
      </c>
      <c r="L111" s="18">
        <f>IF(ISNUMBER(J111), $B118 * K111, "")</f>
        <v>-7093.5960591133007</v>
      </c>
      <c r="M111" s="31">
        <v>963</v>
      </c>
      <c r="N111" s="32">
        <f t="shared" si="57"/>
        <v>-5.123152709359606E-2</v>
      </c>
      <c r="O111" s="18">
        <f>IF(ISNUMBER(M111), $B118 * N111, "")</f>
        <v>-7684.7290640394094</v>
      </c>
      <c r="Q111" s="156"/>
      <c r="R111" s="156"/>
      <c r="S111" s="156"/>
    </row>
    <row r="112" spans="1:19" ht="17.25" thickBot="1">
      <c r="A112" s="111" t="s">
        <v>342</v>
      </c>
      <c r="B112" s="112">
        <v>140</v>
      </c>
      <c r="C112" s="71">
        <v>1.44927536E-2</v>
      </c>
      <c r="D112" s="20">
        <v>137</v>
      </c>
      <c r="E112" s="21">
        <f t="shared" si="54"/>
        <v>-2.1428571428571429E-2</v>
      </c>
      <c r="F112" s="22">
        <f>IF(ISNUMBER(D112), $B118 * E112, "")</f>
        <v>-3214.2857142857142</v>
      </c>
      <c r="G112" s="30">
        <v>137</v>
      </c>
      <c r="H112" s="21">
        <f t="shared" si="55"/>
        <v>-2.1428571428571429E-2</v>
      </c>
      <c r="I112" s="95">
        <f>IF(ISNUMBER(G112), $B118 * H112, "")</f>
        <v>-3214.2857142857142</v>
      </c>
      <c r="J112" s="20">
        <v>134</v>
      </c>
      <c r="K112" s="21">
        <f t="shared" si="56"/>
        <v>-4.2857142857142858E-2</v>
      </c>
      <c r="L112" s="22">
        <f>IF(ISNUMBER(J112), $B118 * K112, "")</f>
        <v>-6428.5714285714284</v>
      </c>
      <c r="M112" s="30">
        <v>134</v>
      </c>
      <c r="N112" s="21">
        <f t="shared" si="57"/>
        <v>-4.2857142857142858E-2</v>
      </c>
      <c r="O112" s="22">
        <f>IF(ISNUMBER(M112), $B118 * N112, "")</f>
        <v>-6428.5714285714284</v>
      </c>
      <c r="Q112" s="156"/>
      <c r="R112" s="156"/>
      <c r="S112" s="156"/>
    </row>
    <row r="113" spans="1:19" ht="17.25" thickBot="1">
      <c r="A113" s="109" t="s">
        <v>183</v>
      </c>
      <c r="B113" s="113">
        <v>150</v>
      </c>
      <c r="C113" s="73">
        <v>1.3513513499999999E-2</v>
      </c>
      <c r="D113" s="96">
        <v>147</v>
      </c>
      <c r="E113" s="97">
        <f>IF(ISNUMBER(D113), (D113 - $B113) / $B113, "")</f>
        <v>-0.02</v>
      </c>
      <c r="F113" s="98">
        <f>IF(ISNUMBER(D113), $B118 * E113, "")</f>
        <v>-3000</v>
      </c>
      <c r="G113" s="99">
        <v>143</v>
      </c>
      <c r="H113" s="97">
        <f>IF(ISNUMBER(G113), (G113 - $B113) / $B113, "")</f>
        <v>-4.6666666666666669E-2</v>
      </c>
      <c r="I113" s="100">
        <f>IF(ISNUMBER(G113), $B118 * H113, "")</f>
        <v>-7000</v>
      </c>
      <c r="J113" s="96">
        <v>144</v>
      </c>
      <c r="K113" s="97">
        <f>IF(ISNUMBER(J113), (J113 - $B113) / $B113, "")</f>
        <v>-0.04</v>
      </c>
      <c r="L113" s="98">
        <f>IF(ISNUMBER(J113), $B118 * K113, "")</f>
        <v>-6000</v>
      </c>
      <c r="M113" s="99">
        <v>143</v>
      </c>
      <c r="N113" s="97">
        <f>IF(ISNUMBER(M113), (M113 - $B113) / $B113, "")</f>
        <v>-4.6666666666666669E-2</v>
      </c>
      <c r="O113" s="98">
        <f>IF(ISNUMBER(M113), $B118 * N113, "")</f>
        <v>-7000</v>
      </c>
      <c r="Q113" s="161"/>
      <c r="R113" s="161"/>
      <c r="S113" s="161"/>
    </row>
    <row r="114" spans="1:19" ht="17.25" thickBot="1">
      <c r="A114" s="109" t="s">
        <v>109</v>
      </c>
      <c r="B114" s="110">
        <v>1195</v>
      </c>
      <c r="C114" s="70">
        <v>1.27118644E-2</v>
      </c>
      <c r="D114" s="15">
        <v>1185</v>
      </c>
      <c r="E114" s="32">
        <f t="shared" ref="E114:E117" si="58">IF(ISNUMBER(D114), (D114 - $B114) / $B114, "")</f>
        <v>-8.368200836820083E-3</v>
      </c>
      <c r="F114" s="18">
        <f>IF(ISNUMBER(D114), $B118 * E114, "")</f>
        <v>-1255.2301255230125</v>
      </c>
      <c r="G114" s="31">
        <v>1160</v>
      </c>
      <c r="H114" s="32">
        <f t="shared" ref="H114:H117" si="59">IF(ISNUMBER(G114), (G114 - $B114) / $B114, "")</f>
        <v>-2.9288702928870293E-2</v>
      </c>
      <c r="I114" s="91">
        <f>IF(ISNUMBER(G114), $B118 * H114, "")</f>
        <v>-4393.3054393305438</v>
      </c>
      <c r="J114" s="15">
        <v>1175</v>
      </c>
      <c r="K114" s="32">
        <f t="shared" ref="K114:K117" si="60">IF(ISNUMBER(J114), (J114 - $B114) / $B114, "")</f>
        <v>-1.6736401673640166E-2</v>
      </c>
      <c r="L114" s="18">
        <f>IF(ISNUMBER(J114), $B118 * K114, "")</f>
        <v>-2510.460251046025</v>
      </c>
      <c r="M114" s="31">
        <v>1165</v>
      </c>
      <c r="N114" s="32">
        <f t="shared" ref="N114:N117" si="61">IF(ISNUMBER(M114), (M114 - $B114) / $B114, "")</f>
        <v>-2.5104602510460251E-2</v>
      </c>
      <c r="O114" s="18">
        <f>IF(ISNUMBER(M114), $B118 * N114, "")</f>
        <v>-3765.6903765690377</v>
      </c>
      <c r="Q114" s="161"/>
      <c r="R114" s="161"/>
      <c r="S114" s="161"/>
    </row>
    <row r="115" spans="1:19" ht="17.25" thickBot="1">
      <c r="A115" s="109" t="s">
        <v>138</v>
      </c>
      <c r="B115" s="110">
        <v>29.1</v>
      </c>
      <c r="C115" s="70">
        <v>1.04166667E-2</v>
      </c>
      <c r="D115" s="15">
        <v>28.5</v>
      </c>
      <c r="E115" s="32">
        <f t="shared" si="58"/>
        <v>-2.0618556701030976E-2</v>
      </c>
      <c r="F115" s="18">
        <f>IF(ISNUMBER(D115), $B118 * E115, "")</f>
        <v>-3092.7835051546463</v>
      </c>
      <c r="G115" s="31">
        <v>27.9</v>
      </c>
      <c r="H115" s="32">
        <f t="shared" si="59"/>
        <v>-4.1237113402061952E-2</v>
      </c>
      <c r="I115" s="91">
        <f>IF(ISNUMBER(G115), $B118 * H115, "")</f>
        <v>-6185.5670103092925</v>
      </c>
      <c r="J115" s="15">
        <v>28.3</v>
      </c>
      <c r="K115" s="32">
        <f t="shared" si="60"/>
        <v>-2.7491408934707928E-2</v>
      </c>
      <c r="L115" s="18">
        <f>IF(ISNUMBER(J115), $B118 * K115, "")</f>
        <v>-4123.7113402061896</v>
      </c>
      <c r="M115" s="31">
        <v>27.8</v>
      </c>
      <c r="N115" s="32">
        <f t="shared" si="61"/>
        <v>-4.4673539518900365E-2</v>
      </c>
      <c r="O115" s="18">
        <f>IF(ISNUMBER(M115), $B118 * N115, "")</f>
        <v>-6701.0309278350551</v>
      </c>
      <c r="Q115" s="161"/>
      <c r="R115" s="161"/>
      <c r="S115" s="161"/>
    </row>
    <row r="116" spans="1:19">
      <c r="A116" s="109" t="s">
        <v>172</v>
      </c>
      <c r="B116" s="110">
        <v>2955</v>
      </c>
      <c r="C116" s="70">
        <v>1.0256410299999999E-2</v>
      </c>
      <c r="D116" s="15">
        <v>2920</v>
      </c>
      <c r="E116" s="32">
        <f t="shared" si="58"/>
        <v>-1.1844331641285956E-2</v>
      </c>
      <c r="F116" s="18">
        <f>IF(ISNUMBER(D116), $B118 * E116, "")</f>
        <v>-1776.6497461928934</v>
      </c>
      <c r="G116" s="31">
        <v>2855</v>
      </c>
      <c r="H116" s="32">
        <f t="shared" si="59"/>
        <v>-3.3840947546531303E-2</v>
      </c>
      <c r="I116" s="91">
        <f>IF(ISNUMBER(G116), $B118 * H116, "")</f>
        <v>-5076.1421319796955</v>
      </c>
      <c r="J116" s="15">
        <v>2860</v>
      </c>
      <c r="K116" s="32">
        <f t="shared" si="60"/>
        <v>-3.2148900169204735E-2</v>
      </c>
      <c r="L116" s="18">
        <f>IF(ISNUMBER(J116), $B118 * K116, "")</f>
        <v>-4822.3350253807102</v>
      </c>
      <c r="M116" s="31">
        <v>2860</v>
      </c>
      <c r="N116" s="32">
        <f t="shared" si="61"/>
        <v>-3.2148900169204735E-2</v>
      </c>
      <c r="O116" s="18">
        <f>IF(ISNUMBER(M116), $B118 * N116, "")</f>
        <v>-4822.3350253807102</v>
      </c>
      <c r="Q116" s="183"/>
      <c r="R116" s="184"/>
      <c r="S116" s="185"/>
    </row>
    <row r="117" spans="1:19" ht="17.25" thickBot="1">
      <c r="A117" s="114" t="s">
        <v>232</v>
      </c>
      <c r="B117" s="115">
        <v>301</v>
      </c>
      <c r="C117" s="72">
        <v>1.00671141E-2</v>
      </c>
      <c r="D117" s="24">
        <v>298</v>
      </c>
      <c r="E117" s="25">
        <f t="shared" si="58"/>
        <v>-9.9667774086378731E-3</v>
      </c>
      <c r="F117" s="94">
        <f>IF(ISNUMBER(D117), $B118 * E117, "")</f>
        <v>-1495.0166112956811</v>
      </c>
      <c r="G117" s="92">
        <v>288</v>
      </c>
      <c r="H117" s="25">
        <f t="shared" si="59"/>
        <v>-4.3189368770764118E-2</v>
      </c>
      <c r="I117" s="93">
        <f>IF(ISNUMBER(G117), $B118 * H117, "")</f>
        <v>-6478.4053156146174</v>
      </c>
      <c r="J117" s="24">
        <v>293</v>
      </c>
      <c r="K117" s="25">
        <f t="shared" si="60"/>
        <v>-2.6578073089700997E-2</v>
      </c>
      <c r="L117" s="94">
        <f>IF(ISNUMBER(J117), $B118 * K117, "")</f>
        <v>-3986.7109634551498</v>
      </c>
      <c r="M117" s="92">
        <v>291</v>
      </c>
      <c r="N117" s="25">
        <f t="shared" si="61"/>
        <v>-3.3222591362126248E-2</v>
      </c>
      <c r="O117" s="94">
        <f>IF(ISNUMBER(M117), $B118 * N117, "")</f>
        <v>-4983.388704318937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-1.8279192941789708E-2</v>
      </c>
      <c r="F118" s="28">
        <f>SUM(F98:F117)</f>
        <v>-54837.578825369128</v>
      </c>
      <c r="G118" s="26" t="s">
        <v>261</v>
      </c>
      <c r="H118" s="27">
        <f>IF(COUNT(H98:H117), SUM(H98:H117) / COUNT(H98:H117), 0)</f>
        <v>-4.6650120684802697E-2</v>
      </c>
      <c r="I118" s="28">
        <f>SUM(I98:I117)</f>
        <v>-139950.36205440812</v>
      </c>
      <c r="J118" s="26" t="s">
        <v>261</v>
      </c>
      <c r="K118" s="27">
        <f>IF(COUNT(K98:K117), SUM(K98:K117) / COUNT(K98:K117), 0)</f>
        <v>-3.7967992412022533E-2</v>
      </c>
      <c r="L118" s="28">
        <f>SUM(L98:L117)</f>
        <v>-113903.97723606761</v>
      </c>
      <c r="M118" s="26" t="s">
        <v>261</v>
      </c>
      <c r="N118" s="27">
        <f>IF(COUNT(N98:N117), SUM(N98:N117) / COUNT(N98:N117), 0)</f>
        <v>-4.4935284033990885E-2</v>
      </c>
      <c r="O118" s="28">
        <f>SUM(O98:O117)</f>
        <v>-134805.8521019727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2022-12-07(수) 오전 00:00</v>
      </c>
      <c r="C123" s="199"/>
      <c r="D123" s="158" t="str">
        <f>TEXT($G$1, "[$-ko-KR]yyyy-mm-dd(ddd) ") &amp; "오후 14:00"</f>
        <v>2022-12-07(수) 오후 14:00</v>
      </c>
      <c r="E123" s="159"/>
      <c r="F123" s="160"/>
      <c r="G123" s="158" t="str">
        <f>TEXT($G$1, "[$-ko-KR]yyyy-mm-dd(ddd) ") &amp; "오후 19:00"</f>
        <v>2022-12-07(수) 오후 19:00</v>
      </c>
      <c r="H123" s="159"/>
      <c r="I123" s="160"/>
      <c r="J123" s="158" t="str">
        <f>TEXT($G$1, "[$-ko-KR]yyyy-mm-dd(ddd) ") &amp; "오후 21:00"</f>
        <v>2022-12-07(수) 오후 21:00</v>
      </c>
      <c r="K123" s="159"/>
      <c r="L123" s="160"/>
      <c r="M123" s="158" t="str">
        <f>TEXT($G$1+1, "[$-ko-KR]yyyy-mm-dd(ddd) ") &amp; "오전 00:00"</f>
        <v>2022-12-08(목)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240</v>
      </c>
      <c r="B125" s="108">
        <v>29.7</v>
      </c>
      <c r="C125" s="69">
        <v>-3.3557047E-3</v>
      </c>
      <c r="D125" s="13">
        <v>29.3</v>
      </c>
      <c r="E125" s="14">
        <f>IF(ISNUMBER(D125), (D125 - $B125) / $B125, "")</f>
        <v>-1.3468013468013421E-2</v>
      </c>
      <c r="F125" s="16">
        <f>IF(ISNUMBER(D125), $B145 * E125, "")</f>
        <v>-2020.202020202013</v>
      </c>
      <c r="G125" s="29">
        <v>28.9</v>
      </c>
      <c r="H125" s="14">
        <f>IF(ISNUMBER(G125), (G125 - $B125) / $B125, "")</f>
        <v>-2.6936026936026959E-2</v>
      </c>
      <c r="I125" s="90">
        <f>IF(ISNUMBER(G125), $B145 * H125, "")</f>
        <v>-4040.4040404040438</v>
      </c>
      <c r="J125" s="13">
        <v>29.8</v>
      </c>
      <c r="K125" s="14">
        <f>IF(ISNUMBER(J125), (J125 - $B125) / $B125, "")</f>
        <v>3.367003367003415E-3</v>
      </c>
      <c r="L125" s="16">
        <f>IF(ISNUMBER(J125), $B145 * K125, "")</f>
        <v>505.05050505051224</v>
      </c>
      <c r="M125" s="29">
        <v>29.6</v>
      </c>
      <c r="N125" s="14">
        <f>IF(ISNUMBER(M125), (M125 - $B125) / $B125, "")</f>
        <v>-3.3670033670032953E-3</v>
      </c>
      <c r="O125" s="16">
        <f>IF(ISNUMBER(M125), $B145 * N125, "")</f>
        <v>-505.05050505049428</v>
      </c>
      <c r="Q125" s="156"/>
      <c r="R125" s="156"/>
      <c r="S125" s="156"/>
    </row>
    <row r="126" spans="1:19" ht="17.25" thickBot="1">
      <c r="A126" s="109" t="s">
        <v>212</v>
      </c>
      <c r="B126" s="110">
        <v>87.8</v>
      </c>
      <c r="C126" s="70">
        <v>-3.4052213E-3</v>
      </c>
      <c r="D126" s="15">
        <v>88.5</v>
      </c>
      <c r="E126" s="32">
        <f t="shared" ref="E126:E129" si="62">IF(ISNUMBER(D126), (D126 - $B126) / $B126, "")</f>
        <v>7.9726651480638133E-3</v>
      </c>
      <c r="F126" s="18">
        <f>IF(ISNUMBER(D126), $B145 * E126, "")</f>
        <v>1195.8997722095719</v>
      </c>
      <c r="G126" s="31">
        <v>83.3</v>
      </c>
      <c r="H126" s="32">
        <f t="shared" ref="H126:H129" si="63">IF(ISNUMBER(G126), (G126 - $B126) / $B126, "")</f>
        <v>-5.1252847380410027E-2</v>
      </c>
      <c r="I126" s="91">
        <f>IF(ISNUMBER(G126), $B145 * H126, "")</f>
        <v>-7687.9271070615041</v>
      </c>
      <c r="J126" s="15">
        <v>84.6</v>
      </c>
      <c r="K126" s="32">
        <f t="shared" ref="K126:K129" si="64">IF(ISNUMBER(J126), (J126 - $B126) / $B126, "")</f>
        <v>-3.6446469248291605E-2</v>
      </c>
      <c r="L126" s="18">
        <f>IF(ISNUMBER(J126), $B145 * K126, "")</f>
        <v>-5466.9703872437403</v>
      </c>
      <c r="M126" s="31">
        <v>84.7</v>
      </c>
      <c r="N126" s="32">
        <f t="shared" ref="N126:N129" si="65">IF(ISNUMBER(M126), (M126 - $B126) / $B126, "")</f>
        <v>-3.5307517084282397E-2</v>
      </c>
      <c r="O126" s="18">
        <f>IF(ISNUMBER(M126), $B145 * N126, "")</f>
        <v>-5296.1275626423594</v>
      </c>
      <c r="Q126" s="156"/>
      <c r="R126" s="156"/>
      <c r="S126" s="156"/>
    </row>
    <row r="127" spans="1:19" ht="17.25" thickBot="1">
      <c r="A127" s="109" t="s">
        <v>228</v>
      </c>
      <c r="B127" s="110">
        <v>65.3</v>
      </c>
      <c r="C127" s="70">
        <v>-4.5731707000000003E-3</v>
      </c>
      <c r="D127" s="15">
        <v>64</v>
      </c>
      <c r="E127" s="32">
        <f t="shared" si="62"/>
        <v>-1.9908116385911136E-2</v>
      </c>
      <c r="F127" s="18">
        <f>IF(ISNUMBER(D127), $B145 * E127, "")</f>
        <v>-2986.2174578866707</v>
      </c>
      <c r="G127" s="31">
        <v>62.9</v>
      </c>
      <c r="H127" s="32">
        <f t="shared" si="63"/>
        <v>-3.6753445635528313E-2</v>
      </c>
      <c r="I127" s="91">
        <f>IF(ISNUMBER(G127), $B145 * H127, "")</f>
        <v>-5513.0168453292472</v>
      </c>
      <c r="J127" s="15">
        <v>63.3</v>
      </c>
      <c r="K127" s="32">
        <f t="shared" si="64"/>
        <v>-3.0627871362940276E-2</v>
      </c>
      <c r="L127" s="18">
        <f>IF(ISNUMBER(J127), $B145 * K127, "")</f>
        <v>-4594.1807044410416</v>
      </c>
      <c r="M127" s="31">
        <v>63.3</v>
      </c>
      <c r="N127" s="32">
        <f t="shared" si="65"/>
        <v>-3.0627871362940276E-2</v>
      </c>
      <c r="O127" s="18">
        <f>IF(ISNUMBER(M127), $B145 * N127, "")</f>
        <v>-4594.1807044410416</v>
      </c>
      <c r="Q127" s="161"/>
      <c r="R127" s="161"/>
      <c r="S127" s="161"/>
    </row>
    <row r="128" spans="1:19" ht="17.25" thickBot="1">
      <c r="A128" s="109" t="s">
        <v>224</v>
      </c>
      <c r="B128" s="110">
        <v>21.5</v>
      </c>
      <c r="C128" s="70">
        <v>-4.6296295999999999E-3</v>
      </c>
      <c r="D128" s="15">
        <v>20.8</v>
      </c>
      <c r="E128" s="32">
        <f t="shared" si="62"/>
        <v>-3.2558139534883686E-2</v>
      </c>
      <c r="F128" s="18">
        <f>IF(ISNUMBER(D128), $B145 * E128, "")</f>
        <v>-4883.7209302325527</v>
      </c>
      <c r="G128" s="31">
        <v>20.6</v>
      </c>
      <c r="H128" s="32">
        <f t="shared" si="63"/>
        <v>-4.1860465116279007E-2</v>
      </c>
      <c r="I128" s="91">
        <f>IF(ISNUMBER(G128), $B145 * H128, "")</f>
        <v>-6279.0697674418507</v>
      </c>
      <c r="J128" s="15">
        <v>20.8</v>
      </c>
      <c r="K128" s="32">
        <f t="shared" si="64"/>
        <v>-3.2558139534883686E-2</v>
      </c>
      <c r="L128" s="18">
        <f>IF(ISNUMBER(J128), $B145 * K128, "")</f>
        <v>-4883.7209302325527</v>
      </c>
      <c r="M128" s="31">
        <v>20.6</v>
      </c>
      <c r="N128" s="32">
        <f t="shared" si="65"/>
        <v>-4.1860465116279007E-2</v>
      </c>
      <c r="O128" s="18">
        <f>IF(ISNUMBER(M128), $B145 * N128, "")</f>
        <v>-6279.0697674418507</v>
      </c>
      <c r="Q128" s="161"/>
      <c r="R128" s="161"/>
      <c r="S128" s="161"/>
    </row>
    <row r="129" spans="1:19" ht="17.25" thickBot="1">
      <c r="A129" s="111" t="s">
        <v>143</v>
      </c>
      <c r="B129" s="112">
        <v>4.1100000000000003</v>
      </c>
      <c r="C129" s="71">
        <v>-4.8426149999999998E-3</v>
      </c>
      <c r="D129" s="20">
        <v>4.09</v>
      </c>
      <c r="E129" s="21">
        <f t="shared" si="62"/>
        <v>-4.8661800486619125E-3</v>
      </c>
      <c r="F129" s="22">
        <f>IF(ISNUMBER(D129), $B145 * E129, "")</f>
        <v>-729.92700729928686</v>
      </c>
      <c r="G129" s="30">
        <v>4.0199999999999996</v>
      </c>
      <c r="H129" s="21">
        <f t="shared" si="63"/>
        <v>-2.1897810218978284E-2</v>
      </c>
      <c r="I129" s="95">
        <f>IF(ISNUMBER(G129), $B145 * H129, "")</f>
        <v>-3284.6715328467426</v>
      </c>
      <c r="J129" s="20">
        <v>4.1399999999999997</v>
      </c>
      <c r="K129" s="21">
        <f t="shared" si="64"/>
        <v>7.2992700729925444E-3</v>
      </c>
      <c r="L129" s="22">
        <f>IF(ISNUMBER(J129), $B145 * K129, "")</f>
        <v>1094.8905109488817</v>
      </c>
      <c r="M129" s="30">
        <v>4.09</v>
      </c>
      <c r="N129" s="21">
        <f t="shared" si="65"/>
        <v>-4.8661800486619125E-3</v>
      </c>
      <c r="O129" s="22">
        <f>IF(ISNUMBER(M129), $B145 * N129, "")</f>
        <v>-729.92700729928686</v>
      </c>
      <c r="Q129" s="161"/>
      <c r="R129" s="161"/>
      <c r="S129" s="161"/>
    </row>
    <row r="130" spans="1:19" ht="17.25" thickBot="1">
      <c r="A130" s="109" t="s">
        <v>350</v>
      </c>
      <c r="B130" s="113">
        <v>8</v>
      </c>
      <c r="C130" s="73">
        <v>-4.9751244000000002E-3</v>
      </c>
      <c r="D130" s="96">
        <v>7.78</v>
      </c>
      <c r="E130" s="97">
        <f>IF(ISNUMBER(D130), (D130 - $B130) / $B130, "")</f>
        <v>-2.7499999999999969E-2</v>
      </c>
      <c r="F130" s="98">
        <f>IF(ISNUMBER(D130), $B145 * E130, "")</f>
        <v>-4124.9999999999955</v>
      </c>
      <c r="G130" s="99">
        <v>7.54</v>
      </c>
      <c r="H130" s="97">
        <f>IF(ISNUMBER(G130), (G130 - $B130) / $B130, "")</f>
        <v>-5.7499999999999996E-2</v>
      </c>
      <c r="I130" s="100">
        <f>IF(ISNUMBER(G130), $B145 * H130, "")</f>
        <v>-8625</v>
      </c>
      <c r="J130" s="96">
        <v>7.72</v>
      </c>
      <c r="K130" s="97">
        <f>IF(ISNUMBER(J130), (J130 - $B130) / $B130, "")</f>
        <v>-3.5000000000000031E-2</v>
      </c>
      <c r="L130" s="98">
        <f>IF(ISNUMBER(J130), $B145 * K130, "")</f>
        <v>-5250.0000000000045</v>
      </c>
      <c r="M130" s="99">
        <v>7.68</v>
      </c>
      <c r="N130" s="97">
        <f>IF(ISNUMBER(M130), (M130 - $B130) / $B130, "")</f>
        <v>-4.0000000000000036E-2</v>
      </c>
      <c r="O130" s="98">
        <f>IF(ISNUMBER(M130), $B145 * N130, "")</f>
        <v>-6000.0000000000055</v>
      </c>
      <c r="Q130" s="161"/>
      <c r="R130" s="161"/>
      <c r="S130" s="161"/>
    </row>
    <row r="131" spans="1:19" ht="17.25" thickBot="1">
      <c r="A131" s="109" t="s">
        <v>193</v>
      </c>
      <c r="B131" s="110">
        <v>20</v>
      </c>
      <c r="C131" s="70">
        <v>-4.9751244000000002E-3</v>
      </c>
      <c r="D131" s="15">
        <v>19.7</v>
      </c>
      <c r="E131" s="32">
        <f t="shared" ref="E131:E134" si="66">IF(ISNUMBER(D131), (D131 - $B131) / $B131, "")</f>
        <v>-1.5000000000000036E-2</v>
      </c>
      <c r="F131" s="18">
        <f>IF(ISNUMBER(D131), $B145 * E131, "")</f>
        <v>-2250.0000000000055</v>
      </c>
      <c r="G131" s="31">
        <v>19.3</v>
      </c>
      <c r="H131" s="32">
        <f t="shared" ref="H131:H134" si="67">IF(ISNUMBER(G131), (G131 - $B131) / $B131, "")</f>
        <v>-3.4999999999999962E-2</v>
      </c>
      <c r="I131" s="91">
        <f>IF(ISNUMBER(G131), $B145 * H131, "")</f>
        <v>-5249.9999999999945</v>
      </c>
      <c r="J131" s="15">
        <v>19.399999999999999</v>
      </c>
      <c r="K131" s="32">
        <f t="shared" ref="K131:K134" si="68">IF(ISNUMBER(J131), (J131 - $B131) / $B131, "")</f>
        <v>-3.0000000000000072E-2</v>
      </c>
      <c r="L131" s="18">
        <f>IF(ISNUMBER(J131), $B145 * K131, "")</f>
        <v>-4500.0000000000109</v>
      </c>
      <c r="M131" s="31">
        <v>19.3</v>
      </c>
      <c r="N131" s="32">
        <f t="shared" ref="N131:N134" si="69">IF(ISNUMBER(M131), (M131 - $B131) / $B131, "")</f>
        <v>-3.4999999999999962E-2</v>
      </c>
      <c r="O131" s="18">
        <f>IF(ISNUMBER(M131), $B145 * N131, "")</f>
        <v>-5249.9999999999945</v>
      </c>
      <c r="Q131" s="161"/>
      <c r="R131" s="161"/>
      <c r="S131" s="161"/>
    </row>
    <row r="132" spans="1:19" ht="17.25" thickBot="1">
      <c r="A132" s="109" t="s">
        <v>124</v>
      </c>
      <c r="B132" s="110">
        <v>33.700000000000003</v>
      </c>
      <c r="C132" s="70">
        <v>-5.8997049999999999E-3</v>
      </c>
      <c r="D132" s="15">
        <v>32.9</v>
      </c>
      <c r="E132" s="32">
        <f t="shared" si="66"/>
        <v>-2.3738872403560957E-2</v>
      </c>
      <c r="F132" s="18">
        <f>IF(ISNUMBER(D132), $B145 * E132, "")</f>
        <v>-3560.8308605341435</v>
      </c>
      <c r="G132" s="31">
        <v>32</v>
      </c>
      <c r="H132" s="32">
        <f t="shared" si="67"/>
        <v>-5.0445103857566849E-2</v>
      </c>
      <c r="I132" s="91">
        <f>IF(ISNUMBER(G132), $B145 * H132, "")</f>
        <v>-7566.7655786350269</v>
      </c>
      <c r="J132" s="15">
        <v>32.5</v>
      </c>
      <c r="K132" s="32">
        <f t="shared" si="68"/>
        <v>-3.5608308605341331E-2</v>
      </c>
      <c r="L132" s="18">
        <f>IF(ISNUMBER(J132), $B145 * K132, "")</f>
        <v>-5341.2462908011994</v>
      </c>
      <c r="M132" s="31">
        <v>32.4</v>
      </c>
      <c r="N132" s="32">
        <f t="shared" si="69"/>
        <v>-3.8575667655786475E-2</v>
      </c>
      <c r="O132" s="18">
        <f>IF(ISNUMBER(M132), $B145 * N132, "")</f>
        <v>-5786.3501483679711</v>
      </c>
      <c r="Q132" s="161"/>
      <c r="R132" s="161"/>
      <c r="S132" s="161"/>
    </row>
    <row r="133" spans="1:19" ht="17.25" thickBot="1">
      <c r="A133" s="109" t="s">
        <v>338</v>
      </c>
      <c r="B133" s="110">
        <v>5.05</v>
      </c>
      <c r="C133" s="70">
        <v>-5.9055117999999998E-3</v>
      </c>
      <c r="D133" s="15">
        <v>4.96</v>
      </c>
      <c r="E133" s="32">
        <f t="shared" si="66"/>
        <v>-1.7821782178217796E-2</v>
      </c>
      <c r="F133" s="18">
        <f>IF(ISNUMBER(D133), $B145 * E133, "")</f>
        <v>-2673.2673267326695</v>
      </c>
      <c r="G133" s="31">
        <v>4.84</v>
      </c>
      <c r="H133" s="32">
        <f t="shared" si="67"/>
        <v>-4.1584158415841579E-2</v>
      </c>
      <c r="I133" s="91">
        <f>IF(ISNUMBER(G133), $B145 * H133, "")</f>
        <v>-6237.6237623762372</v>
      </c>
      <c r="J133" s="15">
        <v>5.04</v>
      </c>
      <c r="K133" s="32">
        <f t="shared" si="68"/>
        <v>-1.9801980198019382E-3</v>
      </c>
      <c r="L133" s="18">
        <f>IF(ISNUMBER(J133), $B145 * K133, "")</f>
        <v>-297.02970297029071</v>
      </c>
      <c r="M133" s="31">
        <v>5.05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122</v>
      </c>
      <c r="B134" s="115">
        <v>25.6</v>
      </c>
      <c r="C134" s="72">
        <v>-7.7519379999999999E-3</v>
      </c>
      <c r="D134" s="24">
        <v>25.4</v>
      </c>
      <c r="E134" s="25">
        <f t="shared" si="66"/>
        <v>-7.812500000000111E-3</v>
      </c>
      <c r="F134" s="94">
        <f>IF(ISNUMBER(D134), $B145 * E134, "")</f>
        <v>-1171.8750000000166</v>
      </c>
      <c r="G134" s="92">
        <v>24.9</v>
      </c>
      <c r="H134" s="25">
        <f t="shared" si="67"/>
        <v>-2.7343750000000111E-2</v>
      </c>
      <c r="I134" s="93">
        <f>IF(ISNUMBER(G134), $B145 * H134, "")</f>
        <v>-4101.5625000000164</v>
      </c>
      <c r="J134" s="24">
        <v>25.2</v>
      </c>
      <c r="K134" s="25">
        <f t="shared" si="68"/>
        <v>-1.5625000000000083E-2</v>
      </c>
      <c r="L134" s="94">
        <f>IF(ISNUMBER(J134), $B145 * K134, "")</f>
        <v>-2343.7500000000123</v>
      </c>
      <c r="M134" s="92">
        <v>25.2</v>
      </c>
      <c r="N134" s="25">
        <f t="shared" si="69"/>
        <v>-1.5625000000000083E-2</v>
      </c>
      <c r="O134" s="94">
        <f>IF(ISNUMBER(M134), $B145 * N134, "")</f>
        <v>-2343.7500000000123</v>
      </c>
      <c r="Q134" s="170"/>
      <c r="R134" s="171"/>
      <c r="S134" s="172"/>
    </row>
    <row r="135" spans="1:19">
      <c r="A135" s="107" t="s">
        <v>132</v>
      </c>
      <c r="B135" s="108">
        <v>60</v>
      </c>
      <c r="C135" s="69">
        <v>-8.2644628000000005E-3</v>
      </c>
      <c r="D135" s="13">
        <v>59.1</v>
      </c>
      <c r="E135" s="14">
        <f>IF(ISNUMBER(D135), (D135 - $B135) / $B135, "")</f>
        <v>-1.4999999999999977E-2</v>
      </c>
      <c r="F135" s="16">
        <f>IF(ISNUMBER(D135), $B145 * E135, "")</f>
        <v>-2249.9999999999964</v>
      </c>
      <c r="G135" s="29">
        <v>58</v>
      </c>
      <c r="H135" s="14">
        <f>IF(ISNUMBER(G135), (G135 - $B135) / $B135, "")</f>
        <v>-3.3333333333333333E-2</v>
      </c>
      <c r="I135" s="90">
        <f>IF(ISNUMBER(G135), $B145 * H135, "")</f>
        <v>-5000</v>
      </c>
      <c r="J135" s="13">
        <v>58.3</v>
      </c>
      <c r="K135" s="14">
        <f>IF(ISNUMBER(J135), (J135 - $B135) / $B135, "")</f>
        <v>-2.833333333333338E-2</v>
      </c>
      <c r="L135" s="16">
        <f>IF(ISNUMBER(J135), $B145 * K135, "")</f>
        <v>-4250.0000000000073</v>
      </c>
      <c r="M135" s="29">
        <v>58.2</v>
      </c>
      <c r="N135" s="14">
        <f>IF(ISNUMBER(M135), (M135 - $B135) / $B135, "")</f>
        <v>-2.9999999999999954E-2</v>
      </c>
      <c r="O135" s="16">
        <f>IF(ISNUMBER(M135), $B145 * N135, "")</f>
        <v>-4499.9999999999927</v>
      </c>
      <c r="Q135" s="173"/>
      <c r="R135" s="174"/>
      <c r="S135" s="175"/>
    </row>
    <row r="136" spans="1:19" ht="17.25" thickBot="1">
      <c r="A136" s="109" t="s">
        <v>220</v>
      </c>
      <c r="B136" s="110">
        <v>78.599999999999994</v>
      </c>
      <c r="C136" s="70">
        <v>-8.8272382999999999E-3</v>
      </c>
      <c r="D136" s="15">
        <v>77.5</v>
      </c>
      <c r="E136" s="32">
        <f t="shared" ref="E136:E139" si="70">IF(ISNUMBER(D136), (D136 - $B136) / $B136, "")</f>
        <v>-1.3994910941475756E-2</v>
      </c>
      <c r="F136" s="18">
        <f>IF(ISNUMBER(D136), $B145 * E136, "")</f>
        <v>-2099.2366412213632</v>
      </c>
      <c r="G136" s="31">
        <v>75</v>
      </c>
      <c r="H136" s="32">
        <f t="shared" ref="H136:H139" si="71">IF(ISNUMBER(G136), (G136 - $B136) / $B136, "")</f>
        <v>-4.5801526717557182E-2</v>
      </c>
      <c r="I136" s="91">
        <f>IF(ISNUMBER(G136), $B145 * H136, "")</f>
        <v>-6870.2290076335776</v>
      </c>
      <c r="J136" s="15">
        <v>76.3</v>
      </c>
      <c r="K136" s="32">
        <f t="shared" ref="K136:K139" si="72">IF(ISNUMBER(J136), (J136 - $B136) / $B136, "")</f>
        <v>-2.9262086513994878E-2</v>
      </c>
      <c r="L136" s="18">
        <f>IF(ISNUMBER(J136), $B145 * K136, "")</f>
        <v>-4389.3129770992318</v>
      </c>
      <c r="M136" s="31">
        <v>75.599999999999994</v>
      </c>
      <c r="N136" s="32">
        <f t="shared" ref="N136:N139" si="73">IF(ISNUMBER(M136), (M136 - $B136) / $B136, "")</f>
        <v>-3.8167938931297711E-2</v>
      </c>
      <c r="O136" s="18">
        <f>IF(ISNUMBER(M136), $B145 * N136, "")</f>
        <v>-5725.1908396946565</v>
      </c>
      <c r="Q136" s="176"/>
      <c r="R136" s="177"/>
      <c r="S136" s="178"/>
    </row>
    <row r="137" spans="1:19" ht="17.25" thickBot="1">
      <c r="A137" s="109" t="s">
        <v>333</v>
      </c>
      <c r="B137" s="110">
        <v>64.5</v>
      </c>
      <c r="C137" s="70">
        <v>-1.07361963E-2</v>
      </c>
      <c r="D137" s="15">
        <v>63.4</v>
      </c>
      <c r="E137" s="32">
        <f t="shared" si="70"/>
        <v>-1.7054263565891493E-2</v>
      </c>
      <c r="F137" s="18">
        <f>IF(ISNUMBER(D137), $B145 * E137, "")</f>
        <v>-2558.1395348837241</v>
      </c>
      <c r="G137" s="31">
        <v>62.6</v>
      </c>
      <c r="H137" s="32">
        <f t="shared" si="71"/>
        <v>-2.945736434108525E-2</v>
      </c>
      <c r="I137" s="91">
        <f>IF(ISNUMBER(G137), $B145 * H137, "")</f>
        <v>-4418.6046511627874</v>
      </c>
      <c r="J137" s="15">
        <v>63.1</v>
      </c>
      <c r="K137" s="32">
        <f t="shared" si="72"/>
        <v>-2.1705426356589126E-2</v>
      </c>
      <c r="L137" s="18">
        <f>IF(ISNUMBER(J137), $B145 * K137, "")</f>
        <v>-3255.813953488369</v>
      </c>
      <c r="M137" s="31">
        <v>62.8</v>
      </c>
      <c r="N137" s="32">
        <f t="shared" si="73"/>
        <v>-2.6356589147286866E-2</v>
      </c>
      <c r="O137" s="18">
        <f>IF(ISNUMBER(M137), $B145 * N137, "")</f>
        <v>-3953.4883720930302</v>
      </c>
      <c r="Q137" s="161"/>
      <c r="R137" s="161"/>
      <c r="S137" s="161"/>
    </row>
    <row r="138" spans="1:19" ht="17.25" thickBot="1">
      <c r="A138" s="109" t="s">
        <v>141</v>
      </c>
      <c r="B138" s="110">
        <v>3.45</v>
      </c>
      <c r="C138" s="70">
        <v>-1.1461318099999999E-2</v>
      </c>
      <c r="D138" s="15">
        <v>3.42</v>
      </c>
      <c r="E138" s="32">
        <f t="shared" si="70"/>
        <v>-8.6956521739131147E-3</v>
      </c>
      <c r="F138" s="18">
        <f>IF(ISNUMBER(D138), $B145 * E138, "")</f>
        <v>-1304.3478260869672</v>
      </c>
      <c r="G138" s="31">
        <v>3.31</v>
      </c>
      <c r="H138" s="32">
        <f t="shared" si="71"/>
        <v>-4.0579710144927568E-2</v>
      </c>
      <c r="I138" s="91">
        <f>IF(ISNUMBER(G138), $B145 * H138, "")</f>
        <v>-6086.9565217391355</v>
      </c>
      <c r="J138" s="15">
        <v>3.41</v>
      </c>
      <c r="K138" s="32">
        <f t="shared" si="72"/>
        <v>-1.1594202898550735E-2</v>
      </c>
      <c r="L138" s="18">
        <f>IF(ISNUMBER(J138), $B145 * K138, "")</f>
        <v>-1739.1304347826103</v>
      </c>
      <c r="M138" s="31">
        <v>3.37</v>
      </c>
      <c r="N138" s="32">
        <f t="shared" si="73"/>
        <v>-2.318840579710147E-2</v>
      </c>
      <c r="O138" s="18">
        <f>IF(ISNUMBER(M138), $B145 * N138, "")</f>
        <v>-3478.2608695652207</v>
      </c>
      <c r="Q138" s="156"/>
      <c r="R138" s="156"/>
      <c r="S138" s="156"/>
    </row>
    <row r="139" spans="1:19" ht="17.25" thickBot="1">
      <c r="A139" s="111" t="s">
        <v>118</v>
      </c>
      <c r="B139" s="112">
        <v>6.89</v>
      </c>
      <c r="C139" s="71">
        <v>-1.28939828E-2</v>
      </c>
      <c r="D139" s="20">
        <v>6.8</v>
      </c>
      <c r="E139" s="21">
        <f t="shared" si="70"/>
        <v>-1.3062409288824363E-2</v>
      </c>
      <c r="F139" s="22">
        <f>IF(ISNUMBER(D139), $B145 * E139, "")</f>
        <v>-1959.3613933236543</v>
      </c>
      <c r="G139" s="30">
        <v>6.66</v>
      </c>
      <c r="H139" s="21">
        <f t="shared" si="71"/>
        <v>-3.3381712626995581E-2</v>
      </c>
      <c r="I139" s="95">
        <f>IF(ISNUMBER(G139), $B145 * H139, "")</f>
        <v>-5007.2568940493375</v>
      </c>
      <c r="J139" s="20">
        <v>6.8</v>
      </c>
      <c r="K139" s="21">
        <f t="shared" si="72"/>
        <v>-1.3062409288824363E-2</v>
      </c>
      <c r="L139" s="22">
        <f>IF(ISNUMBER(J139), $B145 * K139, "")</f>
        <v>-1959.3613933236543</v>
      </c>
      <c r="M139" s="30">
        <v>6.76</v>
      </c>
      <c r="N139" s="21">
        <f t="shared" si="73"/>
        <v>-1.8867924528301872E-2</v>
      </c>
      <c r="O139" s="22">
        <f>IF(ISNUMBER(M139), $B145 * N139, "")</f>
        <v>-2830.188679245281</v>
      </c>
      <c r="Q139" s="156"/>
      <c r="R139" s="156"/>
      <c r="S139" s="156"/>
    </row>
    <row r="140" spans="1:19" ht="17.25" thickBot="1">
      <c r="A140" s="109" t="s">
        <v>107</v>
      </c>
      <c r="B140" s="113">
        <v>42.7</v>
      </c>
      <c r="C140" s="73">
        <v>-1.6129032299999999E-2</v>
      </c>
      <c r="D140" s="96">
        <v>41.6</v>
      </c>
      <c r="E140" s="97">
        <f>IF(ISNUMBER(D140), (D140 - $B140) / $B140, "")</f>
        <v>-2.5761124121779892E-2</v>
      </c>
      <c r="F140" s="98">
        <f>IF(ISNUMBER(D140), $B145 * E140, "")</f>
        <v>-3864.1686182669837</v>
      </c>
      <c r="G140" s="99">
        <v>40.700000000000003</v>
      </c>
      <c r="H140" s="97">
        <f>IF(ISNUMBER(G140), (G140 - $B140) / $B140, "")</f>
        <v>-4.6838407494145196E-2</v>
      </c>
      <c r="I140" s="100">
        <f>IF(ISNUMBER(G140), $B145 * H140, "")</f>
        <v>-7025.7611241217792</v>
      </c>
      <c r="J140" s="96">
        <v>41.3</v>
      </c>
      <c r="K140" s="97">
        <f>IF(ISNUMBER(J140), (J140 - $B140) / $B140, "")</f>
        <v>-3.2786885245901773E-2</v>
      </c>
      <c r="L140" s="98">
        <f>IF(ISNUMBER(J140), $B145 * K140, "")</f>
        <v>-4918.0327868852655</v>
      </c>
      <c r="M140" s="99">
        <v>40.700000000000003</v>
      </c>
      <c r="N140" s="97">
        <f>IF(ISNUMBER(M140), (M140 - $B140) / $B140, "")</f>
        <v>-4.6838407494145196E-2</v>
      </c>
      <c r="O140" s="98">
        <f>IF(ISNUMBER(M140), $B145 * N140, "")</f>
        <v>-7025.7611241217792</v>
      </c>
      <c r="Q140" s="161"/>
      <c r="R140" s="161"/>
      <c r="S140" s="161"/>
    </row>
    <row r="141" spans="1:19" ht="17.25" thickBot="1">
      <c r="A141" s="109" t="s">
        <v>200</v>
      </c>
      <c r="B141" s="110">
        <v>6.94</v>
      </c>
      <c r="C141" s="70">
        <v>-1.6997167099999998E-2</v>
      </c>
      <c r="D141" s="15">
        <v>6.92</v>
      </c>
      <c r="E141" s="32">
        <f t="shared" ref="E141:E144" si="74">IF(ISNUMBER(D141), (D141 - $B141) / $B141, "")</f>
        <v>-2.8818443804035248E-3</v>
      </c>
      <c r="F141" s="18">
        <f>IF(ISNUMBER(D141), $B145 * E141, "")</f>
        <v>-432.27665706052875</v>
      </c>
      <c r="G141" s="31">
        <v>6.66</v>
      </c>
      <c r="H141" s="32">
        <f t="shared" ref="H141:H144" si="75">IF(ISNUMBER(G141), (G141 - $B141) / $B141, "")</f>
        <v>-4.034582132564845E-2</v>
      </c>
      <c r="I141" s="91">
        <f>IF(ISNUMBER(G141), $B145 * H141, "")</f>
        <v>-6051.8731988472673</v>
      </c>
      <c r="J141" s="15">
        <v>6.83</v>
      </c>
      <c r="K141" s="32">
        <f t="shared" ref="K141:K144" si="76">IF(ISNUMBER(J141), (J141 - $B141) / $B141, "")</f>
        <v>-1.5850144092219066E-2</v>
      </c>
      <c r="L141" s="18">
        <f>IF(ISNUMBER(J141), $B145 * K141, "")</f>
        <v>-2377.5216138328597</v>
      </c>
      <c r="M141" s="31">
        <v>6.79</v>
      </c>
      <c r="N141" s="32">
        <f t="shared" ref="N141:N144" si="77">IF(ISNUMBER(M141), (M141 - $B141) / $B141, "")</f>
        <v>-2.1613832853025986E-2</v>
      </c>
      <c r="O141" s="18">
        <f>IF(ISNUMBER(M141), $B145 * N141, "")</f>
        <v>-3242.0749279538977</v>
      </c>
      <c r="Q141" s="161"/>
      <c r="R141" s="161"/>
      <c r="S141" s="161"/>
    </row>
    <row r="142" spans="1:19" ht="17.25" thickBot="1">
      <c r="A142" s="109" t="s">
        <v>210</v>
      </c>
      <c r="B142" s="110">
        <v>66.7</v>
      </c>
      <c r="C142" s="70">
        <v>-1.7673048600000001E-2</v>
      </c>
      <c r="D142" s="15">
        <v>66.400000000000006</v>
      </c>
      <c r="E142" s="32">
        <f t="shared" si="74"/>
        <v>-4.4977511244377382E-3</v>
      </c>
      <c r="F142" s="18">
        <f>IF(ISNUMBER(D142), $B145 * E142, "")</f>
        <v>-674.6626686656607</v>
      </c>
      <c r="G142" s="31">
        <v>63.7</v>
      </c>
      <c r="H142" s="32">
        <f t="shared" si="75"/>
        <v>-4.4977511244377807E-2</v>
      </c>
      <c r="I142" s="91">
        <f>IF(ISNUMBER(G142), $B145 * H142, "")</f>
        <v>-6746.6266866566712</v>
      </c>
      <c r="J142" s="15">
        <v>64.900000000000006</v>
      </c>
      <c r="K142" s="32">
        <f t="shared" si="76"/>
        <v>-2.6986506746626643E-2</v>
      </c>
      <c r="L142" s="18">
        <f>IF(ISNUMBER(J142), $B145 * K142, "")</f>
        <v>-4047.9760119939965</v>
      </c>
      <c r="M142" s="31">
        <v>65.2</v>
      </c>
      <c r="N142" s="32">
        <f t="shared" si="77"/>
        <v>-2.2488755622188904E-2</v>
      </c>
      <c r="O142" s="18">
        <f>IF(ISNUMBER(M142), $B145 * N142, "")</f>
        <v>-3373.3133433283356</v>
      </c>
      <c r="Q142" s="161"/>
      <c r="R142" s="161"/>
      <c r="S142" s="161"/>
    </row>
    <row r="143" spans="1:19">
      <c r="A143" s="109" t="s">
        <v>336</v>
      </c>
      <c r="B143" s="110">
        <v>88.4</v>
      </c>
      <c r="C143" s="70">
        <v>-4.1214750500000001E-2</v>
      </c>
      <c r="D143" s="15">
        <v>89.5</v>
      </c>
      <c r="E143" s="32">
        <f t="shared" si="74"/>
        <v>1.2443438914027084E-2</v>
      </c>
      <c r="F143" s="18">
        <f>IF(ISNUMBER(D143), $B145 * E143, "")</f>
        <v>1866.5158371040627</v>
      </c>
      <c r="G143" s="31">
        <v>85.4</v>
      </c>
      <c r="H143" s="32">
        <f t="shared" si="75"/>
        <v>-3.3936651583710405E-2</v>
      </c>
      <c r="I143" s="91">
        <f>IF(ISNUMBER(G143), $B145 * H143, "")</f>
        <v>-5090.4977375565604</v>
      </c>
      <c r="J143" s="15">
        <v>86.1</v>
      </c>
      <c r="K143" s="32">
        <f t="shared" si="76"/>
        <v>-2.6018099547511438E-2</v>
      </c>
      <c r="L143" s="18">
        <f>IF(ISNUMBER(J143), $B145 * K143, "")</f>
        <v>-3902.7149321267157</v>
      </c>
      <c r="M143" s="31">
        <v>85.7</v>
      </c>
      <c r="N143" s="32">
        <f t="shared" si="77"/>
        <v>-3.0542986425339397E-2</v>
      </c>
      <c r="O143" s="18">
        <f>IF(ISNUMBER(M143), $B145 * N143, "")</f>
        <v>-4581.4479638009097</v>
      </c>
      <c r="Q143" s="183"/>
      <c r="R143" s="184"/>
      <c r="S143" s="185"/>
    </row>
    <row r="144" spans="1:19" ht="17.25" thickBot="1">
      <c r="A144" s="114" t="s">
        <v>198</v>
      </c>
      <c r="B144" s="115">
        <v>8.39</v>
      </c>
      <c r="C144" s="72">
        <v>-4.2237442899999998E-2</v>
      </c>
      <c r="D144" s="24">
        <v>7.98</v>
      </c>
      <c r="E144" s="25">
        <f t="shared" si="74"/>
        <v>-4.8867699642431477E-2</v>
      </c>
      <c r="F144" s="94">
        <f>IF(ISNUMBER(D144), $B145 * E144, "")</f>
        <v>-7330.1549463647216</v>
      </c>
      <c r="G144" s="92">
        <v>7.82</v>
      </c>
      <c r="H144" s="25">
        <f t="shared" si="75"/>
        <v>-6.7938021454112069E-2</v>
      </c>
      <c r="I144" s="93">
        <f>IF(ISNUMBER(G144), $B145 * H144, "")</f>
        <v>-10190.703218116811</v>
      </c>
      <c r="J144" s="24">
        <v>8.09</v>
      </c>
      <c r="K144" s="25">
        <f t="shared" si="76"/>
        <v>-3.5756853396901156E-2</v>
      </c>
      <c r="L144" s="94">
        <f>IF(ISNUMBER(J144), $B145 * K144, "")</f>
        <v>-5363.5280095351736</v>
      </c>
      <c r="M144" s="92">
        <v>8.0500000000000007</v>
      </c>
      <c r="N144" s="25">
        <f t="shared" si="77"/>
        <v>-4.0524433849821198E-2</v>
      </c>
      <c r="O144" s="94">
        <f>IF(ISNUMBER(M144), $B145 * N144, "")</f>
        <v>-6078.6650774731797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-1.4603657759815768E-2</v>
      </c>
      <c r="F145" s="28">
        <f>SUM(F125:F144)</f>
        <v>-43810.973279447331</v>
      </c>
      <c r="G145" s="26" t="s">
        <v>261</v>
      </c>
      <c r="H145" s="27">
        <f>IF(COUNT(H125:H144), SUM(H125:H144) / COUNT(H125:H144), 0)</f>
        <v>-4.0358183391326199E-2</v>
      </c>
      <c r="I145" s="28">
        <f>SUM(I125:I144)</f>
        <v>-121074.55017397861</v>
      </c>
      <c r="J145" s="26" t="s">
        <v>261</v>
      </c>
      <c r="K145" s="27">
        <f>IF(COUNT(K125:K144), SUM(K125:K144) / COUNT(K125:K144), 0)</f>
        <v>-2.242678303758578E-2</v>
      </c>
      <c r="L145" s="28">
        <f>SUM(L125:L144)</f>
        <v>-67280.349112757336</v>
      </c>
      <c r="M145" s="26" t="s">
        <v>261</v>
      </c>
      <c r="N145" s="27">
        <f>IF(COUNT(N125:N144), SUM(N125:N144) / COUNT(N125:N144), 0)</f>
        <v>-2.7190948964173102E-2</v>
      </c>
      <c r="O145" s="28">
        <f>SUM(O125:O144)</f>
        <v>-81572.846892519301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2022-12-07(수) 오전 00:00</v>
      </c>
      <c r="C150" s="199"/>
      <c r="D150" s="158" t="str">
        <f>TEXT($G$1, "[$-ko-KR]yyyy-mm-dd(ddd) ") &amp; "오후 14:00"</f>
        <v>2022-12-07(수) 오후 14:00</v>
      </c>
      <c r="E150" s="159"/>
      <c r="F150" s="160"/>
      <c r="G150" s="158" t="str">
        <f>TEXT($G$1, "[$-ko-KR]yyyy-mm-dd(ddd) ") &amp; "오후 19:00"</f>
        <v>2022-12-07(수) 오후 19:00</v>
      </c>
      <c r="H150" s="159"/>
      <c r="I150" s="160"/>
      <c r="J150" s="158" t="str">
        <f>TEXT($G$1, "[$-ko-KR]yyyy-mm-dd(ddd) ") &amp; "오후 21:00"</f>
        <v>2022-12-07(수) 오후 21:00</v>
      </c>
      <c r="K150" s="159"/>
      <c r="L150" s="160"/>
      <c r="M150" s="158" t="str">
        <f>TEXT($G$1+1, "[$-ko-KR]yyyy-mm-dd(ddd) ") &amp; "오전 00:00"</f>
        <v>2022-12-08(목)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101</v>
      </c>
      <c r="B152" s="108">
        <v>248</v>
      </c>
      <c r="C152" s="69">
        <v>-4.0160643000000003E-3</v>
      </c>
      <c r="D152" s="13">
        <v>243</v>
      </c>
      <c r="E152" s="14">
        <f>IF(ISNUMBER(D152), (D152 - $B152) / $B152, "")</f>
        <v>-2.0161290322580645E-2</v>
      </c>
      <c r="F152" s="16">
        <f>IF(ISNUMBER(D152), $B172 * E152, "")</f>
        <v>-3024.1935483870966</v>
      </c>
      <c r="G152" s="29">
        <v>238</v>
      </c>
      <c r="H152" s="14">
        <f>IF(ISNUMBER(G152), (G152 - $B152) / $B152, "")</f>
        <v>-4.0322580645161289E-2</v>
      </c>
      <c r="I152" s="90">
        <f>IF(ISNUMBER(G152), $B172 * H152, "")</f>
        <v>-6048.3870967741932</v>
      </c>
      <c r="J152" s="13">
        <v>240</v>
      </c>
      <c r="K152" s="14">
        <f>IF(ISNUMBER(J152), (J152 - $B152) / $B152, "")</f>
        <v>-3.2258064516129031E-2</v>
      </c>
      <c r="L152" s="16">
        <f>IF(ISNUMBER(J152), $B172 * K152, "")</f>
        <v>-4838.7096774193551</v>
      </c>
      <c r="M152" s="29">
        <v>238</v>
      </c>
      <c r="N152" s="14">
        <f>IF(ISNUMBER(M152), (M152 - $B152) / $B152, "")</f>
        <v>-4.0322580645161289E-2</v>
      </c>
      <c r="O152" s="16">
        <f>IF(ISNUMBER(M152), $B172 * N152, "")</f>
        <v>-6048.3870967741932</v>
      </c>
      <c r="Q152" s="156"/>
      <c r="R152" s="156"/>
      <c r="S152" s="156"/>
    </row>
    <row r="153" spans="1:19" ht="17.25" thickBot="1">
      <c r="A153" s="109" t="s">
        <v>226</v>
      </c>
      <c r="B153" s="110">
        <v>235</v>
      </c>
      <c r="C153" s="70">
        <v>-4.2372881000000001E-3</v>
      </c>
      <c r="D153" s="15">
        <v>233</v>
      </c>
      <c r="E153" s="32">
        <f t="shared" ref="E153:E156" si="78">IF(ISNUMBER(D153), (D153 - $B153) / $B153, "")</f>
        <v>-8.5106382978723406E-3</v>
      </c>
      <c r="F153" s="18">
        <f>IF(ISNUMBER(D153), $B172 * E153, "")</f>
        <v>-1276.5957446808511</v>
      </c>
      <c r="G153" s="31">
        <v>226</v>
      </c>
      <c r="H153" s="32">
        <f t="shared" ref="H153:H156" si="79">IF(ISNUMBER(G153), (G153 - $B153) / $B153, "")</f>
        <v>-3.8297872340425532E-2</v>
      </c>
      <c r="I153" s="91">
        <f>IF(ISNUMBER(G153), $B172 * H153, "")</f>
        <v>-5744.6808510638293</v>
      </c>
      <c r="J153" s="15">
        <v>228</v>
      </c>
      <c r="K153" s="32">
        <f t="shared" ref="K153:K156" si="80">IF(ISNUMBER(J153), (J153 - $B153) / $B153, "")</f>
        <v>-2.9787234042553193E-2</v>
      </c>
      <c r="L153" s="18">
        <f>IF(ISNUMBER(J153), $B172 * K153, "")</f>
        <v>-4468.0851063829787</v>
      </c>
      <c r="M153" s="31">
        <v>226</v>
      </c>
      <c r="N153" s="32">
        <f t="shared" ref="N153:N156" si="81">IF(ISNUMBER(M153), (M153 - $B153) / $B153, "")</f>
        <v>-3.8297872340425532E-2</v>
      </c>
      <c r="O153" s="18">
        <f>IF(ISNUMBER(M153), $B172 * N153, "")</f>
        <v>-5744.6808510638293</v>
      </c>
      <c r="Q153" s="156"/>
      <c r="R153" s="156"/>
      <c r="S153" s="156"/>
    </row>
    <row r="154" spans="1:19" ht="17.25" thickBot="1">
      <c r="A154" s="109" t="s">
        <v>202</v>
      </c>
      <c r="B154" s="110">
        <v>363</v>
      </c>
      <c r="C154" s="70">
        <v>-5.4794520999999997E-3</v>
      </c>
      <c r="D154" s="15">
        <v>355</v>
      </c>
      <c r="E154" s="32">
        <f t="shared" si="78"/>
        <v>-2.2038567493112948E-2</v>
      </c>
      <c r="F154" s="18">
        <f>IF(ISNUMBER(D154), $B172 * E154, "")</f>
        <v>-3305.7851239669421</v>
      </c>
      <c r="G154" s="31">
        <v>346</v>
      </c>
      <c r="H154" s="32">
        <f t="shared" si="79"/>
        <v>-4.6831955922865015E-2</v>
      </c>
      <c r="I154" s="91">
        <f>IF(ISNUMBER(G154), $B172 * H154, "")</f>
        <v>-7024.7933884297527</v>
      </c>
      <c r="J154" s="15">
        <v>354</v>
      </c>
      <c r="K154" s="32">
        <f t="shared" si="80"/>
        <v>-2.4793388429752067E-2</v>
      </c>
      <c r="L154" s="18">
        <f>IF(ISNUMBER(J154), $B172 * K154, "")</f>
        <v>-3719.0082644628101</v>
      </c>
      <c r="M154" s="31">
        <v>356</v>
      </c>
      <c r="N154" s="32">
        <f t="shared" si="81"/>
        <v>-1.928374655647383E-2</v>
      </c>
      <c r="O154" s="18">
        <f>IF(ISNUMBER(M154), $B172 * N154, "")</f>
        <v>-2892.5619834710747</v>
      </c>
      <c r="Q154" s="161"/>
      <c r="R154" s="161"/>
      <c r="S154" s="161"/>
    </row>
    <row r="155" spans="1:19" ht="17.25" thickBot="1">
      <c r="A155" s="109" t="s">
        <v>218</v>
      </c>
      <c r="B155" s="110">
        <v>356</v>
      </c>
      <c r="C155" s="70">
        <v>-5.5865921999999997E-3</v>
      </c>
      <c r="D155" s="15">
        <v>351</v>
      </c>
      <c r="E155" s="32">
        <f t="shared" si="78"/>
        <v>-1.4044943820224719E-2</v>
      </c>
      <c r="F155" s="18">
        <f>IF(ISNUMBER(D155), $B172 * E155, "")</f>
        <v>-2106.7415730337079</v>
      </c>
      <c r="G155" s="31">
        <v>341</v>
      </c>
      <c r="H155" s="32">
        <f t="shared" si="79"/>
        <v>-4.2134831460674156E-2</v>
      </c>
      <c r="I155" s="91">
        <f>IF(ISNUMBER(G155), $B172 * H155, "")</f>
        <v>-6320.2247191011238</v>
      </c>
      <c r="J155" s="15">
        <v>343</v>
      </c>
      <c r="K155" s="32">
        <f t="shared" si="80"/>
        <v>-3.6516853932584269E-2</v>
      </c>
      <c r="L155" s="18">
        <f>IF(ISNUMBER(J155), $B172 * K155, "")</f>
        <v>-5477.5280898876399</v>
      </c>
      <c r="M155" s="31">
        <v>342</v>
      </c>
      <c r="N155" s="32">
        <f t="shared" si="81"/>
        <v>-3.9325842696629212E-2</v>
      </c>
      <c r="O155" s="18">
        <f>IF(ISNUMBER(M155), $B172 * N155, "")</f>
        <v>-5898.8764044943819</v>
      </c>
      <c r="Q155" s="161"/>
      <c r="R155" s="161"/>
      <c r="S155" s="161"/>
    </row>
    <row r="156" spans="1:19" ht="17.25" thickBot="1">
      <c r="A156" s="111" t="s">
        <v>81</v>
      </c>
      <c r="B156" s="112">
        <v>424</v>
      </c>
      <c r="C156" s="71">
        <v>-7.0257610999999998E-3</v>
      </c>
      <c r="D156" s="20">
        <v>422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415</v>
      </c>
      <c r="H156" s="21">
        <f t="shared" si="79"/>
        <v>-2.1226415094339621E-2</v>
      </c>
      <c r="I156" s="95">
        <f>IF(ISNUMBER(G156), $B172 * H156, "")</f>
        <v>-3183.9622641509432</v>
      </c>
      <c r="J156" s="20">
        <v>417</v>
      </c>
      <c r="K156" s="21">
        <f t="shared" si="80"/>
        <v>-1.6509433962264151E-2</v>
      </c>
      <c r="L156" s="22">
        <f>IF(ISNUMBER(J156), $B172 * K156, "")</f>
        <v>-2476.4150943396226</v>
      </c>
      <c r="M156" s="30">
        <v>415</v>
      </c>
      <c r="N156" s="21">
        <f t="shared" si="81"/>
        <v>-2.1226415094339621E-2</v>
      </c>
      <c r="O156" s="22">
        <f>IF(ISNUMBER(M156), $B172 * N156, "")</f>
        <v>-3183.9622641509432</v>
      </c>
      <c r="Q156" s="161"/>
      <c r="R156" s="161"/>
      <c r="S156" s="161"/>
    </row>
    <row r="157" spans="1:19" ht="17.25" thickBot="1">
      <c r="A157" s="109" t="s">
        <v>120</v>
      </c>
      <c r="B157" s="113">
        <v>136</v>
      </c>
      <c r="C157" s="73">
        <v>-7.2992700999999997E-3</v>
      </c>
      <c r="D157" s="96">
        <v>132</v>
      </c>
      <c r="E157" s="97">
        <f>IF(ISNUMBER(D157), (D157 - $B157) / $B157, "")</f>
        <v>-2.9411764705882353E-2</v>
      </c>
      <c r="F157" s="98">
        <f>IF(ISNUMBER(D157), $B172 * E157, "")</f>
        <v>-4411.7647058823532</v>
      </c>
      <c r="G157" s="99">
        <v>128</v>
      </c>
      <c r="H157" s="97">
        <f>IF(ISNUMBER(G157), (G157 - $B157) / $B157, "")</f>
        <v>-5.8823529411764705E-2</v>
      </c>
      <c r="I157" s="100">
        <f>IF(ISNUMBER(G157), $B172 * H157, "")</f>
        <v>-8823.5294117647063</v>
      </c>
      <c r="J157" s="96">
        <v>130</v>
      </c>
      <c r="K157" s="97">
        <f>IF(ISNUMBER(J157), (J157 - $B157) / $B157, "")</f>
        <v>-4.4117647058823532E-2</v>
      </c>
      <c r="L157" s="98">
        <f>IF(ISNUMBER(J157), $B172 * K157, "")</f>
        <v>-6617.6470588235297</v>
      </c>
      <c r="M157" s="99">
        <v>128</v>
      </c>
      <c r="N157" s="97">
        <f>IF(ISNUMBER(M157), (M157 - $B157) / $B157, "")</f>
        <v>-5.8823529411764705E-2</v>
      </c>
      <c r="O157" s="98">
        <f>IF(ISNUMBER(M157), $B172 * N157, "")</f>
        <v>-8823.5294117647063</v>
      </c>
      <c r="Q157" s="161"/>
      <c r="R157" s="161"/>
      <c r="S157" s="161"/>
    </row>
    <row r="158" spans="1:19" ht="17.25" thickBot="1">
      <c r="A158" s="109" t="s">
        <v>256</v>
      </c>
      <c r="B158" s="110">
        <v>134</v>
      </c>
      <c r="C158" s="70">
        <v>-7.4074073999999997E-3</v>
      </c>
      <c r="D158" s="15">
        <v>133</v>
      </c>
      <c r="E158" s="32">
        <f t="shared" ref="E158:E161" si="82">IF(ISNUMBER(D158), (D158 - $B158) / $B158, "")</f>
        <v>-7.462686567164179E-3</v>
      </c>
      <c r="F158" s="18">
        <f>IF(ISNUMBER(D158), $B172 * E158, "")</f>
        <v>-1119.4029850746269</v>
      </c>
      <c r="G158" s="31">
        <v>128</v>
      </c>
      <c r="H158" s="32">
        <f t="shared" ref="H158:H161" si="83">IF(ISNUMBER(G158), (G158 - $B158) / $B158, "")</f>
        <v>-4.4776119402985072E-2</v>
      </c>
      <c r="I158" s="91">
        <f>IF(ISNUMBER(G158), $B172 * H158, "")</f>
        <v>-6716.4179104477607</v>
      </c>
      <c r="J158" s="15">
        <v>130</v>
      </c>
      <c r="K158" s="32">
        <f t="shared" ref="K158:K161" si="84">IF(ISNUMBER(J158), (J158 - $B158) / $B158, "")</f>
        <v>-2.9850746268656716E-2</v>
      </c>
      <c r="L158" s="18">
        <f>IF(ISNUMBER(J158), $B172 * K158, "")</f>
        <v>-4477.6119402985078</v>
      </c>
      <c r="M158" s="31">
        <v>129</v>
      </c>
      <c r="N158" s="32">
        <f t="shared" ref="N158:N161" si="85">IF(ISNUMBER(M158), (M158 - $B158) / $B158, "")</f>
        <v>-3.7313432835820892E-2</v>
      </c>
      <c r="O158" s="18">
        <f>IF(ISNUMBER(M158), $B172 * N158, "")</f>
        <v>-5597.0149253731342</v>
      </c>
      <c r="Q158" s="161"/>
      <c r="R158" s="161"/>
      <c r="S158" s="161"/>
    </row>
    <row r="159" spans="1:19" ht="17.25" thickBot="1">
      <c r="A159" s="109" t="s">
        <v>51</v>
      </c>
      <c r="B159" s="110">
        <v>116</v>
      </c>
      <c r="C159" s="70">
        <v>-8.5470084999999998E-3</v>
      </c>
      <c r="D159" s="15">
        <v>115</v>
      </c>
      <c r="E159" s="32">
        <f t="shared" si="82"/>
        <v>-8.6206896551724137E-3</v>
      </c>
      <c r="F159" s="18">
        <f>IF(ISNUMBER(D159), $B172 * E159, "")</f>
        <v>-1293.1034482758621</v>
      </c>
      <c r="G159" s="31">
        <v>114</v>
      </c>
      <c r="H159" s="32">
        <f t="shared" si="83"/>
        <v>-1.7241379310344827E-2</v>
      </c>
      <c r="I159" s="91">
        <f>IF(ISNUMBER(G159), $B172 * H159, "")</f>
        <v>-2586.2068965517242</v>
      </c>
      <c r="J159" s="15">
        <v>114</v>
      </c>
      <c r="K159" s="32">
        <f t="shared" si="84"/>
        <v>-1.7241379310344827E-2</v>
      </c>
      <c r="L159" s="18">
        <f>IF(ISNUMBER(J159), $B172 * K159, "")</f>
        <v>-2586.2068965517242</v>
      </c>
      <c r="M159" s="31">
        <v>114</v>
      </c>
      <c r="N159" s="32">
        <f t="shared" si="85"/>
        <v>-1.7241379310344827E-2</v>
      </c>
      <c r="O159" s="18">
        <f>IF(ISNUMBER(M159), $B172 * N159, "")</f>
        <v>-2586.2068965517242</v>
      </c>
      <c r="Q159" s="161"/>
      <c r="R159" s="161"/>
      <c r="S159" s="161"/>
    </row>
    <row r="160" spans="1:19" ht="17.25" thickBot="1">
      <c r="A160" s="109" t="s">
        <v>60</v>
      </c>
      <c r="B160" s="110">
        <v>559</v>
      </c>
      <c r="C160" s="70">
        <v>-8.8652482000000001E-3</v>
      </c>
      <c r="D160" s="15">
        <v>548</v>
      </c>
      <c r="E160" s="32">
        <f t="shared" si="82"/>
        <v>-1.9677996422182469E-2</v>
      </c>
      <c r="F160" s="18">
        <f>IF(ISNUMBER(D160), $B172 * E160, "")</f>
        <v>-2951.6994633273703</v>
      </c>
      <c r="G160" s="31">
        <v>529</v>
      </c>
      <c r="H160" s="32">
        <f t="shared" si="83"/>
        <v>-5.3667262969588549E-2</v>
      </c>
      <c r="I160" s="91">
        <f>IF(ISNUMBER(G160), $B172 * H160, "")</f>
        <v>-8050.0894454382824</v>
      </c>
      <c r="J160" s="15">
        <v>534</v>
      </c>
      <c r="K160" s="32">
        <f t="shared" si="84"/>
        <v>-4.4722719141323794E-2</v>
      </c>
      <c r="L160" s="18">
        <f>IF(ISNUMBER(J160), $B172 * K160, "")</f>
        <v>-6708.4078711985694</v>
      </c>
      <c r="M160" s="31">
        <v>530</v>
      </c>
      <c r="N160" s="32">
        <f t="shared" si="85"/>
        <v>-5.1878354203935599E-2</v>
      </c>
      <c r="O160" s="18">
        <f>IF(ISNUMBER(M160), $B172 * N160, "")</f>
        <v>-7781.7531305903394</v>
      </c>
      <c r="Q160" s="33"/>
      <c r="R160" s="33"/>
    </row>
    <row r="161" spans="1:19" ht="17.25" thickBot="1">
      <c r="A161" s="114" t="s">
        <v>85</v>
      </c>
      <c r="B161" s="115">
        <v>216</v>
      </c>
      <c r="C161" s="72">
        <v>-9.1743119000000008E-3</v>
      </c>
      <c r="D161" s="24">
        <v>213</v>
      </c>
      <c r="E161" s="25">
        <f t="shared" si="82"/>
        <v>-1.3888888888888888E-2</v>
      </c>
      <c r="F161" s="94">
        <f>IF(ISNUMBER(D161), $B172 * E161, "")</f>
        <v>-2083.333333333333</v>
      </c>
      <c r="G161" s="92">
        <v>205</v>
      </c>
      <c r="H161" s="25">
        <f t="shared" si="83"/>
        <v>-5.0925925925925923E-2</v>
      </c>
      <c r="I161" s="93">
        <f>IF(ISNUMBER(G161), $B172 * H161, "")</f>
        <v>-7638.8888888888887</v>
      </c>
      <c r="J161" s="24">
        <v>207</v>
      </c>
      <c r="K161" s="25">
        <f t="shared" si="84"/>
        <v>-4.1666666666666664E-2</v>
      </c>
      <c r="L161" s="94">
        <f>IF(ISNUMBER(J161), $B172 * K161, "")</f>
        <v>-6250</v>
      </c>
      <c r="M161" s="92">
        <v>204</v>
      </c>
      <c r="N161" s="25">
        <f t="shared" si="85"/>
        <v>-5.5555555555555552E-2</v>
      </c>
      <c r="O161" s="94">
        <f>IF(ISNUMBER(M161), $B172 * N161, "")</f>
        <v>-8333.3333333333321</v>
      </c>
      <c r="Q161" s="170"/>
      <c r="R161" s="171"/>
      <c r="S161" s="172"/>
    </row>
    <row r="162" spans="1:19">
      <c r="A162" s="107" t="s">
        <v>149</v>
      </c>
      <c r="B162" s="108">
        <v>423</v>
      </c>
      <c r="C162" s="69">
        <v>-9.3676815000000007E-3</v>
      </c>
      <c r="D162" s="13">
        <v>418</v>
      </c>
      <c r="E162" s="14">
        <f>IF(ISNUMBER(D162), (D162 - $B162) / $B162, "")</f>
        <v>-1.1820330969267139E-2</v>
      </c>
      <c r="F162" s="16">
        <f>IF(ISNUMBER(D162), $B172 * E162, "")</f>
        <v>-1773.049645390071</v>
      </c>
      <c r="G162" s="29">
        <v>398</v>
      </c>
      <c r="H162" s="14">
        <f>IF(ISNUMBER(G162), (G162 - $B162) / $B162, "")</f>
        <v>-5.9101654846335699E-2</v>
      </c>
      <c r="I162" s="90">
        <f>IF(ISNUMBER(G162), $B172 * H162, "")</f>
        <v>-8865.2482269503544</v>
      </c>
      <c r="J162" s="13">
        <v>404</v>
      </c>
      <c r="K162" s="14">
        <f>IF(ISNUMBER(J162), (J162 - $B162) / $B162, "")</f>
        <v>-4.4917257683215132E-2</v>
      </c>
      <c r="L162" s="16">
        <f>IF(ISNUMBER(J162), $B172 * K162, "")</f>
        <v>-6737.5886524822699</v>
      </c>
      <c r="M162" s="29">
        <v>399</v>
      </c>
      <c r="N162" s="14">
        <f>IF(ISNUMBER(M162), (M162 - $B162) / $B162, "")</f>
        <v>-5.6737588652482268E-2</v>
      </c>
      <c r="O162" s="16">
        <f>IF(ISNUMBER(M162), $B172 * N162, "")</f>
        <v>-8510.6382978723395</v>
      </c>
      <c r="Q162" s="173"/>
      <c r="R162" s="174"/>
      <c r="S162" s="175"/>
    </row>
    <row r="163" spans="1:19" ht="17.25" thickBot="1">
      <c r="A163" s="109" t="s">
        <v>244</v>
      </c>
      <c r="B163" s="110">
        <v>104</v>
      </c>
      <c r="C163" s="70">
        <v>-9.5238094999999991E-3</v>
      </c>
      <c r="D163" s="15">
        <v>101</v>
      </c>
      <c r="E163" s="32">
        <f t="shared" ref="E163:E166" si="86">IF(ISNUMBER(D163), (D163 - $B163) / $B163, "")</f>
        <v>-2.8846153846153848E-2</v>
      </c>
      <c r="F163" s="18">
        <f>IF(ISNUMBER(D163), $B172 * E163, "")</f>
        <v>-4326.9230769230771</v>
      </c>
      <c r="G163" s="31">
        <v>97.9</v>
      </c>
      <c r="H163" s="32">
        <f t="shared" ref="H163:H166" si="87">IF(ISNUMBER(G163), (G163 - $B163) / $B163, "")</f>
        <v>-5.8653846153846098E-2</v>
      </c>
      <c r="I163" s="91">
        <f>IF(ISNUMBER(G163), $B172 * H163, "")</f>
        <v>-8798.0769230769147</v>
      </c>
      <c r="J163" s="15">
        <v>100</v>
      </c>
      <c r="K163" s="32">
        <f t="shared" ref="K163:K166" si="88">IF(ISNUMBER(J163), (J163 - $B163) / $B163, "")</f>
        <v>-3.8461538461538464E-2</v>
      </c>
      <c r="L163" s="18">
        <f>IF(ISNUMBER(J163), $B172 * K163, "")</f>
        <v>-5769.2307692307695</v>
      </c>
      <c r="M163" s="31">
        <v>99.4</v>
      </c>
      <c r="N163" s="32">
        <f t="shared" ref="N163:N166" si="89">IF(ISNUMBER(M163), (M163 - $B163) / $B163, "")</f>
        <v>-4.4230769230769178E-2</v>
      </c>
      <c r="O163" s="18">
        <f>IF(ISNUMBER(M163), $B172 * N163, "")</f>
        <v>-6634.6153846153766</v>
      </c>
      <c r="Q163" s="176"/>
      <c r="R163" s="177"/>
      <c r="S163" s="178"/>
    </row>
    <row r="164" spans="1:19" ht="17.25" thickBot="1">
      <c r="A164" s="109" t="s">
        <v>222</v>
      </c>
      <c r="B164" s="110">
        <v>482</v>
      </c>
      <c r="C164" s="70">
        <v>-1.02669405E-2</v>
      </c>
      <c r="D164" s="15">
        <v>469</v>
      </c>
      <c r="E164" s="32">
        <f t="shared" si="86"/>
        <v>-2.6970954356846474E-2</v>
      </c>
      <c r="F164" s="18">
        <f>IF(ISNUMBER(D164), $B172 * E164, "")</f>
        <v>-4045.6431535269712</v>
      </c>
      <c r="G164" s="31">
        <v>458</v>
      </c>
      <c r="H164" s="32">
        <f t="shared" si="87"/>
        <v>-4.9792531120331947E-2</v>
      </c>
      <c r="I164" s="91">
        <f>IF(ISNUMBER(G164), $B172 * H164, "")</f>
        <v>-7468.8796680497917</v>
      </c>
      <c r="J164" s="15">
        <v>463</v>
      </c>
      <c r="K164" s="32">
        <f t="shared" si="88"/>
        <v>-3.9419087136929459E-2</v>
      </c>
      <c r="L164" s="18">
        <f>IF(ISNUMBER(J164), $B172 * K164, "")</f>
        <v>-5912.8630705394189</v>
      </c>
      <c r="M164" s="31">
        <v>462</v>
      </c>
      <c r="N164" s="32">
        <f t="shared" si="89"/>
        <v>-4.1493775933609957E-2</v>
      </c>
      <c r="O164" s="18">
        <f>IF(ISNUMBER(M164), $B172 * N164, "")</f>
        <v>-6224.0663900414938</v>
      </c>
      <c r="Q164" s="161"/>
      <c r="R164" s="161"/>
      <c r="S164" s="161"/>
    </row>
    <row r="165" spans="1:19" ht="17.25" thickBot="1">
      <c r="A165" s="109" t="s">
        <v>169</v>
      </c>
      <c r="B165" s="110">
        <v>284</v>
      </c>
      <c r="C165" s="70">
        <v>-1.38888889E-2</v>
      </c>
      <c r="D165" s="15">
        <v>284</v>
      </c>
      <c r="E165" s="32">
        <f t="shared" si="86"/>
        <v>0</v>
      </c>
      <c r="F165" s="18">
        <f>IF(ISNUMBER(D165), $B172 * E165, "")</f>
        <v>0</v>
      </c>
      <c r="G165" s="31">
        <v>278</v>
      </c>
      <c r="H165" s="32">
        <f t="shared" si="87"/>
        <v>-2.1126760563380281E-2</v>
      </c>
      <c r="I165" s="91">
        <f>IF(ISNUMBER(G165), $B172 * H165, "")</f>
        <v>-3169.0140845070423</v>
      </c>
      <c r="J165" s="15">
        <v>277</v>
      </c>
      <c r="K165" s="32">
        <f t="shared" si="88"/>
        <v>-2.464788732394366E-2</v>
      </c>
      <c r="L165" s="18">
        <f>IF(ISNUMBER(J165), $B172 * K165, "")</f>
        <v>-3697.183098591549</v>
      </c>
      <c r="M165" s="31">
        <v>277</v>
      </c>
      <c r="N165" s="32">
        <f t="shared" si="89"/>
        <v>-2.464788732394366E-2</v>
      </c>
      <c r="O165" s="18">
        <f>IF(ISNUMBER(M165), $B172 * N165, "")</f>
        <v>-3697.183098591549</v>
      </c>
      <c r="Q165" s="156"/>
      <c r="R165" s="156"/>
      <c r="S165" s="156"/>
    </row>
    <row r="166" spans="1:19" ht="17.25" thickBot="1">
      <c r="A166" s="111" t="s">
        <v>167</v>
      </c>
      <c r="B166" s="112">
        <v>200</v>
      </c>
      <c r="C166" s="71">
        <v>-1.47783251E-2</v>
      </c>
      <c r="D166" s="20">
        <v>197</v>
      </c>
      <c r="E166" s="21">
        <f t="shared" si="86"/>
        <v>-1.4999999999999999E-2</v>
      </c>
      <c r="F166" s="22">
        <f>IF(ISNUMBER(D166), $B172 * E166, "")</f>
        <v>-2250</v>
      </c>
      <c r="G166" s="30">
        <v>192</v>
      </c>
      <c r="H166" s="21">
        <f t="shared" si="87"/>
        <v>-0.04</v>
      </c>
      <c r="I166" s="95">
        <f>IF(ISNUMBER(G166), $B172 * H166, "")</f>
        <v>-6000</v>
      </c>
      <c r="J166" s="20">
        <v>195</v>
      </c>
      <c r="K166" s="21">
        <f t="shared" si="88"/>
        <v>-2.5000000000000001E-2</v>
      </c>
      <c r="L166" s="22">
        <f>IF(ISNUMBER(J166), $B172 * K166, "")</f>
        <v>-3750</v>
      </c>
      <c r="M166" s="30">
        <v>194</v>
      </c>
      <c r="N166" s="21">
        <f t="shared" si="89"/>
        <v>-0.03</v>
      </c>
      <c r="O166" s="22">
        <f>IF(ISNUMBER(M166), $B172 * N166, "")</f>
        <v>-4500</v>
      </c>
      <c r="Q166" s="156"/>
      <c r="R166" s="156"/>
      <c r="S166" s="156"/>
    </row>
    <row r="167" spans="1:19" ht="17.25" thickBot="1">
      <c r="A167" s="109" t="s">
        <v>332</v>
      </c>
      <c r="B167" s="113">
        <v>312</v>
      </c>
      <c r="C167" s="73">
        <v>-1.8867924500000001E-2</v>
      </c>
      <c r="D167" s="96">
        <v>307</v>
      </c>
      <c r="E167" s="97">
        <f>IF(ISNUMBER(D167), (D167 - $B167) / $B167, "")</f>
        <v>-1.6025641025641024E-2</v>
      </c>
      <c r="F167" s="98">
        <f>IF(ISNUMBER(D167), $B172 * E167, "")</f>
        <v>-2403.8461538461538</v>
      </c>
      <c r="G167" s="99">
        <v>298</v>
      </c>
      <c r="H167" s="97">
        <f>IF(ISNUMBER(G167), (G167 - $B167) / $B167, "")</f>
        <v>-4.4871794871794872E-2</v>
      </c>
      <c r="I167" s="100">
        <f>IF(ISNUMBER(G167), $B172 * H167, "")</f>
        <v>-6730.7692307692305</v>
      </c>
      <c r="J167" s="96">
        <v>300</v>
      </c>
      <c r="K167" s="97">
        <f>IF(ISNUMBER(J167), (J167 - $B167) / $B167, "")</f>
        <v>-3.8461538461538464E-2</v>
      </c>
      <c r="L167" s="98">
        <f>IF(ISNUMBER(J167), $B172 * K167, "")</f>
        <v>-5769.2307692307695</v>
      </c>
      <c r="M167" s="99">
        <v>296</v>
      </c>
      <c r="N167" s="97">
        <f>IF(ISNUMBER(M167), (M167 - $B167) / $B167, "")</f>
        <v>-5.128205128205128E-2</v>
      </c>
      <c r="O167" s="98">
        <f>IF(ISNUMBER(M167), $B172 * N167, "")</f>
        <v>-7692.3076923076924</v>
      </c>
      <c r="Q167" s="161"/>
      <c r="R167" s="161"/>
      <c r="S167" s="161"/>
    </row>
    <row r="168" spans="1:19" ht="17.25" thickBot="1">
      <c r="A168" s="109" t="s">
        <v>349</v>
      </c>
      <c r="B168" s="110">
        <v>848</v>
      </c>
      <c r="C168" s="70">
        <v>-2.3041474700000002E-2</v>
      </c>
      <c r="D168" s="15">
        <v>819</v>
      </c>
      <c r="E168" s="32">
        <f t="shared" ref="E168:E171" si="90">IF(ISNUMBER(D168), (D168 - $B168) / $B168, "")</f>
        <v>-3.4198113207547169E-2</v>
      </c>
      <c r="F168" s="18">
        <f>IF(ISNUMBER(D168), $B172 * E168, "")</f>
        <v>-5129.7169811320755</v>
      </c>
      <c r="G168" s="31">
        <v>802</v>
      </c>
      <c r="H168" s="32">
        <f t="shared" ref="H168:H171" si="91">IF(ISNUMBER(G168), (G168 - $B168) / $B168, "")</f>
        <v>-5.4245283018867926E-2</v>
      </c>
      <c r="I168" s="91">
        <f>IF(ISNUMBER(G168), $B172 * H168, "")</f>
        <v>-8136.7924528301892</v>
      </c>
      <c r="J168" s="15">
        <v>808</v>
      </c>
      <c r="K168" s="32">
        <f t="shared" ref="K168:K171" si="92">IF(ISNUMBER(J168), (J168 - $B168) / $B168, "")</f>
        <v>-4.716981132075472E-2</v>
      </c>
      <c r="L168" s="18">
        <f>IF(ISNUMBER(J168), $B172 * K168, "")</f>
        <v>-7075.4716981132078</v>
      </c>
      <c r="M168" s="31">
        <v>798</v>
      </c>
      <c r="N168" s="32">
        <f t="shared" ref="N168:N171" si="93">IF(ISNUMBER(M168), (M168 - $B168) / $B168, "")</f>
        <v>-5.8962264150943397E-2</v>
      </c>
      <c r="O168" s="18">
        <f>IF(ISNUMBER(M168), $B172 * N168, "")</f>
        <v>-8844.3396226415098</v>
      </c>
      <c r="Q168" s="161"/>
      <c r="R168" s="161"/>
      <c r="S168" s="161"/>
    </row>
    <row r="169" spans="1:19" ht="17.25" thickBot="1">
      <c r="A169" s="109" t="s">
        <v>196</v>
      </c>
      <c r="B169" s="110">
        <v>292</v>
      </c>
      <c r="C169" s="70">
        <v>-2.6666666700000001E-2</v>
      </c>
      <c r="D169" s="15" t="s">
        <v>353</v>
      </c>
      <c r="E169" s="32" t="str">
        <f t="shared" si="90"/>
        <v/>
      </c>
      <c r="F169" s="18" t="str">
        <f>IF(ISNUMBER(D169), $B172 * E169, "")</f>
        <v/>
      </c>
      <c r="G169" s="31" t="s">
        <v>353</v>
      </c>
      <c r="H169" s="32" t="str">
        <f t="shared" si="91"/>
        <v/>
      </c>
      <c r="I169" s="91" t="str">
        <f>IF(ISNUMBER(G169), $B172 * H169, "")</f>
        <v/>
      </c>
      <c r="J169" s="15" t="s">
        <v>353</v>
      </c>
      <c r="K169" s="32" t="str">
        <f t="shared" si="92"/>
        <v/>
      </c>
      <c r="L169" s="18" t="str">
        <f>IF(ISNUMBER(J169), $B172 * K169, "")</f>
        <v/>
      </c>
      <c r="M169" s="31" t="s">
        <v>353</v>
      </c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09" t="s">
        <v>340</v>
      </c>
      <c r="B170" s="110">
        <v>631</v>
      </c>
      <c r="C170" s="70">
        <v>-2.77349769E-2</v>
      </c>
      <c r="D170" s="15">
        <v>613</v>
      </c>
      <c r="E170" s="32">
        <f t="shared" si="90"/>
        <v>-2.8526148969889066E-2</v>
      </c>
      <c r="F170" s="18">
        <f>IF(ISNUMBER(D170), $B172 * E170, "")</f>
        <v>-4278.92234548336</v>
      </c>
      <c r="G170" s="31">
        <v>600</v>
      </c>
      <c r="H170" s="32">
        <f t="shared" si="91"/>
        <v>-4.9128367670364499E-2</v>
      </c>
      <c r="I170" s="91">
        <f>IF(ISNUMBER(G170), $B172 * H170, "")</f>
        <v>-7369.2551505546753</v>
      </c>
      <c r="J170" s="15">
        <v>605</v>
      </c>
      <c r="K170" s="32">
        <f t="shared" si="92"/>
        <v>-4.1204437400950873E-2</v>
      </c>
      <c r="L170" s="18">
        <f>IF(ISNUMBER(J170), $B172 * K170, "")</f>
        <v>-6180.6656101426306</v>
      </c>
      <c r="M170" s="31">
        <v>597</v>
      </c>
      <c r="N170" s="32">
        <f t="shared" si="93"/>
        <v>-5.388272583201268E-2</v>
      </c>
      <c r="O170" s="18">
        <f>IF(ISNUMBER(M170), $B172 * N170, "")</f>
        <v>-8082.4088748019021</v>
      </c>
      <c r="Q170" s="183"/>
      <c r="R170" s="184"/>
      <c r="S170" s="185"/>
    </row>
    <row r="171" spans="1:19" ht="17.25" thickBot="1">
      <c r="A171" s="114" t="s">
        <v>68</v>
      </c>
      <c r="B171" s="115">
        <v>386</v>
      </c>
      <c r="C171" s="72">
        <v>-3.7406483800000001E-2</v>
      </c>
      <c r="D171" s="24">
        <v>379</v>
      </c>
      <c r="E171" s="25">
        <f t="shared" si="90"/>
        <v>-1.8134715025906734E-2</v>
      </c>
      <c r="F171" s="94">
        <f>IF(ISNUMBER(D171), $B172 * E171, "")</f>
        <v>-2720.2072538860102</v>
      </c>
      <c r="G171" s="92">
        <v>365</v>
      </c>
      <c r="H171" s="25">
        <f t="shared" si="91"/>
        <v>-5.4404145077720206E-2</v>
      </c>
      <c r="I171" s="93">
        <f>IF(ISNUMBER(G171), $B172 * H171, "")</f>
        <v>-8160.6217616580307</v>
      </c>
      <c r="J171" s="24">
        <v>373</v>
      </c>
      <c r="K171" s="25">
        <f t="shared" si="92"/>
        <v>-3.367875647668394E-2</v>
      </c>
      <c r="L171" s="94">
        <f>IF(ISNUMBER(J171), $B172 * K171, "")</f>
        <v>-5051.8134715025908</v>
      </c>
      <c r="M171" s="92">
        <v>368</v>
      </c>
      <c r="N171" s="25">
        <f t="shared" si="93"/>
        <v>-4.6632124352331605E-2</v>
      </c>
      <c r="O171" s="94">
        <f>IF(ISNUMBER(M171), $B172 * N171, "")</f>
        <v>-6994.8186528497408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-1.7266131826653052E-2</v>
      </c>
      <c r="F172" s="28">
        <f>SUM(F152:F171)</f>
        <v>-49208.475705961187</v>
      </c>
      <c r="G172" s="26" t="s">
        <v>261</v>
      </c>
      <c r="H172" s="27">
        <f>IF(COUNT(H152:H171), SUM(H152:H171) / COUNT(H152:H171), 0)</f>
        <v>-4.4503802937195587E-2</v>
      </c>
      <c r="I172" s="28">
        <f>SUM(I152:I171)</f>
        <v>-126835.83837100743</v>
      </c>
      <c r="J172" s="26" t="s">
        <v>261</v>
      </c>
      <c r="K172" s="27">
        <f>IF(COUNT(K152:K171), SUM(K152:K171) / COUNT(K152:K171), 0)</f>
        <v>-3.4232865662876477E-2</v>
      </c>
      <c r="L172" s="28">
        <f>SUM(L152:L171)</f>
        <v>-97563.667139197947</v>
      </c>
      <c r="M172" s="26" t="s">
        <v>261</v>
      </c>
      <c r="N172" s="27">
        <f>IF(COUNT(N152:N171), SUM(N152:N171) / COUNT(N152:N171), 0)</f>
        <v>-4.1428310284662893E-2</v>
      </c>
      <c r="O172" s="28">
        <f>SUM(O152:O171)</f>
        <v>-118070.68431128925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2022-12-07(수) 오전 00:00</v>
      </c>
      <c r="C177" s="199"/>
      <c r="D177" s="158" t="str">
        <f>TEXT($G$1, "[$-ko-KR]yyyy-mm-dd(ddd) ") &amp; "오후 14:00"</f>
        <v>2022-12-07(수) 오후 14:00</v>
      </c>
      <c r="E177" s="159"/>
      <c r="F177" s="160"/>
      <c r="G177" s="158" t="str">
        <f>TEXT($G$1, "[$-ko-KR]yyyy-mm-dd(ddd) ") &amp; "오후 19:00"</f>
        <v>2022-12-07(수) 오후 19:00</v>
      </c>
      <c r="H177" s="159"/>
      <c r="I177" s="160"/>
      <c r="J177" s="158" t="str">
        <f>TEXT($G$1, "[$-ko-KR]yyyy-mm-dd(ddd) ") &amp; "오후 21:00"</f>
        <v>2022-12-07(수) 오후 21:00</v>
      </c>
      <c r="K177" s="159"/>
      <c r="L177" s="160"/>
      <c r="M177" s="158" t="str">
        <f>TEXT($G$1+1, "[$-ko-KR]yyyy-mm-dd(ddd) ") &amp; "오전 00:00"</f>
        <v>2022-12-08(목)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141</v>
      </c>
      <c r="B179" s="108">
        <v>3.45</v>
      </c>
      <c r="C179" s="69">
        <v>-1.1461318099999999E-2</v>
      </c>
      <c r="D179" s="13">
        <v>3.42</v>
      </c>
      <c r="E179" s="14">
        <f>IF(ISNUMBER(D179), (D179 - $B179) / $B179, "")</f>
        <v>-8.6956521739131147E-3</v>
      </c>
      <c r="F179" s="16">
        <f>IF(ISNUMBER(D179), $B199 * E179, "")</f>
        <v>-1304.3478260869672</v>
      </c>
      <c r="G179" s="29">
        <v>3.31</v>
      </c>
      <c r="H179" s="14">
        <f>IF(ISNUMBER(G179), (G179 - $B179) / $B179, "")</f>
        <v>-4.0579710144927568E-2</v>
      </c>
      <c r="I179" s="90">
        <f>IF(ISNUMBER(G179), $B199 * H179, "")</f>
        <v>-6086.9565217391355</v>
      </c>
      <c r="J179" s="13">
        <v>3.41</v>
      </c>
      <c r="K179" s="14">
        <f>IF(ISNUMBER(J179), (J179 - $B179) / $B179, "")</f>
        <v>-1.1594202898550735E-2</v>
      </c>
      <c r="L179" s="16">
        <f>IF(ISNUMBER(J179), $B199 * K179, "")</f>
        <v>-1739.1304347826103</v>
      </c>
      <c r="M179" s="29">
        <v>3.37</v>
      </c>
      <c r="N179" s="14">
        <f>IF(ISNUMBER(M179), (M179 - $B179) / $B179, "")</f>
        <v>-2.318840579710147E-2</v>
      </c>
      <c r="O179" s="16">
        <f>IF(ISNUMBER(M179), $B199 * N179, "")</f>
        <v>-3478.2608695652207</v>
      </c>
      <c r="Q179" s="156"/>
      <c r="R179" s="156"/>
      <c r="S179" s="156"/>
    </row>
    <row r="180" spans="1:19" ht="17.25" thickBot="1">
      <c r="A180" s="109" t="s">
        <v>118</v>
      </c>
      <c r="B180" s="110">
        <v>6.89</v>
      </c>
      <c r="C180" s="70">
        <v>-1.28939828E-2</v>
      </c>
      <c r="D180" s="15">
        <v>6.8</v>
      </c>
      <c r="E180" s="32">
        <f t="shared" ref="E180:E183" si="94">IF(ISNUMBER(D180), (D180 - $B180) / $B180, "")</f>
        <v>-1.3062409288824363E-2</v>
      </c>
      <c r="F180" s="18">
        <f>IF(ISNUMBER(D180), $B199 * E180, "")</f>
        <v>-1959.3613933236543</v>
      </c>
      <c r="G180" s="31">
        <v>6.66</v>
      </c>
      <c r="H180" s="32">
        <f t="shared" ref="H180:H183" si="95">IF(ISNUMBER(G180), (G180 - $B180) / $B180, "")</f>
        <v>-3.3381712626995581E-2</v>
      </c>
      <c r="I180" s="91">
        <f>IF(ISNUMBER(G180), $B199 * H180, "")</f>
        <v>-5007.2568940493375</v>
      </c>
      <c r="J180" s="15">
        <v>6.8</v>
      </c>
      <c r="K180" s="32">
        <f t="shared" ref="K180:K183" si="96">IF(ISNUMBER(J180), (J180 - $B180) / $B180, "")</f>
        <v>-1.3062409288824363E-2</v>
      </c>
      <c r="L180" s="18">
        <f>IF(ISNUMBER(J180), $B199 * K180, "")</f>
        <v>-1959.3613933236543</v>
      </c>
      <c r="M180" s="31">
        <v>6.76</v>
      </c>
      <c r="N180" s="32">
        <f t="shared" ref="N180:N183" si="97">IF(ISNUMBER(M180), (M180 - $B180) / $B180, "")</f>
        <v>-1.8867924528301872E-2</v>
      </c>
      <c r="O180" s="18">
        <f>IF(ISNUMBER(M180), $B199 * N180, "")</f>
        <v>-2830.188679245281</v>
      </c>
      <c r="Q180" s="156"/>
      <c r="R180" s="156"/>
      <c r="S180" s="156"/>
    </row>
    <row r="181" spans="1:19" ht="17.25" thickBot="1">
      <c r="A181" s="109" t="s">
        <v>169</v>
      </c>
      <c r="B181" s="110">
        <v>284</v>
      </c>
      <c r="C181" s="70">
        <v>-1.38888889E-2</v>
      </c>
      <c r="D181" s="15">
        <v>284</v>
      </c>
      <c r="E181" s="32">
        <f t="shared" si="94"/>
        <v>0</v>
      </c>
      <c r="F181" s="18">
        <f>IF(ISNUMBER(D181), $B199 * E181, "")</f>
        <v>0</v>
      </c>
      <c r="G181" s="31">
        <v>278</v>
      </c>
      <c r="H181" s="32">
        <f t="shared" si="95"/>
        <v>-2.1126760563380281E-2</v>
      </c>
      <c r="I181" s="91">
        <f>IF(ISNUMBER(G181), $B199 * H181, "")</f>
        <v>-3169.0140845070423</v>
      </c>
      <c r="J181" s="15">
        <v>277</v>
      </c>
      <c r="K181" s="32">
        <f t="shared" si="96"/>
        <v>-2.464788732394366E-2</v>
      </c>
      <c r="L181" s="18">
        <f>IF(ISNUMBER(J181), $B199 * K181, "")</f>
        <v>-3697.183098591549</v>
      </c>
      <c r="M181" s="31">
        <v>277</v>
      </c>
      <c r="N181" s="32">
        <f t="shared" si="97"/>
        <v>-2.464788732394366E-2</v>
      </c>
      <c r="O181" s="18">
        <f>IF(ISNUMBER(M181), $B199 * N181, "")</f>
        <v>-3697.183098591549</v>
      </c>
      <c r="Q181" s="161"/>
      <c r="R181" s="161"/>
      <c r="S181" s="161"/>
    </row>
    <row r="182" spans="1:19" ht="17.25" thickBot="1">
      <c r="A182" s="109" t="s">
        <v>73</v>
      </c>
      <c r="B182" s="110">
        <v>13530</v>
      </c>
      <c r="C182" s="70">
        <v>-1.45666424E-2</v>
      </c>
      <c r="D182" s="15">
        <v>13400</v>
      </c>
      <c r="E182" s="32">
        <f t="shared" si="94"/>
        <v>-9.6082779009608286E-3</v>
      </c>
      <c r="F182" s="18">
        <f>IF(ISNUMBER(D182), $B199 * E182, "")</f>
        <v>-1441.2416851441244</v>
      </c>
      <c r="G182" s="31">
        <v>13070</v>
      </c>
      <c r="H182" s="32">
        <f t="shared" si="95"/>
        <v>-3.399852180339985E-2</v>
      </c>
      <c r="I182" s="91">
        <f>IF(ISNUMBER(G182), $B199 * H182, "")</f>
        <v>-5099.7782705099771</v>
      </c>
      <c r="J182" s="15">
        <v>13040</v>
      </c>
      <c r="K182" s="32">
        <f t="shared" si="96"/>
        <v>-3.6215816703621583E-2</v>
      </c>
      <c r="L182" s="18">
        <f>IF(ISNUMBER(J182), $B199 * K182, "")</f>
        <v>-5432.3725055432378</v>
      </c>
      <c r="M182" s="31">
        <v>12870</v>
      </c>
      <c r="N182" s="32">
        <f t="shared" si="97"/>
        <v>-4.878048780487805E-2</v>
      </c>
      <c r="O182" s="18">
        <f>IF(ISNUMBER(M182), $B199 * N182, "")</f>
        <v>-7317.0731707317073</v>
      </c>
      <c r="Q182" s="161"/>
      <c r="R182" s="161"/>
      <c r="S182" s="161"/>
    </row>
    <row r="183" spans="1:19" ht="17.25" thickBot="1">
      <c r="A183" s="111" t="s">
        <v>167</v>
      </c>
      <c r="B183" s="112">
        <v>200</v>
      </c>
      <c r="C183" s="71">
        <v>-1.47783251E-2</v>
      </c>
      <c r="D183" s="20">
        <v>197</v>
      </c>
      <c r="E183" s="21">
        <f t="shared" si="94"/>
        <v>-1.4999999999999999E-2</v>
      </c>
      <c r="F183" s="22">
        <f>IF(ISNUMBER(D183), $B199 * E183, "")</f>
        <v>-2250</v>
      </c>
      <c r="G183" s="30">
        <v>192</v>
      </c>
      <c r="H183" s="21">
        <f t="shared" si="95"/>
        <v>-0.04</v>
      </c>
      <c r="I183" s="95">
        <f>IF(ISNUMBER(G183), $B199 * H183, "")</f>
        <v>-6000</v>
      </c>
      <c r="J183" s="20">
        <v>195</v>
      </c>
      <c r="K183" s="21">
        <f t="shared" si="96"/>
        <v>-2.5000000000000001E-2</v>
      </c>
      <c r="L183" s="22">
        <f>IF(ISNUMBER(J183), $B199 * K183, "")</f>
        <v>-3750</v>
      </c>
      <c r="M183" s="30">
        <v>194</v>
      </c>
      <c r="N183" s="21">
        <f t="shared" si="97"/>
        <v>-0.03</v>
      </c>
      <c r="O183" s="22">
        <f>IF(ISNUMBER(M183), $B199 * N183, "")</f>
        <v>-4500</v>
      </c>
      <c r="Q183" s="161"/>
      <c r="R183" s="161"/>
      <c r="S183" s="161"/>
    </row>
    <row r="184" spans="1:19" ht="17.25" thickBot="1">
      <c r="A184" s="109" t="s">
        <v>107</v>
      </c>
      <c r="B184" s="113">
        <v>42.7</v>
      </c>
      <c r="C184" s="73">
        <v>-1.6129032299999999E-2</v>
      </c>
      <c r="D184" s="96">
        <v>41.6</v>
      </c>
      <c r="E184" s="97">
        <f>IF(ISNUMBER(D184), (D184 - $B184) / $B184, "")</f>
        <v>-2.5761124121779892E-2</v>
      </c>
      <c r="F184" s="98">
        <f>IF(ISNUMBER(D184), $B199 * E184, "")</f>
        <v>-3864.1686182669837</v>
      </c>
      <c r="G184" s="99">
        <v>40.700000000000003</v>
      </c>
      <c r="H184" s="97">
        <f>IF(ISNUMBER(G184), (G184 - $B184) / $B184, "")</f>
        <v>-4.6838407494145196E-2</v>
      </c>
      <c r="I184" s="100">
        <f>IF(ISNUMBER(G184), $B199 * H184, "")</f>
        <v>-7025.7611241217792</v>
      </c>
      <c r="J184" s="96">
        <v>41.3</v>
      </c>
      <c r="K184" s="97">
        <f>IF(ISNUMBER(J184), (J184 - $B184) / $B184, "")</f>
        <v>-3.2786885245901773E-2</v>
      </c>
      <c r="L184" s="98">
        <f>IF(ISNUMBER(J184), $B199 * K184, "")</f>
        <v>-4918.0327868852655</v>
      </c>
      <c r="M184" s="99">
        <v>40.700000000000003</v>
      </c>
      <c r="N184" s="97">
        <f>IF(ISNUMBER(M184), (M184 - $B184) / $B184, "")</f>
        <v>-4.6838407494145196E-2</v>
      </c>
      <c r="O184" s="98">
        <f>IF(ISNUMBER(M184), $B199 * N184, "")</f>
        <v>-7025.7611241217792</v>
      </c>
      <c r="Q184" s="161"/>
      <c r="R184" s="161"/>
      <c r="S184" s="161"/>
    </row>
    <row r="185" spans="1:19" ht="17.25" thickBot="1">
      <c r="A185" s="109" t="s">
        <v>322</v>
      </c>
      <c r="B185" s="110">
        <v>84980</v>
      </c>
      <c r="C185" s="70">
        <v>-1.6207455400000001E-2</v>
      </c>
      <c r="D185" s="15">
        <v>84630</v>
      </c>
      <c r="E185" s="32">
        <f t="shared" ref="E185:E188" si="98">IF(ISNUMBER(D185), (D185 - $B185) / $B185, "")</f>
        <v>-4.1186161449752881E-3</v>
      </c>
      <c r="F185" s="18">
        <f>IF(ISNUMBER(D185), $B199 * E185, "")</f>
        <v>-617.79242174629326</v>
      </c>
      <c r="G185" s="31">
        <v>82660</v>
      </c>
      <c r="H185" s="32">
        <f t="shared" ref="H185:H188" si="99">IF(ISNUMBER(G185), (G185 - $B185) / $B185, "")</f>
        <v>-2.7300541303836197E-2</v>
      </c>
      <c r="I185" s="91">
        <f>IF(ISNUMBER(G185), $B199 * H185, "")</f>
        <v>-4095.0811955754293</v>
      </c>
      <c r="J185" s="15">
        <v>84040</v>
      </c>
      <c r="K185" s="32">
        <f t="shared" ref="K185:K188" si="100">IF(ISNUMBER(J185), (J185 - $B185) / $B185, "")</f>
        <v>-1.1061426217933632E-2</v>
      </c>
      <c r="L185" s="18">
        <f>IF(ISNUMBER(J185), $B199 * K185, "")</f>
        <v>-1659.2139326900449</v>
      </c>
      <c r="M185" s="31">
        <v>82700</v>
      </c>
      <c r="N185" s="32">
        <f t="shared" ref="N185:N188" si="101">IF(ISNUMBER(M185), (M185 - $B185) / $B185, "")</f>
        <v>-2.6829842315839021E-2</v>
      </c>
      <c r="O185" s="18">
        <f>IF(ISNUMBER(M185), $B199 * N185, "")</f>
        <v>-4024.476347375853</v>
      </c>
      <c r="Q185" s="161"/>
      <c r="R185" s="161"/>
      <c r="S185" s="161"/>
    </row>
    <row r="186" spans="1:19" ht="17.25" thickBot="1">
      <c r="A186" s="109" t="s">
        <v>200</v>
      </c>
      <c r="B186" s="110">
        <v>6.94</v>
      </c>
      <c r="C186" s="70">
        <v>-1.6997167099999998E-2</v>
      </c>
      <c r="D186" s="15">
        <v>6.92</v>
      </c>
      <c r="E186" s="32">
        <f t="shared" si="98"/>
        <v>-2.8818443804035248E-3</v>
      </c>
      <c r="F186" s="18">
        <f>IF(ISNUMBER(D186), $B199 * E186, "")</f>
        <v>-432.27665706052875</v>
      </c>
      <c r="G186" s="31">
        <v>6.66</v>
      </c>
      <c r="H186" s="32">
        <f t="shared" si="99"/>
        <v>-4.034582132564845E-2</v>
      </c>
      <c r="I186" s="91">
        <f>IF(ISNUMBER(G186), $B199 * H186, "")</f>
        <v>-6051.8731988472673</v>
      </c>
      <c r="J186" s="15">
        <v>6.83</v>
      </c>
      <c r="K186" s="32">
        <f t="shared" si="100"/>
        <v>-1.5850144092219066E-2</v>
      </c>
      <c r="L186" s="18">
        <f>IF(ISNUMBER(J186), $B199 * K186, "")</f>
        <v>-2377.5216138328597</v>
      </c>
      <c r="M186" s="31">
        <v>6.79</v>
      </c>
      <c r="N186" s="32">
        <f t="shared" si="101"/>
        <v>-2.1613832853025986E-2</v>
      </c>
      <c r="O186" s="18">
        <f>IF(ISNUMBER(M186), $B199 * N186, "")</f>
        <v>-3242.0749279538977</v>
      </c>
      <c r="Q186" s="161"/>
      <c r="R186" s="161"/>
      <c r="S186" s="161"/>
    </row>
    <row r="187" spans="1:19" ht="17.25" thickBot="1">
      <c r="A187" s="109" t="s">
        <v>163</v>
      </c>
      <c r="B187" s="110">
        <v>7505</v>
      </c>
      <c r="C187" s="70">
        <v>-1.76701571E-2</v>
      </c>
      <c r="D187" s="15">
        <v>7225</v>
      </c>
      <c r="E187" s="32">
        <f t="shared" si="98"/>
        <v>-3.7308461025982675E-2</v>
      </c>
      <c r="F187" s="18">
        <f>IF(ISNUMBER(D187), $B199 * E187, "")</f>
        <v>-5596.2691538974013</v>
      </c>
      <c r="G187" s="31">
        <v>7110</v>
      </c>
      <c r="H187" s="32">
        <f t="shared" si="99"/>
        <v>-5.2631578947368418E-2</v>
      </c>
      <c r="I187" s="91">
        <f>IF(ISNUMBER(G187), $B199 * H187, "")</f>
        <v>-7894.7368421052624</v>
      </c>
      <c r="J187" s="15">
        <v>7190</v>
      </c>
      <c r="K187" s="32">
        <f t="shared" si="100"/>
        <v>-4.197201865423051E-2</v>
      </c>
      <c r="L187" s="18">
        <f>IF(ISNUMBER(J187), $B199 * K187, "")</f>
        <v>-6295.8027981345767</v>
      </c>
      <c r="M187" s="31">
        <v>7155</v>
      </c>
      <c r="N187" s="32">
        <f t="shared" si="101"/>
        <v>-4.6635576282478344E-2</v>
      </c>
      <c r="O187" s="18">
        <f>IF(ISNUMBER(M187), $B199 * N187, "")</f>
        <v>-6995.3364423717512</v>
      </c>
      <c r="Q187" s="33"/>
      <c r="R187" s="33"/>
    </row>
    <row r="188" spans="1:19" ht="17.25" thickBot="1">
      <c r="A188" s="114" t="s">
        <v>210</v>
      </c>
      <c r="B188" s="115">
        <v>66.7</v>
      </c>
      <c r="C188" s="72">
        <v>-1.7673048600000001E-2</v>
      </c>
      <c r="D188" s="24">
        <v>66.400000000000006</v>
      </c>
      <c r="E188" s="25">
        <f t="shared" si="98"/>
        <v>-4.4977511244377382E-3</v>
      </c>
      <c r="F188" s="94">
        <f>IF(ISNUMBER(D188), $B199 * E188, "")</f>
        <v>-674.6626686656607</v>
      </c>
      <c r="G188" s="92">
        <v>63.7</v>
      </c>
      <c r="H188" s="25">
        <f t="shared" si="99"/>
        <v>-4.4977511244377807E-2</v>
      </c>
      <c r="I188" s="93">
        <f>IF(ISNUMBER(G188), $B199 * H188, "")</f>
        <v>-6746.6266866566712</v>
      </c>
      <c r="J188" s="24">
        <v>64.900000000000006</v>
      </c>
      <c r="K188" s="25">
        <f t="shared" si="100"/>
        <v>-2.6986506746626643E-2</v>
      </c>
      <c r="L188" s="94">
        <f>IF(ISNUMBER(J188), $B199 * K188, "")</f>
        <v>-4047.9760119939965</v>
      </c>
      <c r="M188" s="92">
        <v>65.2</v>
      </c>
      <c r="N188" s="25">
        <f t="shared" si="101"/>
        <v>-2.2488755622188904E-2</v>
      </c>
      <c r="O188" s="94">
        <f>IF(ISNUMBER(M188), $B199 * N188, "")</f>
        <v>-3373.3133433283356</v>
      </c>
      <c r="Q188" s="170"/>
      <c r="R188" s="171"/>
      <c r="S188" s="172"/>
    </row>
    <row r="189" spans="1:19">
      <c r="A189" s="107" t="s">
        <v>214</v>
      </c>
      <c r="B189" s="108">
        <v>1110</v>
      </c>
      <c r="C189" s="69">
        <v>-1.7699115000000001E-2</v>
      </c>
      <c r="D189" s="13">
        <v>1080</v>
      </c>
      <c r="E189" s="14">
        <f>IF(ISNUMBER(D189), (D189 - $B189) / $B189, "")</f>
        <v>-2.7027027027027029E-2</v>
      </c>
      <c r="F189" s="16">
        <f>IF(ISNUMBER(D189), $B199 * E189, "")</f>
        <v>-4054.0540540540542</v>
      </c>
      <c r="G189" s="29">
        <v>1070</v>
      </c>
      <c r="H189" s="14">
        <f>IF(ISNUMBER(G189), (G189 - $B189) / $B189, "")</f>
        <v>-3.6036036036036036E-2</v>
      </c>
      <c r="I189" s="90">
        <f>IF(ISNUMBER(G189), $B199 * H189, "")</f>
        <v>-5405.405405405405</v>
      </c>
      <c r="J189" s="13">
        <v>1080</v>
      </c>
      <c r="K189" s="14">
        <f>IF(ISNUMBER(J189), (J189 - $B189) / $B189, "")</f>
        <v>-2.7027027027027029E-2</v>
      </c>
      <c r="L189" s="16">
        <f>IF(ISNUMBER(J189), $B199 * K189, "")</f>
        <v>-4054.0540540540542</v>
      </c>
      <c r="M189" s="29">
        <v>1065</v>
      </c>
      <c r="N189" s="14">
        <f>IF(ISNUMBER(M189), (M189 - $B189) / $B189, "")</f>
        <v>-4.0540540540540543E-2</v>
      </c>
      <c r="O189" s="16">
        <f>IF(ISNUMBER(M189), $B199 * N189, "")</f>
        <v>-6081.0810810810817</v>
      </c>
      <c r="Q189" s="173"/>
      <c r="R189" s="174"/>
      <c r="S189" s="175"/>
    </row>
    <row r="190" spans="1:19" ht="17.25" thickBot="1">
      <c r="A190" s="109" t="s">
        <v>332</v>
      </c>
      <c r="B190" s="110">
        <v>312</v>
      </c>
      <c r="C190" s="70">
        <v>-1.8867924500000001E-2</v>
      </c>
      <c r="D190" s="15">
        <v>307</v>
      </c>
      <c r="E190" s="32">
        <f t="shared" ref="E190:E193" si="102">IF(ISNUMBER(D190), (D190 - $B190) / $B190, "")</f>
        <v>-1.6025641025641024E-2</v>
      </c>
      <c r="F190" s="18">
        <f>IF(ISNUMBER(D190), $B199 * E190, "")</f>
        <v>-2403.8461538461538</v>
      </c>
      <c r="G190" s="31">
        <v>298</v>
      </c>
      <c r="H190" s="32">
        <f t="shared" ref="H190:H193" si="103">IF(ISNUMBER(G190), (G190 - $B190) / $B190, "")</f>
        <v>-4.4871794871794872E-2</v>
      </c>
      <c r="I190" s="91">
        <f>IF(ISNUMBER(G190), $B199 * H190, "")</f>
        <v>-6730.7692307692305</v>
      </c>
      <c r="J190" s="15">
        <v>300</v>
      </c>
      <c r="K190" s="32">
        <f t="shared" ref="K190:K193" si="104">IF(ISNUMBER(J190), (J190 - $B190) / $B190, "")</f>
        <v>-3.8461538461538464E-2</v>
      </c>
      <c r="L190" s="18">
        <f>IF(ISNUMBER(J190), $B199 * K190, "")</f>
        <v>-5769.2307692307695</v>
      </c>
      <c r="M190" s="31">
        <v>296</v>
      </c>
      <c r="N190" s="32">
        <f t="shared" ref="N190:N193" si="105">IF(ISNUMBER(M190), (M190 - $B190) / $B190, "")</f>
        <v>-5.128205128205128E-2</v>
      </c>
      <c r="O190" s="18">
        <f>IF(ISNUMBER(M190), $B199 * N190, "")</f>
        <v>-7692.3076923076924</v>
      </c>
      <c r="Q190" s="176"/>
      <c r="R190" s="177"/>
      <c r="S190" s="178"/>
    </row>
    <row r="191" spans="1:19" ht="17.25" thickBot="1">
      <c r="A191" s="109" t="s">
        <v>113</v>
      </c>
      <c r="B191" s="110">
        <v>1345</v>
      </c>
      <c r="C191" s="70">
        <v>-2.1818181799999999E-2</v>
      </c>
      <c r="D191" s="15">
        <v>1285</v>
      </c>
      <c r="E191" s="32">
        <f t="shared" si="102"/>
        <v>-4.4609665427509292E-2</v>
      </c>
      <c r="F191" s="18">
        <f>IF(ISNUMBER(D191), $B199 * E191, "")</f>
        <v>-6691.4498141263939</v>
      </c>
      <c r="G191" s="31">
        <v>1295</v>
      </c>
      <c r="H191" s="32">
        <f t="shared" si="103"/>
        <v>-3.717472118959108E-2</v>
      </c>
      <c r="I191" s="91">
        <f>IF(ISNUMBER(G191), $B199 * H191, "")</f>
        <v>-5576.2081784386619</v>
      </c>
      <c r="J191" s="15">
        <v>1295</v>
      </c>
      <c r="K191" s="32">
        <f t="shared" si="104"/>
        <v>-3.717472118959108E-2</v>
      </c>
      <c r="L191" s="18">
        <f>IF(ISNUMBER(J191), $B199 * K191, "")</f>
        <v>-5576.2081784386619</v>
      </c>
      <c r="M191" s="31">
        <v>1305</v>
      </c>
      <c r="N191" s="32">
        <f t="shared" si="105"/>
        <v>-2.9739776951672861E-2</v>
      </c>
      <c r="O191" s="18">
        <f>IF(ISNUMBER(M191), $B199 * N191, "")</f>
        <v>-4460.966542750929</v>
      </c>
      <c r="Q191" s="161"/>
      <c r="R191" s="161"/>
      <c r="S191" s="161"/>
    </row>
    <row r="192" spans="1:19" ht="17.25" thickBot="1">
      <c r="A192" s="109" t="s">
        <v>349</v>
      </c>
      <c r="B192" s="110">
        <v>848</v>
      </c>
      <c r="C192" s="70">
        <v>-2.3041474700000002E-2</v>
      </c>
      <c r="D192" s="15">
        <v>819</v>
      </c>
      <c r="E192" s="32">
        <f t="shared" si="102"/>
        <v>-3.4198113207547169E-2</v>
      </c>
      <c r="F192" s="18">
        <f>IF(ISNUMBER(D192), $B199 * E192, "")</f>
        <v>-5129.7169811320755</v>
      </c>
      <c r="G192" s="31">
        <v>802</v>
      </c>
      <c r="H192" s="32">
        <f t="shared" si="103"/>
        <v>-5.4245283018867926E-2</v>
      </c>
      <c r="I192" s="91">
        <f>IF(ISNUMBER(G192), $B199 * H192, "")</f>
        <v>-8136.7924528301892</v>
      </c>
      <c r="J192" s="15">
        <v>808</v>
      </c>
      <c r="K192" s="32">
        <f t="shared" si="104"/>
        <v>-4.716981132075472E-2</v>
      </c>
      <c r="L192" s="18">
        <f>IF(ISNUMBER(J192), $B199 * K192, "")</f>
        <v>-7075.4716981132078</v>
      </c>
      <c r="M192" s="31">
        <v>798</v>
      </c>
      <c r="N192" s="32">
        <f t="shared" si="105"/>
        <v>-5.8962264150943397E-2</v>
      </c>
      <c r="O192" s="18">
        <f>IF(ISNUMBER(M192), $B199 * N192, "")</f>
        <v>-8844.3396226415098</v>
      </c>
      <c r="Q192" s="156"/>
      <c r="R192" s="156"/>
      <c r="S192" s="156"/>
    </row>
    <row r="193" spans="1:19" ht="17.25" thickBot="1">
      <c r="A193" s="111" t="s">
        <v>196</v>
      </c>
      <c r="B193" s="112">
        <v>292</v>
      </c>
      <c r="C193" s="71">
        <v>-2.6666666700000001E-2</v>
      </c>
      <c r="D193" s="20" t="s">
        <v>353</v>
      </c>
      <c r="E193" s="21" t="str">
        <f t="shared" si="102"/>
        <v/>
      </c>
      <c r="F193" s="22" t="str">
        <f>IF(ISNUMBER(D193), $B199 * E193, "")</f>
        <v/>
      </c>
      <c r="G193" s="30" t="s">
        <v>353</v>
      </c>
      <c r="H193" s="21" t="str">
        <f t="shared" si="103"/>
        <v/>
      </c>
      <c r="I193" s="95" t="str">
        <f>IF(ISNUMBER(G193), $B199 * H193, "")</f>
        <v/>
      </c>
      <c r="J193" s="20" t="s">
        <v>353</v>
      </c>
      <c r="K193" s="21" t="str">
        <f t="shared" si="104"/>
        <v/>
      </c>
      <c r="L193" s="22" t="str">
        <f>IF(ISNUMBER(J193), $B199 * K193, "")</f>
        <v/>
      </c>
      <c r="M193" s="30" t="s">
        <v>353</v>
      </c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340</v>
      </c>
      <c r="B194" s="113">
        <v>631</v>
      </c>
      <c r="C194" s="73">
        <v>-2.77349769E-2</v>
      </c>
      <c r="D194" s="96">
        <v>613</v>
      </c>
      <c r="E194" s="97">
        <f>IF(ISNUMBER(D194), (D194 - $B194) / $B194, "")</f>
        <v>-2.8526148969889066E-2</v>
      </c>
      <c r="F194" s="98">
        <f>IF(ISNUMBER(D194), $B199 * E194, "")</f>
        <v>-4278.92234548336</v>
      </c>
      <c r="G194" s="99">
        <v>600</v>
      </c>
      <c r="H194" s="97">
        <f>IF(ISNUMBER(G194), (G194 - $B194) / $B194, "")</f>
        <v>-4.9128367670364499E-2</v>
      </c>
      <c r="I194" s="100">
        <f>IF(ISNUMBER(G194), $B199 * H194, "")</f>
        <v>-7369.2551505546753</v>
      </c>
      <c r="J194" s="96">
        <v>605</v>
      </c>
      <c r="K194" s="97">
        <f>IF(ISNUMBER(J194), (J194 - $B194) / $B194, "")</f>
        <v>-4.1204437400950873E-2</v>
      </c>
      <c r="L194" s="98">
        <f>IF(ISNUMBER(J194), $B199 * K194, "")</f>
        <v>-6180.6656101426306</v>
      </c>
      <c r="M194" s="99">
        <v>597</v>
      </c>
      <c r="N194" s="97">
        <f>IF(ISNUMBER(M194), (M194 - $B194) / $B194, "")</f>
        <v>-5.388272583201268E-2</v>
      </c>
      <c r="O194" s="98">
        <f>IF(ISNUMBER(M194), $B199 * N194, "")</f>
        <v>-8082.4088748019021</v>
      </c>
      <c r="Q194" s="161"/>
      <c r="R194" s="161"/>
      <c r="S194" s="161"/>
    </row>
    <row r="195" spans="1:19" ht="17.25" thickBot="1">
      <c r="A195" s="109" t="s">
        <v>68</v>
      </c>
      <c r="B195" s="110">
        <v>386</v>
      </c>
      <c r="C195" s="70">
        <v>-3.7406483800000001E-2</v>
      </c>
      <c r="D195" s="15">
        <v>379</v>
      </c>
      <c r="E195" s="32">
        <f t="shared" ref="E195:E198" si="106">IF(ISNUMBER(D195), (D195 - $B195) / $B195, "")</f>
        <v>-1.8134715025906734E-2</v>
      </c>
      <c r="F195" s="18">
        <f>IF(ISNUMBER(D195), $B199 * E195, "")</f>
        <v>-2720.2072538860102</v>
      </c>
      <c r="G195" s="31">
        <v>365</v>
      </c>
      <c r="H195" s="32">
        <f t="shared" ref="H195:H198" si="107">IF(ISNUMBER(G195), (G195 - $B195) / $B195, "")</f>
        <v>-5.4404145077720206E-2</v>
      </c>
      <c r="I195" s="91">
        <f>IF(ISNUMBER(G195), $B199 * H195, "")</f>
        <v>-8160.6217616580307</v>
      </c>
      <c r="J195" s="15">
        <v>373</v>
      </c>
      <c r="K195" s="32">
        <f t="shared" ref="K195:K198" si="108">IF(ISNUMBER(J195), (J195 - $B195) / $B195, "")</f>
        <v>-3.367875647668394E-2</v>
      </c>
      <c r="L195" s="18">
        <f>IF(ISNUMBER(J195), $B199 * K195, "")</f>
        <v>-5051.8134715025908</v>
      </c>
      <c r="M195" s="31">
        <v>368</v>
      </c>
      <c r="N195" s="32">
        <f t="shared" ref="N195:N198" si="109">IF(ISNUMBER(M195), (M195 - $B195) / $B195, "")</f>
        <v>-4.6632124352331605E-2</v>
      </c>
      <c r="O195" s="18">
        <f>IF(ISNUMBER(M195), $B199 * N195, "")</f>
        <v>-6994.8186528497408</v>
      </c>
      <c r="Q195" s="161"/>
      <c r="R195" s="161"/>
      <c r="S195" s="161"/>
    </row>
    <row r="196" spans="1:19" ht="17.25" thickBot="1">
      <c r="A196" s="109" t="s">
        <v>336</v>
      </c>
      <c r="B196" s="110">
        <v>88.4</v>
      </c>
      <c r="C196" s="70">
        <v>-4.1214750500000001E-2</v>
      </c>
      <c r="D196" s="15">
        <v>89.5</v>
      </c>
      <c r="E196" s="32">
        <f t="shared" si="106"/>
        <v>1.2443438914027084E-2</v>
      </c>
      <c r="F196" s="18">
        <f>IF(ISNUMBER(D196), $B199 * E196, "")</f>
        <v>1866.5158371040627</v>
      </c>
      <c r="G196" s="31">
        <v>85.4</v>
      </c>
      <c r="H196" s="32">
        <f t="shared" si="107"/>
        <v>-3.3936651583710405E-2</v>
      </c>
      <c r="I196" s="91">
        <f>IF(ISNUMBER(G196), $B199 * H196, "")</f>
        <v>-5090.4977375565604</v>
      </c>
      <c r="J196" s="15">
        <v>86.1</v>
      </c>
      <c r="K196" s="32">
        <f t="shared" si="108"/>
        <v>-2.6018099547511438E-2</v>
      </c>
      <c r="L196" s="18">
        <f>IF(ISNUMBER(J196), $B199 * K196, "")</f>
        <v>-3902.7149321267157</v>
      </c>
      <c r="M196" s="31">
        <v>85.7</v>
      </c>
      <c r="N196" s="32">
        <f t="shared" si="109"/>
        <v>-3.0542986425339397E-2</v>
      </c>
      <c r="O196" s="18">
        <f>IF(ISNUMBER(M196), $B199 * N196, "")</f>
        <v>-4581.4479638009097</v>
      </c>
      <c r="Q196" s="161"/>
      <c r="R196" s="161"/>
      <c r="S196" s="161"/>
    </row>
    <row r="197" spans="1:19">
      <c r="A197" s="109" t="s">
        <v>198</v>
      </c>
      <c r="B197" s="110">
        <v>8.39</v>
      </c>
      <c r="C197" s="70">
        <v>-4.2237442899999998E-2</v>
      </c>
      <c r="D197" s="15">
        <v>7.98</v>
      </c>
      <c r="E197" s="32">
        <f t="shared" si="106"/>
        <v>-4.8867699642431477E-2</v>
      </c>
      <c r="F197" s="18">
        <f>IF(ISNUMBER(D197), $B199 * E197, "")</f>
        <v>-7330.1549463647216</v>
      </c>
      <c r="G197" s="31">
        <v>7.82</v>
      </c>
      <c r="H197" s="32">
        <f t="shared" si="107"/>
        <v>-6.7938021454112069E-2</v>
      </c>
      <c r="I197" s="91">
        <f>IF(ISNUMBER(G197), $B199 * H197, "")</f>
        <v>-10190.703218116811</v>
      </c>
      <c r="J197" s="15">
        <v>8.09</v>
      </c>
      <c r="K197" s="32">
        <f t="shared" si="108"/>
        <v>-3.5756853396901156E-2</v>
      </c>
      <c r="L197" s="18">
        <f>IF(ISNUMBER(J197), $B199 * K197, "")</f>
        <v>-5363.5280095351736</v>
      </c>
      <c r="M197" s="31">
        <v>8.0500000000000007</v>
      </c>
      <c r="N197" s="32">
        <f t="shared" si="109"/>
        <v>-4.0524433849821198E-2</v>
      </c>
      <c r="O197" s="18">
        <f>IF(ISNUMBER(M197), $B199 * N197, "")</f>
        <v>-6078.6650774731797</v>
      </c>
      <c r="Q197" s="183"/>
      <c r="R197" s="184"/>
      <c r="S197" s="185"/>
    </row>
    <row r="198" spans="1:19" ht="17.25" thickBot="1">
      <c r="A198" s="114" t="s">
        <v>347</v>
      </c>
      <c r="B198" s="115">
        <v>1090</v>
      </c>
      <c r="C198" s="72">
        <v>-5.2173913000000002E-2</v>
      </c>
      <c r="D198" s="24">
        <v>1075</v>
      </c>
      <c r="E198" s="25">
        <f t="shared" si="106"/>
        <v>-1.3761467889908258E-2</v>
      </c>
      <c r="F198" s="94">
        <f>IF(ISNUMBER(D198), $B199 * E198, "")</f>
        <v>-2064.2201834862385</v>
      </c>
      <c r="G198" s="92">
        <v>1165</v>
      </c>
      <c r="H198" s="25">
        <f t="shared" si="107"/>
        <v>6.8807339449541288E-2</v>
      </c>
      <c r="I198" s="93">
        <f>IF(ISNUMBER(G198), $B199 * H198, "")</f>
        <v>10321.100917431193</v>
      </c>
      <c r="J198" s="24">
        <v>502</v>
      </c>
      <c r="K198" s="25">
        <f t="shared" si="108"/>
        <v>-0.5394495412844037</v>
      </c>
      <c r="L198" s="94">
        <f>IF(ISNUMBER(J198), $B199 * K198, "")</f>
        <v>-80917.431192660559</v>
      </c>
      <c r="M198" s="92">
        <v>407</v>
      </c>
      <c r="N198" s="25">
        <f t="shared" si="109"/>
        <v>-0.62660550458715591</v>
      </c>
      <c r="O198" s="94">
        <f>IF(ISNUMBER(M198), $B199 * N198, "")</f>
        <v>-93990.825688073382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-1.7875851340163701E-2</v>
      </c>
      <c r="F199" s="28">
        <f>SUM(F179:F198)</f>
        <v>-50946.176319466562</v>
      </c>
      <c r="G199" s="26" t="s">
        <v>261</v>
      </c>
      <c r="H199" s="27">
        <f>IF(COUNT(H179:H198), SUM(H179:H198) / COUNT(H179:H198), 0)</f>
        <v>-3.6321486679301851E-2</v>
      </c>
      <c r="I199" s="28">
        <f>SUM(I179:I198)</f>
        <v>-103516.23703601029</v>
      </c>
      <c r="J199" s="26" t="s">
        <v>261</v>
      </c>
      <c r="K199" s="27">
        <f>IF(COUNT(K179:K198), SUM(K179:K198) / COUNT(K179:K198), 0)</f>
        <v>-5.6058846488274444E-2</v>
      </c>
      <c r="L199" s="28">
        <f>SUM(L179:L198)</f>
        <v>-159767.71249158215</v>
      </c>
      <c r="M199" s="26" t="s">
        <v>261</v>
      </c>
      <c r="N199" s="27">
        <f>IF(COUNT(N179:N198), SUM(N179:N198) / COUNT(N179:N198), 0)</f>
        <v>-6.7821238315461635E-2</v>
      </c>
      <c r="O199" s="28">
        <f>SUM(O179:O198)</f>
        <v>-193290.5291990657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F179C-1D66-4F47-9566-1ED926316EF0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44903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5,825 KRW (0.19%)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7,187 KRW (0.24%)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72 KRW (0.00%)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-3,719 KRW (-0.13%)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2022-12-08(목) 오전 00:00</v>
      </c>
      <c r="C15" s="202"/>
      <c r="D15" s="158" t="str">
        <f>TEXT($G$1, "[$-ko-KR]yyyy-mm-dd(ddd) ") &amp; "오후 14:00"</f>
        <v>2022-12-08(목) 오후 14:00</v>
      </c>
      <c r="E15" s="159"/>
      <c r="F15" s="160"/>
      <c r="G15" s="158" t="str">
        <f>TEXT($G$1, "[$-ko-KR]yyyy-mm-dd(ddd) ") &amp; "오후 19:00"</f>
        <v>2022-12-08(목) 오후 19:00</v>
      </c>
      <c r="H15" s="159"/>
      <c r="I15" s="160"/>
      <c r="J15" s="158" t="str">
        <f>TEXT($G$1, "[$-ko-KR]yyyy-mm-dd(ddd) ") &amp; "오후 21:00"</f>
        <v>2022-12-08(목) 오후 21:00</v>
      </c>
      <c r="K15" s="159"/>
      <c r="L15" s="160"/>
      <c r="M15" s="158" t="str">
        <f>TEXT($G$1+1, "[$-ko-KR]yyyy-mm-dd(ddd) ") &amp; "오전 00:00"</f>
        <v>2022-12-09(금)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2022-12-08(목) 오전 00:00</v>
      </c>
      <c r="C42" s="199"/>
      <c r="D42" s="158" t="str">
        <f>TEXT($G$1, "[$-ko-KR]yyyy-mm-dd(ddd) ") &amp; "오후 14:00"</f>
        <v>2022-12-08(목) 오후 14:00</v>
      </c>
      <c r="E42" s="159"/>
      <c r="F42" s="160"/>
      <c r="G42" s="158" t="str">
        <f>TEXT($G$1, "[$-ko-KR]yyyy-mm-dd(ddd) ") &amp; "오후 19:00"</f>
        <v>2022-12-08(목) 오후 19:00</v>
      </c>
      <c r="H42" s="159"/>
      <c r="I42" s="160"/>
      <c r="J42" s="158" t="str">
        <f>TEXT($G$1, "[$-ko-KR]yyyy-mm-dd(ddd) ") &amp; "오후 21:00"</f>
        <v>2022-12-08(목) 오후 21:00</v>
      </c>
      <c r="K42" s="159"/>
      <c r="L42" s="160"/>
      <c r="M42" s="158" t="str">
        <f>TEXT($G$1+1, "[$-ko-KR]yyyy-mm-dd(ddd) ") &amp; "오전 00:00"</f>
        <v>2022-12-09(금)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181</v>
      </c>
      <c r="B44" s="108">
        <v>4.5599999999999996</v>
      </c>
      <c r="C44" s="69">
        <v>2.7027026999999999E-2</v>
      </c>
      <c r="D44" s="13">
        <v>4.42</v>
      </c>
      <c r="E44" s="14">
        <f>IF(ISNUMBER(D44), (D44 - $B44) / $B44, "")</f>
        <v>-3.0701754385964845E-2</v>
      </c>
      <c r="F44" s="16">
        <f>IF(ISNUMBER(D44), $B64 * E44, "")</f>
        <v>-4605.2631578947266</v>
      </c>
      <c r="G44" s="29">
        <v>4.99</v>
      </c>
      <c r="H44" s="14">
        <f>IF(ISNUMBER(G44), (G44 - $B44) / $B44, "")</f>
        <v>9.4298245614035228E-2</v>
      </c>
      <c r="I44" s="90">
        <f>IF(ISNUMBER(G44), $B64 * H44, "")</f>
        <v>14144.736842105283</v>
      </c>
      <c r="J44" s="13">
        <v>4.74</v>
      </c>
      <c r="K44" s="14">
        <f>IF(ISNUMBER(J44), (J44 - $B44) / $B44, "")</f>
        <v>3.9473684210526452E-2</v>
      </c>
      <c r="L44" s="16">
        <f>IF(ISNUMBER(J44), $B64 * K44, "")</f>
        <v>5921.0526315789675</v>
      </c>
      <c r="M44" s="29">
        <v>4.67</v>
      </c>
      <c r="N44" s="14">
        <f>IF(ISNUMBER(M44), (M44 - $B44) / $B44, "")</f>
        <v>2.4122807017543931E-2</v>
      </c>
      <c r="O44" s="16">
        <f>IF(ISNUMBER(M44), $B64 * N44, "")</f>
        <v>3618.4210526315896</v>
      </c>
      <c r="Q44" s="156"/>
      <c r="R44" s="156"/>
      <c r="S44" s="156"/>
    </row>
    <row r="45" spans="1:19" ht="17.25" customHeight="1" thickBot="1">
      <c r="A45" s="109" t="s">
        <v>191</v>
      </c>
      <c r="B45" s="110">
        <v>55.1</v>
      </c>
      <c r="C45" s="70">
        <v>2.60707635E-2</v>
      </c>
      <c r="D45" s="15">
        <v>51.6</v>
      </c>
      <c r="E45" s="32">
        <f t="shared" ref="E45:E48" si="14">IF(ISNUMBER(D45), (D45 - $B45) / $B45, "")</f>
        <v>-6.3520871143375679E-2</v>
      </c>
      <c r="F45" s="18">
        <f>IF(ISNUMBER(D45), $B64 * E45, "")</f>
        <v>-9528.1306715063511</v>
      </c>
      <c r="G45" s="31">
        <v>52.5</v>
      </c>
      <c r="H45" s="32">
        <f t="shared" ref="H45:H48" si="15">IF(ISNUMBER(G45), (G45 - $B45) / $B45, "")</f>
        <v>-4.7186932849364815E-2</v>
      </c>
      <c r="I45" s="91">
        <f>IF(ISNUMBER(G45), $B64 * H45, "")</f>
        <v>-7078.0399274047222</v>
      </c>
      <c r="J45" s="15">
        <v>51.8</v>
      </c>
      <c r="K45" s="32">
        <f t="shared" ref="K45:K48" si="16">IF(ISNUMBER(J45), (J45 - $B45) / $B45, "")</f>
        <v>-5.9891107078040004E-2</v>
      </c>
      <c r="L45" s="18">
        <f>IF(ISNUMBER(J45), $B64 * K45, "")</f>
        <v>-8983.6660617060006</v>
      </c>
      <c r="M45" s="31">
        <v>52.4</v>
      </c>
      <c r="N45" s="32">
        <f t="shared" ref="N45:N48" si="17">IF(ISNUMBER(M45), (M45 - $B45) / $B45, "")</f>
        <v>-4.9001814882032715E-2</v>
      </c>
      <c r="O45" s="18">
        <f>IF(ISNUMBER(M45), $B64 * N45, "")</f>
        <v>-7350.2722323049074</v>
      </c>
      <c r="Q45" s="156"/>
      <c r="R45" s="156"/>
      <c r="S45" s="156"/>
    </row>
    <row r="46" spans="1:19" ht="17.25" customHeight="1" thickBot="1">
      <c r="A46" s="109" t="s">
        <v>240</v>
      </c>
      <c r="B46" s="110">
        <v>29.6</v>
      </c>
      <c r="C46" s="70">
        <v>-3.3670034000000001E-3</v>
      </c>
      <c r="D46" s="15">
        <v>29.5</v>
      </c>
      <c r="E46" s="32">
        <f t="shared" si="14"/>
        <v>-3.3783783783784263E-3</v>
      </c>
      <c r="F46" s="18">
        <f>IF(ISNUMBER(D46), $B64 * E46, "")</f>
        <v>-506.75675675676393</v>
      </c>
      <c r="G46" s="31">
        <v>29.7</v>
      </c>
      <c r="H46" s="32">
        <f t="shared" si="15"/>
        <v>3.3783783783783061E-3</v>
      </c>
      <c r="I46" s="91">
        <f>IF(ISNUMBER(G46), $B64 * H46, "")</f>
        <v>506.75675675674592</v>
      </c>
      <c r="J46" s="15">
        <v>29.9</v>
      </c>
      <c r="K46" s="32">
        <f t="shared" si="16"/>
        <v>1.0135135135135039E-2</v>
      </c>
      <c r="L46" s="18">
        <f>IF(ISNUMBER(J46), $B64 * K46, "")</f>
        <v>1520.2702702702559</v>
      </c>
      <c r="M46" s="31">
        <v>30.2</v>
      </c>
      <c r="N46" s="32">
        <f t="shared" si="17"/>
        <v>2.0270270270270199E-2</v>
      </c>
      <c r="O46" s="18">
        <f>IF(ISNUMBER(M46), $B64 * N46, "")</f>
        <v>3040.5405405405299</v>
      </c>
      <c r="Q46" s="161"/>
      <c r="R46" s="161"/>
      <c r="S46" s="161"/>
    </row>
    <row r="47" spans="1:19" ht="17.25" customHeight="1" thickBot="1">
      <c r="A47" s="109" t="s">
        <v>145</v>
      </c>
      <c r="B47" s="110">
        <v>71.400000000000006</v>
      </c>
      <c r="C47" s="70">
        <v>-4.1841003999999998E-3</v>
      </c>
      <c r="D47" s="15">
        <v>71.400000000000006</v>
      </c>
      <c r="E47" s="32">
        <f t="shared" si="14"/>
        <v>0</v>
      </c>
      <c r="F47" s="18">
        <f>IF(ISNUMBER(D47), $B64 * E47, "")</f>
        <v>0</v>
      </c>
      <c r="G47" s="31">
        <v>71.5</v>
      </c>
      <c r="H47" s="32">
        <f t="shared" si="15"/>
        <v>1.4005602240895561E-3</v>
      </c>
      <c r="I47" s="91">
        <f>IF(ISNUMBER(G47), $B64 * H47, "")</f>
        <v>210.08403361343341</v>
      </c>
      <c r="J47" s="15">
        <v>71.5</v>
      </c>
      <c r="K47" s="32">
        <f t="shared" si="16"/>
        <v>1.4005602240895561E-3</v>
      </c>
      <c r="L47" s="18">
        <f>IF(ISNUMBER(J47), $B64 * K47, "")</f>
        <v>210.08403361343341</v>
      </c>
      <c r="M47" s="31">
        <v>71.5</v>
      </c>
      <c r="N47" s="32">
        <f t="shared" si="17"/>
        <v>1.4005602240895561E-3</v>
      </c>
      <c r="O47" s="18">
        <f>IF(ISNUMBER(M47), $B64 * N47, "")</f>
        <v>210.08403361343341</v>
      </c>
      <c r="Q47" s="161"/>
      <c r="R47" s="161"/>
      <c r="S47" s="161"/>
    </row>
    <row r="48" spans="1:19" ht="17.25" customHeight="1" thickBot="1">
      <c r="A48" s="111" t="s">
        <v>56</v>
      </c>
      <c r="B48" s="112">
        <v>43.4</v>
      </c>
      <c r="C48" s="71">
        <v>-4.5871560000000002E-3</v>
      </c>
      <c r="D48" s="20">
        <v>42.9</v>
      </c>
      <c r="E48" s="21">
        <f t="shared" si="14"/>
        <v>-1.1520737327188941E-2</v>
      </c>
      <c r="F48" s="22">
        <f>IF(ISNUMBER(D48), $B64 * E48, "")</f>
        <v>-1728.110599078341</v>
      </c>
      <c r="G48" s="30">
        <v>43.1</v>
      </c>
      <c r="H48" s="21">
        <f t="shared" si="15"/>
        <v>-6.9124423963132986E-3</v>
      </c>
      <c r="I48" s="95">
        <f>IF(ISNUMBER(G48), $B64 * H48, "")</f>
        <v>-1036.8663594469947</v>
      </c>
      <c r="J48" s="20">
        <v>42.9</v>
      </c>
      <c r="K48" s="21">
        <f t="shared" si="16"/>
        <v>-1.1520737327188941E-2</v>
      </c>
      <c r="L48" s="22">
        <f>IF(ISNUMBER(J48), $B64 * K48, "")</f>
        <v>-1728.110599078341</v>
      </c>
      <c r="M48" s="30">
        <v>43.1</v>
      </c>
      <c r="N48" s="21">
        <f t="shared" si="17"/>
        <v>-6.9124423963132986E-3</v>
      </c>
      <c r="O48" s="22">
        <f>IF(ISNUMBER(M48), $B64 * N48, "")</f>
        <v>-1036.8663594469947</v>
      </c>
      <c r="Q48" s="161"/>
      <c r="R48" s="161"/>
      <c r="S48" s="161"/>
    </row>
    <row r="49" spans="1:19" ht="17.25" customHeight="1" thickBot="1">
      <c r="A49" s="109" t="s">
        <v>143</v>
      </c>
      <c r="B49" s="113">
        <v>4.09</v>
      </c>
      <c r="C49" s="73">
        <v>-7.2815533999999998E-3</v>
      </c>
      <c r="D49" s="96">
        <v>4.1900000000000004</v>
      </c>
      <c r="E49" s="97">
        <f>IF(ISNUMBER(D49), (D49 - $B49) / $B49, "")</f>
        <v>2.4449877750611377E-2</v>
      </c>
      <c r="F49" s="98">
        <f>IF(ISNUMBER(D49), $B64 * E49, "")</f>
        <v>3667.4816625917065</v>
      </c>
      <c r="G49" s="99">
        <v>4.26</v>
      </c>
      <c r="H49" s="97">
        <f>IF(ISNUMBER(G49), (G49 - $B49) / $B49, "")</f>
        <v>4.1564792176039103E-2</v>
      </c>
      <c r="I49" s="100">
        <f>IF(ISNUMBER(G49), $B64 * H49, "")</f>
        <v>6234.7188264058659</v>
      </c>
      <c r="J49" s="96">
        <v>4.1399999999999997</v>
      </c>
      <c r="K49" s="97">
        <f>IF(ISNUMBER(J49), (J49 - $B49) / $B49, "")</f>
        <v>1.2224938875305581E-2</v>
      </c>
      <c r="L49" s="98">
        <f>IF(ISNUMBER(J49), $B64 * K49, "")</f>
        <v>1833.7408312958371</v>
      </c>
      <c r="M49" s="99">
        <v>4.13</v>
      </c>
      <c r="N49" s="97">
        <f>IF(ISNUMBER(M49), (M49 - $B49) / $B49, "")</f>
        <v>9.7799511002445074E-3</v>
      </c>
      <c r="O49" s="98">
        <f>IF(ISNUMBER(M49), $B64 * N49, "")</f>
        <v>1466.992665036676</v>
      </c>
      <c r="Q49" s="161"/>
      <c r="R49" s="161"/>
      <c r="S49" s="161"/>
    </row>
    <row r="50" spans="1:19" ht="17.25" customHeight="1" thickBot="1">
      <c r="A50" s="109" t="s">
        <v>338</v>
      </c>
      <c r="B50" s="110">
        <v>5.05</v>
      </c>
      <c r="C50" s="70">
        <v>-7.8585462000000002E-3</v>
      </c>
      <c r="D50" s="15">
        <v>5.0599999999999996</v>
      </c>
      <c r="E50" s="32">
        <f t="shared" ref="E50:E53" si="18">IF(ISNUMBER(D50), (D50 - $B50) / $B50, "")</f>
        <v>1.9801980198019382E-3</v>
      </c>
      <c r="F50" s="18">
        <f>IF(ISNUMBER(D50), $B64 * E50, "")</f>
        <v>297.02970297029071</v>
      </c>
      <c r="G50" s="31">
        <v>5.12</v>
      </c>
      <c r="H50" s="32">
        <f t="shared" ref="H50:H53" si="19">IF(ISNUMBER(G50), (G50 - $B50) / $B50, "")</f>
        <v>1.3861386138613919E-2</v>
      </c>
      <c r="I50" s="91">
        <f>IF(ISNUMBER(G50), $B64 * H50, "")</f>
        <v>2079.2079207920879</v>
      </c>
      <c r="J50" s="15">
        <v>4.96</v>
      </c>
      <c r="K50" s="32">
        <f t="shared" ref="K50:K53" si="20">IF(ISNUMBER(J50), (J50 - $B50) / $B50, "")</f>
        <v>-1.7821782178217796E-2</v>
      </c>
      <c r="L50" s="18">
        <f>IF(ISNUMBER(J50), $B64 * K50, "")</f>
        <v>-2673.2673267326695</v>
      </c>
      <c r="M50" s="31">
        <v>5</v>
      </c>
      <c r="N50" s="32">
        <f t="shared" ref="N50:N53" si="21">IF(ISNUMBER(M50), (M50 - $B50) / $B50, "")</f>
        <v>-9.9009900990098664E-3</v>
      </c>
      <c r="O50" s="18">
        <f>IF(ISNUMBER(M50), $B64 * N50, "")</f>
        <v>-1485.1485148514801</v>
      </c>
      <c r="Q50" s="161"/>
      <c r="R50" s="161"/>
      <c r="S50" s="161"/>
    </row>
    <row r="51" spans="1:19" ht="17.25" customHeight="1" thickBot="1">
      <c r="A51" s="109" t="s">
        <v>206</v>
      </c>
      <c r="B51" s="110">
        <v>3.47</v>
      </c>
      <c r="C51" s="70">
        <v>-1.42045455E-2</v>
      </c>
      <c r="D51" s="15">
        <v>3.5</v>
      </c>
      <c r="E51" s="32">
        <f t="shared" si="18"/>
        <v>8.6455331412103181E-3</v>
      </c>
      <c r="F51" s="18">
        <f>IF(ISNUMBER(D51), $B64 * E51, "")</f>
        <v>1296.8299711815478</v>
      </c>
      <c r="G51" s="31">
        <v>3.59</v>
      </c>
      <c r="H51" s="32">
        <f t="shared" si="19"/>
        <v>3.4582132564841397E-2</v>
      </c>
      <c r="I51" s="91">
        <f>IF(ISNUMBER(G51), $B64 * H51, "")</f>
        <v>5187.3198847262092</v>
      </c>
      <c r="J51" s="15">
        <v>3.52</v>
      </c>
      <c r="K51" s="32">
        <f t="shared" si="20"/>
        <v>1.4409221902017239E-2</v>
      </c>
      <c r="L51" s="18">
        <f>IF(ISNUMBER(J51), $B64 * K51, "")</f>
        <v>2161.3832853025856</v>
      </c>
      <c r="M51" s="31">
        <v>3.52</v>
      </c>
      <c r="N51" s="32">
        <f t="shared" si="21"/>
        <v>1.4409221902017239E-2</v>
      </c>
      <c r="O51" s="18">
        <f>IF(ISNUMBER(M51), $B64 * N51, "")</f>
        <v>2161.3832853025856</v>
      </c>
      <c r="Q51" s="161"/>
      <c r="R51" s="161"/>
      <c r="S51" s="161"/>
    </row>
    <row r="52" spans="1:19" ht="17.25" customHeight="1" thickBot="1">
      <c r="A52" s="109" t="s">
        <v>122</v>
      </c>
      <c r="B52" s="110">
        <v>25.2</v>
      </c>
      <c r="C52" s="70">
        <v>-1.5625E-2</v>
      </c>
      <c r="D52" s="15">
        <v>25.1</v>
      </c>
      <c r="E52" s="32">
        <f t="shared" si="18"/>
        <v>-3.9682539682538839E-3</v>
      </c>
      <c r="F52" s="18">
        <f>IF(ISNUMBER(D52), $B64 * E52, "")</f>
        <v>-595.23809523808256</v>
      </c>
      <c r="G52" s="31">
        <v>25</v>
      </c>
      <c r="H52" s="32">
        <f t="shared" si="19"/>
        <v>-7.9365079365079083E-3</v>
      </c>
      <c r="I52" s="91">
        <f>IF(ISNUMBER(G52), $B64 * H52, "")</f>
        <v>-1190.4761904761863</v>
      </c>
      <c r="J52" s="15">
        <v>25.1</v>
      </c>
      <c r="K52" s="32">
        <f t="shared" si="20"/>
        <v>-3.9682539682538839E-3</v>
      </c>
      <c r="L52" s="18">
        <f>IF(ISNUMBER(J52), $B64 * K52, "")</f>
        <v>-595.23809523808256</v>
      </c>
      <c r="M52" s="31">
        <v>25.2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14" t="s">
        <v>200</v>
      </c>
      <c r="B53" s="115">
        <v>6.79</v>
      </c>
      <c r="C53" s="72">
        <v>-2.3021582700000001E-2</v>
      </c>
      <c r="D53" s="24">
        <v>6.9</v>
      </c>
      <c r="E53" s="25">
        <f t="shared" si="18"/>
        <v>1.6200294550810061E-2</v>
      </c>
      <c r="F53" s="94">
        <f>IF(ISNUMBER(D53), $B64 * E53, "")</f>
        <v>2430.0441826215092</v>
      </c>
      <c r="G53" s="92">
        <v>7</v>
      </c>
      <c r="H53" s="25">
        <f t="shared" si="19"/>
        <v>3.0927835051546386E-2</v>
      </c>
      <c r="I53" s="93">
        <f>IF(ISNUMBER(G53), $B64 * H53, "")</f>
        <v>4639.1752577319576</v>
      </c>
      <c r="J53" s="24">
        <v>6.85</v>
      </c>
      <c r="K53" s="25">
        <f t="shared" si="20"/>
        <v>8.8365243004417688E-3</v>
      </c>
      <c r="L53" s="94">
        <f>IF(ISNUMBER(J53), $B64 * K53, "")</f>
        <v>1325.4786450662652</v>
      </c>
      <c r="M53" s="92">
        <v>6.89</v>
      </c>
      <c r="N53" s="25">
        <f t="shared" si="21"/>
        <v>1.4727540500736325E-2</v>
      </c>
      <c r="O53" s="94">
        <f>IF(ISNUMBER(M53), $B64 * N53, "")</f>
        <v>2209.1310751104488</v>
      </c>
      <c r="Q53" s="170"/>
      <c r="R53" s="171"/>
      <c r="S53" s="172"/>
    </row>
    <row r="54" spans="1:19" ht="17.25" customHeight="1">
      <c r="A54" s="107" t="s">
        <v>118</v>
      </c>
      <c r="B54" s="108">
        <v>6.76</v>
      </c>
      <c r="C54" s="69">
        <v>-2.3121387300000001E-2</v>
      </c>
      <c r="D54" s="13">
        <v>6.69</v>
      </c>
      <c r="E54" s="14">
        <f>IF(ISNUMBER(D54), (D54 - $B54) / $B54, "")</f>
        <v>-1.0355029585798727E-2</v>
      </c>
      <c r="F54" s="16">
        <f>IF(ISNUMBER(D54), $B64 * E54, "")</f>
        <v>-1553.2544378698092</v>
      </c>
      <c r="G54" s="29">
        <v>6.74</v>
      </c>
      <c r="H54" s="14">
        <f>IF(ISNUMBER(G54), (G54 - $B54) / $B54, "")</f>
        <v>-2.9585798816567418E-3</v>
      </c>
      <c r="I54" s="90">
        <f>IF(ISNUMBER(G54), $B64 * H54, "")</f>
        <v>-443.78698224851126</v>
      </c>
      <c r="J54" s="13">
        <v>6.64</v>
      </c>
      <c r="K54" s="14">
        <f>IF(ISNUMBER(J54), (J54 - $B54) / $B54, "")</f>
        <v>-1.7751479289940846E-2</v>
      </c>
      <c r="L54" s="16">
        <f>IF(ISNUMBER(J54), $B64 * K54, "")</f>
        <v>-2662.721893491127</v>
      </c>
      <c r="M54" s="29">
        <v>6.66</v>
      </c>
      <c r="N54" s="14">
        <f>IF(ISNUMBER(M54), (M54 - $B54) / $B54, "")</f>
        <v>-1.4792899408283971E-2</v>
      </c>
      <c r="O54" s="16">
        <f>IF(ISNUMBER(M54), $B64 * N54, "")</f>
        <v>-2218.9349112425957</v>
      </c>
      <c r="Q54" s="173"/>
      <c r="R54" s="174"/>
      <c r="S54" s="175"/>
    </row>
    <row r="55" spans="1:19" ht="17.25" customHeight="1" thickBot="1">
      <c r="A55" s="109" t="s">
        <v>126</v>
      </c>
      <c r="B55" s="110">
        <v>29.4</v>
      </c>
      <c r="C55" s="70">
        <v>-2.3255814E-2</v>
      </c>
      <c r="D55" s="15">
        <v>29.2</v>
      </c>
      <c r="E55" s="32">
        <f t="shared" ref="E55:E58" si="22">IF(ISNUMBER(D55), (D55 - $B55) / $B55, "")</f>
        <v>-6.8027210884353505E-3</v>
      </c>
      <c r="F55" s="18">
        <f>IF(ISNUMBER(D55), $B64 * E55, "")</f>
        <v>-1020.4081632653026</v>
      </c>
      <c r="G55" s="31">
        <v>29.2</v>
      </c>
      <c r="H55" s="32">
        <f t="shared" ref="H55:H58" si="23">IF(ISNUMBER(G55), (G55 - $B55) / $B55, "")</f>
        <v>-6.8027210884353505E-3</v>
      </c>
      <c r="I55" s="91">
        <f>IF(ISNUMBER(G55), $B64 * H55, "")</f>
        <v>-1020.4081632653026</v>
      </c>
      <c r="J55" s="15">
        <v>29.1</v>
      </c>
      <c r="K55" s="32">
        <f t="shared" ref="K55:K58" si="24">IF(ISNUMBER(J55), (J55 - $B55) / $B55, "")</f>
        <v>-1.0204081632652965E-2</v>
      </c>
      <c r="L55" s="18">
        <f>IF(ISNUMBER(J55), $B64 * K55, "")</f>
        <v>-1530.6122448979447</v>
      </c>
      <c r="M55" s="31">
        <v>29.2</v>
      </c>
      <c r="N55" s="32">
        <f t="shared" ref="N55:N58" si="25">IF(ISNUMBER(M55), (M55 - $B55) / $B55, "")</f>
        <v>-6.8027210884353505E-3</v>
      </c>
      <c r="O55" s="18">
        <f>IF(ISNUMBER(M55), $B64 * N55, "")</f>
        <v>-1020.4081632653026</v>
      </c>
      <c r="Q55" s="176"/>
      <c r="R55" s="177"/>
      <c r="S55" s="178"/>
    </row>
    <row r="56" spans="1:19" ht="17.25" customHeight="1" thickBot="1">
      <c r="A56" s="109" t="s">
        <v>71</v>
      </c>
      <c r="B56" s="110">
        <v>11.5</v>
      </c>
      <c r="C56" s="70">
        <v>-2.54237288E-2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11.6</v>
      </c>
      <c r="H56" s="32">
        <f t="shared" si="23"/>
        <v>8.6956521739130124E-3</v>
      </c>
      <c r="I56" s="91">
        <f>IF(ISNUMBER(G56), $B64 * H56, "")</f>
        <v>1304.347826086952</v>
      </c>
      <c r="J56" s="15">
        <v>11.6</v>
      </c>
      <c r="K56" s="32">
        <f t="shared" si="24"/>
        <v>8.6956521739130124E-3</v>
      </c>
      <c r="L56" s="18">
        <f>IF(ISNUMBER(J56), $B64 * K56, "")</f>
        <v>1304.347826086952</v>
      </c>
      <c r="M56" s="31">
        <v>11.7</v>
      </c>
      <c r="N56" s="32">
        <f t="shared" si="25"/>
        <v>1.7391304347826025E-2</v>
      </c>
      <c r="O56" s="18">
        <f>IF(ISNUMBER(M56), $B64 * N56, "")</f>
        <v>2608.6956521739039</v>
      </c>
      <c r="Q56" s="161"/>
      <c r="R56" s="161"/>
      <c r="S56" s="161"/>
    </row>
    <row r="57" spans="1:19" ht="17.25" customHeight="1" thickBot="1">
      <c r="A57" s="109" t="s">
        <v>64</v>
      </c>
      <c r="B57" s="110">
        <v>11.1</v>
      </c>
      <c r="C57" s="70">
        <v>-2.6315789499999999E-2</v>
      </c>
      <c r="D57" s="15">
        <v>11</v>
      </c>
      <c r="E57" s="32">
        <f t="shared" si="22"/>
        <v>-9.0090090090089777E-3</v>
      </c>
      <c r="F57" s="18">
        <f>IF(ISNUMBER(D57), $B64 * E57, "")</f>
        <v>-1351.3513513513467</v>
      </c>
      <c r="G57" s="31">
        <v>11.2</v>
      </c>
      <c r="H57" s="32">
        <f t="shared" si="23"/>
        <v>9.0090090090089777E-3</v>
      </c>
      <c r="I57" s="91">
        <f>IF(ISNUMBER(G57), $B64 * H57, "")</f>
        <v>1351.3513513513467</v>
      </c>
      <c r="J57" s="15">
        <v>11.2</v>
      </c>
      <c r="K57" s="32">
        <f t="shared" si="24"/>
        <v>9.0090090090089777E-3</v>
      </c>
      <c r="L57" s="18">
        <f>IF(ISNUMBER(J57), $B64 * K57, "")</f>
        <v>1351.3513513513467</v>
      </c>
      <c r="M57" s="31">
        <v>11.2</v>
      </c>
      <c r="N57" s="32">
        <f t="shared" si="25"/>
        <v>9.0090090090089777E-3</v>
      </c>
      <c r="O57" s="18">
        <f>IF(ISNUMBER(M57), $B64 * N57, "")</f>
        <v>1351.3513513513467</v>
      </c>
      <c r="Q57" s="156"/>
      <c r="R57" s="156"/>
      <c r="S57" s="156"/>
    </row>
    <row r="58" spans="1:19" ht="17.25" customHeight="1" thickBot="1">
      <c r="A58" s="111" t="s">
        <v>333</v>
      </c>
      <c r="B58" s="112">
        <v>62.8</v>
      </c>
      <c r="C58" s="71">
        <v>-2.7863777100000001E-2</v>
      </c>
      <c r="D58" s="20">
        <v>63.2</v>
      </c>
      <c r="E58" s="21">
        <f t="shared" si="22"/>
        <v>6.3694267515924472E-3</v>
      </c>
      <c r="F58" s="22">
        <f>IF(ISNUMBER(D58), $B64 * E58, "")</f>
        <v>955.41401273886709</v>
      </c>
      <c r="G58" s="30">
        <v>63.4</v>
      </c>
      <c r="H58" s="21">
        <f t="shared" si="23"/>
        <v>9.5541401273885589E-3</v>
      </c>
      <c r="I58" s="95">
        <f>IF(ISNUMBER(G58), $B64 * H58, "")</f>
        <v>1433.1210191082839</v>
      </c>
      <c r="J58" s="20">
        <v>63.3</v>
      </c>
      <c r="K58" s="21">
        <f t="shared" si="24"/>
        <v>7.9617834394904458E-3</v>
      </c>
      <c r="L58" s="22">
        <f>IF(ISNUMBER(J58), $B64 * K58, "")</f>
        <v>1194.2675159235669</v>
      </c>
      <c r="M58" s="30">
        <v>63.5</v>
      </c>
      <c r="N58" s="21">
        <f t="shared" si="25"/>
        <v>1.114649681528667E-2</v>
      </c>
      <c r="O58" s="22">
        <f>IF(ISNUMBER(M58), $B64 * N58, "")</f>
        <v>1671.9745222930005</v>
      </c>
      <c r="Q58" s="156"/>
      <c r="R58" s="156"/>
      <c r="S58" s="156"/>
    </row>
    <row r="59" spans="1:19" ht="17.25" customHeight="1" thickBot="1">
      <c r="A59" s="109" t="s">
        <v>141</v>
      </c>
      <c r="B59" s="113">
        <v>3.37</v>
      </c>
      <c r="C59" s="73">
        <v>-2.8818443799999999E-2</v>
      </c>
      <c r="D59" s="96">
        <v>3.38</v>
      </c>
      <c r="E59" s="97">
        <f>IF(ISNUMBER(D59), (D59 - $B59) / $B59, "")</f>
        <v>2.9673590504450406E-3</v>
      </c>
      <c r="F59" s="98">
        <f>IF(ISNUMBER(D59), $B64 * E59, "")</f>
        <v>445.10385756675612</v>
      </c>
      <c r="G59" s="99">
        <v>3.46</v>
      </c>
      <c r="H59" s="97">
        <f>IF(ISNUMBER(G59), (G59 - $B59) / $B59, "")</f>
        <v>2.6706231454005892E-2</v>
      </c>
      <c r="I59" s="100">
        <f>IF(ISNUMBER(G59), $B64 * H59, "")</f>
        <v>4005.9347181008839</v>
      </c>
      <c r="J59" s="96">
        <v>3.4</v>
      </c>
      <c r="K59" s="97">
        <f>IF(ISNUMBER(J59), (J59 - $B59) / $B59, "")</f>
        <v>8.9020771513352529E-3</v>
      </c>
      <c r="L59" s="98">
        <f>IF(ISNUMBER(J59), $B64 * K59, "")</f>
        <v>1335.311572700288</v>
      </c>
      <c r="M59" s="99">
        <v>3.39</v>
      </c>
      <c r="N59" s="97">
        <f>IF(ISNUMBER(M59), (M59 - $B59) / $B59, "")</f>
        <v>5.9347181008902131E-3</v>
      </c>
      <c r="O59" s="98">
        <f>IF(ISNUMBER(M59), $B64 * N59, "")</f>
        <v>890.20771513353202</v>
      </c>
      <c r="Q59" s="161"/>
      <c r="R59" s="161"/>
      <c r="S59" s="161"/>
    </row>
    <row r="60" spans="1:19" ht="17.25" customHeight="1" thickBot="1">
      <c r="A60" s="109" t="s">
        <v>155</v>
      </c>
      <c r="B60" s="110">
        <v>29.7</v>
      </c>
      <c r="C60" s="70">
        <v>-2.9411764699999999E-2</v>
      </c>
      <c r="D60" s="15">
        <v>29.9</v>
      </c>
      <c r="E60" s="32">
        <f t="shared" ref="E60:E63" si="26">IF(ISNUMBER(D60), (D60 - $B60) / $B60, "")</f>
        <v>6.7340067340067103E-3</v>
      </c>
      <c r="F60" s="18">
        <f>IF(ISNUMBER(D60), $B64 * E60, "")</f>
        <v>1010.1010101010065</v>
      </c>
      <c r="G60" s="31">
        <v>30</v>
      </c>
      <c r="H60" s="32">
        <f t="shared" ref="H60:H63" si="27">IF(ISNUMBER(G60), (G60 - $B60) / $B60, "")</f>
        <v>1.0101010101010124E-2</v>
      </c>
      <c r="I60" s="91">
        <f>IF(ISNUMBER(G60), $B64 * H60, "")</f>
        <v>1515.1515151515187</v>
      </c>
      <c r="J60" s="15">
        <v>29.9</v>
      </c>
      <c r="K60" s="32">
        <f t="shared" ref="K60:K63" si="28">IF(ISNUMBER(J60), (J60 - $B60) / $B60, "")</f>
        <v>6.7340067340067103E-3</v>
      </c>
      <c r="L60" s="18">
        <f>IF(ISNUMBER(J60), $B64 * K60, "")</f>
        <v>1010.1010101010065</v>
      </c>
      <c r="M60" s="31">
        <v>29.8</v>
      </c>
      <c r="N60" s="32">
        <f t="shared" ref="N60:N63" si="29">IF(ISNUMBER(M60), (M60 - $B60) / $B60, "")</f>
        <v>3.367003367003415E-3</v>
      </c>
      <c r="O60" s="18">
        <f>IF(ISNUMBER(M60), $B64 * N60, "")</f>
        <v>505.05050505051224</v>
      </c>
      <c r="Q60" s="161"/>
      <c r="R60" s="161"/>
      <c r="S60" s="161"/>
    </row>
    <row r="61" spans="1:19" ht="17.25" customHeight="1" thickBot="1">
      <c r="A61" s="109" t="s">
        <v>210</v>
      </c>
      <c r="B61" s="110">
        <v>65.2</v>
      </c>
      <c r="C61" s="70">
        <v>-2.9761904799999999E-2</v>
      </c>
      <c r="D61" s="15">
        <v>64.2</v>
      </c>
      <c r="E61" s="32">
        <f t="shared" si="26"/>
        <v>-1.5337423312883436E-2</v>
      </c>
      <c r="F61" s="18">
        <f>IF(ISNUMBER(D61), $B64 * E61, "")</f>
        <v>-2300.6134969325153</v>
      </c>
      <c r="G61" s="31">
        <v>64.3</v>
      </c>
      <c r="H61" s="32">
        <f t="shared" si="27"/>
        <v>-1.3803680981595179E-2</v>
      </c>
      <c r="I61" s="91">
        <f>IF(ISNUMBER(G61), $B64 * H61, "")</f>
        <v>-2070.552147239277</v>
      </c>
      <c r="J61" s="15">
        <v>63.9</v>
      </c>
      <c r="K61" s="32">
        <f t="shared" si="28"/>
        <v>-1.9938650306748532E-2</v>
      </c>
      <c r="L61" s="18">
        <f>IF(ISNUMBER(J61), $B64 * K61, "")</f>
        <v>-2990.7975460122798</v>
      </c>
      <c r="M61" s="31">
        <v>64.2</v>
      </c>
      <c r="N61" s="32">
        <f t="shared" si="29"/>
        <v>-1.5337423312883436E-2</v>
      </c>
      <c r="O61" s="18">
        <f>IF(ISNUMBER(M61), $B64 * N61, "")</f>
        <v>-2300.6134969325153</v>
      </c>
      <c r="Q61" s="161"/>
      <c r="R61" s="161"/>
      <c r="S61" s="161"/>
    </row>
    <row r="62" spans="1:19" ht="17.25" customHeight="1">
      <c r="A62" s="109" t="s">
        <v>195</v>
      </c>
      <c r="B62" s="110">
        <v>6.58</v>
      </c>
      <c r="C62" s="70">
        <v>-3.0927835099999999E-2</v>
      </c>
      <c r="D62" s="15">
        <v>6.61</v>
      </c>
      <c r="E62" s="32">
        <f t="shared" si="26"/>
        <v>4.5592705167173632E-3</v>
      </c>
      <c r="F62" s="18">
        <f>IF(ISNUMBER(D62), $B64 * E62, "")</f>
        <v>683.89057750760446</v>
      </c>
      <c r="G62" s="31">
        <v>6.72</v>
      </c>
      <c r="H62" s="32">
        <f t="shared" si="27"/>
        <v>2.1276595744680802E-2</v>
      </c>
      <c r="I62" s="91">
        <f>IF(ISNUMBER(G62), $B64 * H62, "")</f>
        <v>3191.4893617021203</v>
      </c>
      <c r="J62" s="15">
        <v>6.63</v>
      </c>
      <c r="K62" s="32">
        <f t="shared" si="28"/>
        <v>7.5987841945288487E-3</v>
      </c>
      <c r="L62" s="18">
        <f>IF(ISNUMBER(J62), $B64 * K62, "")</f>
        <v>1139.8176291793272</v>
      </c>
      <c r="M62" s="31">
        <v>6.62</v>
      </c>
      <c r="N62" s="32">
        <f t="shared" si="29"/>
        <v>6.0790273556231055E-3</v>
      </c>
      <c r="O62" s="18">
        <f>IF(ISNUMBER(M62), $B64 * N62, "")</f>
        <v>911.85410334346579</v>
      </c>
      <c r="Q62" s="183"/>
      <c r="R62" s="184"/>
      <c r="S62" s="185"/>
    </row>
    <row r="63" spans="1:19" ht="17.25" customHeight="1" thickBot="1">
      <c r="A63" s="114" t="s">
        <v>335</v>
      </c>
      <c r="B63" s="115">
        <v>3.8399999999999997E-2</v>
      </c>
      <c r="C63" s="72">
        <v>-3.2745591900000003E-2</v>
      </c>
      <c r="D63" s="24">
        <v>3.85E-2</v>
      </c>
      <c r="E63" s="25">
        <f t="shared" si="26"/>
        <v>2.6041666666667415E-3</v>
      </c>
      <c r="F63" s="94">
        <f>IF(ISNUMBER(D63), $B64 * E63, "")</f>
        <v>390.62500000001125</v>
      </c>
      <c r="G63" s="92">
        <v>3.8600000000000002E-2</v>
      </c>
      <c r="H63" s="25">
        <f t="shared" si="27"/>
        <v>5.2083333333334831E-3</v>
      </c>
      <c r="I63" s="93">
        <f>IF(ISNUMBER(G63), $B64 * H63, "")</f>
        <v>781.25000000002251</v>
      </c>
      <c r="J63" s="24">
        <v>3.8600000000000002E-2</v>
      </c>
      <c r="K63" s="25">
        <f t="shared" si="28"/>
        <v>5.2083333333334831E-3</v>
      </c>
      <c r="L63" s="94">
        <f>IF(ISNUMBER(J63), $B64 * K63, "")</f>
        <v>781.25000000002251</v>
      </c>
      <c r="M63" s="92">
        <v>3.8899999999999997E-2</v>
      </c>
      <c r="N63" s="25">
        <f t="shared" si="29"/>
        <v>1.3020833333333346E-2</v>
      </c>
      <c r="O63" s="94">
        <f>IF(ISNUMBER(M63), $B64 * N63, "")</f>
        <v>1953.1250000000018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-4.0042022508713125E-3</v>
      </c>
      <c r="F64" s="28">
        <f>SUM(F44:F63)</f>
        <v>-12012.606752613943</v>
      </c>
      <c r="G64" s="26" t="s">
        <v>261</v>
      </c>
      <c r="H64" s="27">
        <f>IF(COUNT(H44:H63), SUM(H44:H63) / COUNT(H44:H63), 0)</f>
        <v>1.1248171847850572E-2</v>
      </c>
      <c r="I64" s="28">
        <f>SUM(I44:I63)</f>
        <v>33744.515543551715</v>
      </c>
      <c r="J64" s="26" t="s">
        <v>261</v>
      </c>
      <c r="K64" s="27">
        <f>IF(COUNT(K44:K63), SUM(K44:K63) / COUNT(K44:K63), 0)</f>
        <v>-2.5319054895529565E-5</v>
      </c>
      <c r="L64" s="28">
        <f>SUM(L44:L63)</f>
        <v>-75.957164686590886</v>
      </c>
      <c r="M64" s="26" t="s">
        <v>261</v>
      </c>
      <c r="N64" s="27">
        <f>IF(COUNT(N44:N63), SUM(N44:N63) / COUNT(N44:N63), 0)</f>
        <v>2.395522607845744E-3</v>
      </c>
      <c r="O64" s="28">
        <f>SUM(O44:O63)</f>
        <v>7186.5678235372316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2022-12-08(목) 오전 00:00</v>
      </c>
      <c r="C69" s="199"/>
      <c r="D69" s="158" t="str">
        <f>TEXT($G$1, "[$-ko-KR]yyyy-mm-dd(ddd) ") &amp; "오후 14:00"</f>
        <v>2022-12-08(목) 오후 14:00</v>
      </c>
      <c r="E69" s="159"/>
      <c r="F69" s="160"/>
      <c r="G69" s="158" t="str">
        <f>TEXT($G$1, "[$-ko-KR]yyyy-mm-dd(ddd) ") &amp; "오후 19:00"</f>
        <v>2022-12-08(목) 오후 19:00</v>
      </c>
      <c r="H69" s="159"/>
      <c r="I69" s="160"/>
      <c r="J69" s="158" t="str">
        <f>TEXT($G$1, "[$-ko-KR]yyyy-mm-dd(ddd) ") &amp; "오후 21:00"</f>
        <v>2022-12-08(목) 오후 21:00</v>
      </c>
      <c r="K69" s="159"/>
      <c r="L69" s="160"/>
      <c r="M69" s="158" t="str">
        <f>TEXT($G$1+1, "[$-ko-KR]yyyy-mm-dd(ddd) ") &amp; "오전 00:00"</f>
        <v>2022-12-09(금)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346</v>
      </c>
      <c r="B71" s="108">
        <v>547</v>
      </c>
      <c r="C71" s="69">
        <v>1.8315018E-3</v>
      </c>
      <c r="D71" s="13">
        <v>541</v>
      </c>
      <c r="E71" s="14">
        <f>IF(ISNUMBER(D71), (D71 - $B71) / $B71, "")</f>
        <v>-1.0968921389396709E-2</v>
      </c>
      <c r="F71" s="16">
        <f>IF(ISNUMBER(D71), $B91 * E71, "")</f>
        <v>-1645.3382084095063</v>
      </c>
      <c r="G71" s="29">
        <v>541</v>
      </c>
      <c r="H71" s="14">
        <f>IF(ISNUMBER(G71), (G71 - $B71) / $B71, "")</f>
        <v>-1.0968921389396709E-2</v>
      </c>
      <c r="I71" s="90">
        <f>IF(ISNUMBER(G71), $B91 * H71, "")</f>
        <v>-1645.3382084095063</v>
      </c>
      <c r="J71" s="13">
        <v>535</v>
      </c>
      <c r="K71" s="14">
        <f>IF(ISNUMBER(J71), (J71 - $B71) / $B71, "")</f>
        <v>-2.1937842778793418E-2</v>
      </c>
      <c r="L71" s="16">
        <f>IF(ISNUMBER(J71), $B91 * K71, "")</f>
        <v>-3290.6764168190125</v>
      </c>
      <c r="M71" s="29">
        <v>537</v>
      </c>
      <c r="N71" s="14">
        <f>IF(ISNUMBER(M71), (M71 - $B71) / $B71, "")</f>
        <v>-1.8281535648994516E-2</v>
      </c>
      <c r="O71" s="16">
        <f>IF(ISNUMBER(M71), $B91 * N71, "")</f>
        <v>-2742.2303473491775</v>
      </c>
      <c r="Q71" s="156"/>
      <c r="R71" s="156"/>
      <c r="S71" s="156"/>
    </row>
    <row r="72" spans="1:19" ht="17.25" thickBot="1">
      <c r="A72" s="109" t="s">
        <v>157</v>
      </c>
      <c r="B72" s="110">
        <v>172</v>
      </c>
      <c r="C72" s="70">
        <v>-5.7803467999999998E-3</v>
      </c>
      <c r="D72" s="15">
        <v>172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172</v>
      </c>
      <c r="H72" s="32">
        <f t="shared" ref="H72:H75" si="31">IF(ISNUMBER(G72), (G72 - $B72) / $B72, "")</f>
        <v>0</v>
      </c>
      <c r="I72" s="91">
        <f>IF(ISNUMBER(G72), $B91 * H72, "")</f>
        <v>0</v>
      </c>
      <c r="J72" s="15">
        <v>173</v>
      </c>
      <c r="K72" s="32">
        <f t="shared" ref="K72:K75" si="32">IF(ISNUMBER(J72), (J72 - $B72) / $B72, "")</f>
        <v>5.8139534883720929E-3</v>
      </c>
      <c r="L72" s="18">
        <f>IF(ISNUMBER(J72), $B91 * K72, "")</f>
        <v>872.09302325581393</v>
      </c>
      <c r="M72" s="31">
        <v>173</v>
      </c>
      <c r="N72" s="32">
        <f t="shared" ref="N72:N75" si="33">IF(ISNUMBER(M72), (M72 - $B72) / $B72, "")</f>
        <v>5.8139534883720929E-3</v>
      </c>
      <c r="O72" s="18">
        <f>IF(ISNUMBER(M72), $B91 * N72, "")</f>
        <v>872.09302325581393</v>
      </c>
      <c r="Q72" s="156"/>
      <c r="R72" s="156"/>
      <c r="S72" s="156"/>
    </row>
    <row r="73" spans="1:19" ht="17.25" thickBot="1">
      <c r="A73" s="109" t="s">
        <v>89</v>
      </c>
      <c r="B73" s="110">
        <v>511</v>
      </c>
      <c r="C73" s="70">
        <v>-2.29445507E-2</v>
      </c>
      <c r="D73" s="15">
        <v>518</v>
      </c>
      <c r="E73" s="32">
        <f t="shared" si="30"/>
        <v>1.3698630136986301E-2</v>
      </c>
      <c r="F73" s="18">
        <f>IF(ISNUMBER(D73), $B91 * E73, "")</f>
        <v>2054.794520547945</v>
      </c>
      <c r="G73" s="31">
        <v>517</v>
      </c>
      <c r="H73" s="32">
        <f t="shared" si="31"/>
        <v>1.1741682974559686E-2</v>
      </c>
      <c r="I73" s="91">
        <f>IF(ISNUMBER(G73), $B91 * H73, "")</f>
        <v>1761.252446183953</v>
      </c>
      <c r="J73" s="15">
        <v>518</v>
      </c>
      <c r="K73" s="32">
        <f t="shared" si="32"/>
        <v>1.3698630136986301E-2</v>
      </c>
      <c r="L73" s="18">
        <f>IF(ISNUMBER(J73), $B91 * K73, "")</f>
        <v>2054.794520547945</v>
      </c>
      <c r="M73" s="31">
        <v>520</v>
      </c>
      <c r="N73" s="32">
        <f t="shared" si="33"/>
        <v>1.7612524461839529E-2</v>
      </c>
      <c r="O73" s="18">
        <f>IF(ISNUMBER(M73), $B91 * N73, "")</f>
        <v>2641.8786692759295</v>
      </c>
      <c r="Q73" s="161"/>
      <c r="R73" s="161"/>
      <c r="S73" s="161"/>
    </row>
    <row r="74" spans="1:19" ht="17.25" thickBot="1">
      <c r="A74" s="109" t="s">
        <v>176</v>
      </c>
      <c r="B74" s="110">
        <v>339</v>
      </c>
      <c r="C74" s="70">
        <v>-2.3054755E-2</v>
      </c>
      <c r="D74" s="15">
        <v>336</v>
      </c>
      <c r="E74" s="32">
        <f t="shared" si="30"/>
        <v>-8.8495575221238937E-3</v>
      </c>
      <c r="F74" s="18">
        <f>IF(ISNUMBER(D74), $B91 * E74, "")</f>
        <v>-1327.4336283185839</v>
      </c>
      <c r="G74" s="31">
        <v>340</v>
      </c>
      <c r="H74" s="32">
        <f t="shared" si="31"/>
        <v>2.9498525073746312E-3</v>
      </c>
      <c r="I74" s="91">
        <f>IF(ISNUMBER(G74), $B91 * H74, "")</f>
        <v>442.47787610619469</v>
      </c>
      <c r="J74" s="15">
        <v>336</v>
      </c>
      <c r="K74" s="32">
        <f t="shared" si="32"/>
        <v>-8.8495575221238937E-3</v>
      </c>
      <c r="L74" s="18">
        <f>IF(ISNUMBER(J74), $B91 * K74, "")</f>
        <v>-1327.4336283185839</v>
      </c>
      <c r="M74" s="31">
        <v>339</v>
      </c>
      <c r="N74" s="32">
        <f t="shared" si="33"/>
        <v>0</v>
      </c>
      <c r="O74" s="18">
        <f>IF(ISNUMBER(M74), $B91 * N74, "")</f>
        <v>0</v>
      </c>
      <c r="Q74" s="161"/>
      <c r="R74" s="161"/>
      <c r="S74" s="161"/>
    </row>
    <row r="75" spans="1:19" ht="17.25" thickBot="1">
      <c r="A75" s="111" t="s">
        <v>159</v>
      </c>
      <c r="B75" s="112">
        <v>202</v>
      </c>
      <c r="C75" s="71">
        <v>-2.4154589399999999E-2</v>
      </c>
      <c r="D75" s="20">
        <v>202</v>
      </c>
      <c r="E75" s="21">
        <f t="shared" si="30"/>
        <v>0</v>
      </c>
      <c r="F75" s="22">
        <f>IF(ISNUMBER(D75), $B91 * E75, "")</f>
        <v>0</v>
      </c>
      <c r="G75" s="30">
        <v>204</v>
      </c>
      <c r="H75" s="21">
        <f t="shared" si="31"/>
        <v>9.9009900990099011E-3</v>
      </c>
      <c r="I75" s="95">
        <f>IF(ISNUMBER(G75), $B91 * H75, "")</f>
        <v>1485.1485148514851</v>
      </c>
      <c r="J75" s="20">
        <v>201</v>
      </c>
      <c r="K75" s="21">
        <f t="shared" si="32"/>
        <v>-4.9504950495049506E-3</v>
      </c>
      <c r="L75" s="22">
        <f>IF(ISNUMBER(J75), $B91 * K75, "")</f>
        <v>-742.57425742574253</v>
      </c>
      <c r="M75" s="30">
        <v>202</v>
      </c>
      <c r="N75" s="21">
        <f t="shared" si="33"/>
        <v>0</v>
      </c>
      <c r="O75" s="22">
        <f>IF(ISNUMBER(M75), $B91 * N75, "")</f>
        <v>0</v>
      </c>
      <c r="Q75" s="161"/>
      <c r="R75" s="161"/>
      <c r="S75" s="161"/>
    </row>
    <row r="76" spans="1:19" ht="17.25" thickBot="1">
      <c r="A76" s="109" t="s">
        <v>51</v>
      </c>
      <c r="B76" s="113">
        <v>114</v>
      </c>
      <c r="C76" s="73">
        <v>-2.5641025599999999E-2</v>
      </c>
      <c r="D76" s="96">
        <v>113</v>
      </c>
      <c r="E76" s="97">
        <f>IF(ISNUMBER(D76), (D76 - $B76) / $B76, "")</f>
        <v>-8.771929824561403E-3</v>
      </c>
      <c r="F76" s="98">
        <f>IF(ISNUMBER(D76), $B91 * E76, "")</f>
        <v>-1315.7894736842104</v>
      </c>
      <c r="G76" s="99">
        <v>114</v>
      </c>
      <c r="H76" s="97">
        <f>IF(ISNUMBER(G76), (G76 - $B76) / $B76, "")</f>
        <v>0</v>
      </c>
      <c r="I76" s="100">
        <f>IF(ISNUMBER(G76), $B91 * H76, "")</f>
        <v>0</v>
      </c>
      <c r="J76" s="96">
        <v>114</v>
      </c>
      <c r="K76" s="97">
        <f>IF(ISNUMBER(J76), (J76 - $B76) / $B76, "")</f>
        <v>0</v>
      </c>
      <c r="L76" s="98">
        <f>IF(ISNUMBER(J76), $B91 * K76, "")</f>
        <v>0</v>
      </c>
      <c r="M76" s="99">
        <v>113</v>
      </c>
      <c r="N76" s="97">
        <f>IF(ISNUMBER(M76), (M76 - $B76) / $B76, "")</f>
        <v>-8.771929824561403E-3</v>
      </c>
      <c r="O76" s="98">
        <f>IF(ISNUMBER(M76), $B91 * N76, "")</f>
        <v>-1315.7894736842104</v>
      </c>
      <c r="Q76" s="161"/>
      <c r="R76" s="161"/>
      <c r="S76" s="161"/>
    </row>
    <row r="77" spans="1:19" ht="17.25" thickBot="1">
      <c r="A77" s="109" t="s">
        <v>81</v>
      </c>
      <c r="B77" s="110">
        <v>415</v>
      </c>
      <c r="C77" s="70">
        <v>-2.5821596200000001E-2</v>
      </c>
      <c r="D77" s="15">
        <v>414</v>
      </c>
      <c r="E77" s="32">
        <f t="shared" ref="E77:E80" si="34">IF(ISNUMBER(D77), (D77 - $B77) / $B77, "")</f>
        <v>-2.4096385542168677E-3</v>
      </c>
      <c r="F77" s="18">
        <f>IF(ISNUMBER(D77), $B91 * E77, "")</f>
        <v>-361.44578313253015</v>
      </c>
      <c r="G77" s="31">
        <v>416</v>
      </c>
      <c r="H77" s="32">
        <f t="shared" ref="H77:H80" si="35">IF(ISNUMBER(G77), (G77 - $B77) / $B77, "")</f>
        <v>2.4096385542168677E-3</v>
      </c>
      <c r="I77" s="91">
        <f>IF(ISNUMBER(G77), $B91 * H77, "")</f>
        <v>361.44578313253015</v>
      </c>
      <c r="J77" s="15">
        <v>416</v>
      </c>
      <c r="K77" s="32">
        <f t="shared" ref="K77:K80" si="36">IF(ISNUMBER(J77), (J77 - $B77) / $B77, "")</f>
        <v>2.4096385542168677E-3</v>
      </c>
      <c r="L77" s="18">
        <f>IF(ISNUMBER(J77), $B91 * K77, "")</f>
        <v>361.44578313253015</v>
      </c>
      <c r="M77" s="31">
        <v>417</v>
      </c>
      <c r="N77" s="32">
        <f t="shared" ref="N77:N80" si="37">IF(ISNUMBER(M77), (M77 - $B77) / $B77, "")</f>
        <v>4.8192771084337354E-3</v>
      </c>
      <c r="O77" s="18">
        <f>IF(ISNUMBER(M77), $B91 * N77, "")</f>
        <v>722.89156626506031</v>
      </c>
      <c r="Q77" s="161"/>
      <c r="R77" s="161"/>
      <c r="S77" s="161"/>
    </row>
    <row r="78" spans="1:19" ht="17.25" thickBot="1">
      <c r="A78" s="109" t="s">
        <v>202</v>
      </c>
      <c r="B78" s="110">
        <v>356</v>
      </c>
      <c r="C78" s="70">
        <v>-2.73224044E-2</v>
      </c>
      <c r="D78" s="15">
        <v>349</v>
      </c>
      <c r="E78" s="32">
        <f t="shared" si="34"/>
        <v>-1.9662921348314606E-2</v>
      </c>
      <c r="F78" s="18">
        <f>IF(ISNUMBER(D78), $B91 * E78, "")</f>
        <v>-2949.4382022471909</v>
      </c>
      <c r="G78" s="31">
        <v>349</v>
      </c>
      <c r="H78" s="32">
        <f t="shared" si="35"/>
        <v>-1.9662921348314606E-2</v>
      </c>
      <c r="I78" s="91">
        <f>IF(ISNUMBER(G78), $B91 * H78, "")</f>
        <v>-2949.4382022471909</v>
      </c>
      <c r="J78" s="15">
        <v>346</v>
      </c>
      <c r="K78" s="32">
        <f t="shared" si="36"/>
        <v>-2.8089887640449437E-2</v>
      </c>
      <c r="L78" s="18">
        <f>IF(ISNUMBER(J78), $B91 * K78, "")</f>
        <v>-4213.4831460674159</v>
      </c>
      <c r="M78" s="31">
        <v>349</v>
      </c>
      <c r="N78" s="32">
        <f t="shared" si="37"/>
        <v>-1.9662921348314606E-2</v>
      </c>
      <c r="O78" s="18">
        <f>IF(ISNUMBER(M78), $B91 * N78, "")</f>
        <v>-2949.4382022471909</v>
      </c>
      <c r="Q78" s="161"/>
      <c r="R78" s="161"/>
      <c r="S78" s="161"/>
    </row>
    <row r="79" spans="1:19" ht="17.25" thickBot="1">
      <c r="A79" s="109" t="s">
        <v>161</v>
      </c>
      <c r="B79" s="110">
        <v>337</v>
      </c>
      <c r="C79" s="70">
        <v>-2.8818443799999999E-2</v>
      </c>
      <c r="D79" s="15">
        <v>335</v>
      </c>
      <c r="E79" s="32">
        <f t="shared" si="34"/>
        <v>-5.9347181008902079E-3</v>
      </c>
      <c r="F79" s="18">
        <f>IF(ISNUMBER(D79), $B91 * E79, "")</f>
        <v>-890.20771513353122</v>
      </c>
      <c r="G79" s="31">
        <v>341</v>
      </c>
      <c r="H79" s="32">
        <f t="shared" si="35"/>
        <v>1.1869436201780416E-2</v>
      </c>
      <c r="I79" s="91">
        <f>IF(ISNUMBER(G79), $B91 * H79, "")</f>
        <v>1780.4154302670624</v>
      </c>
      <c r="J79" s="15">
        <v>348</v>
      </c>
      <c r="K79" s="32">
        <f t="shared" si="36"/>
        <v>3.2640949554896145E-2</v>
      </c>
      <c r="L79" s="18">
        <f>IF(ISNUMBER(J79), $B91 * K79, "")</f>
        <v>4896.1424332344222</v>
      </c>
      <c r="M79" s="31">
        <v>343</v>
      </c>
      <c r="N79" s="32">
        <f t="shared" si="37"/>
        <v>1.7804154302670624E-2</v>
      </c>
      <c r="O79" s="18">
        <f>IF(ISNUMBER(M79), $B91 * N79, "")</f>
        <v>2670.6231454005938</v>
      </c>
      <c r="Q79" s="33"/>
      <c r="R79" s="33"/>
    </row>
    <row r="80" spans="1:19" ht="17.25" thickBot="1">
      <c r="A80" s="114" t="s">
        <v>169</v>
      </c>
      <c r="B80" s="115">
        <v>277</v>
      </c>
      <c r="C80" s="72">
        <v>-3.1468531500000001E-2</v>
      </c>
      <c r="D80" s="24">
        <v>275</v>
      </c>
      <c r="E80" s="25">
        <f t="shared" si="34"/>
        <v>-7.2202166064981952E-3</v>
      </c>
      <c r="F80" s="94">
        <f>IF(ISNUMBER(D80), $B91 * E80, "")</f>
        <v>-1083.0324909747292</v>
      </c>
      <c r="G80" s="92">
        <v>275</v>
      </c>
      <c r="H80" s="25">
        <f t="shared" si="35"/>
        <v>-7.2202166064981952E-3</v>
      </c>
      <c r="I80" s="93">
        <f>IF(ISNUMBER(G80), $B91 * H80, "")</f>
        <v>-1083.0324909747292</v>
      </c>
      <c r="J80" s="24">
        <v>274</v>
      </c>
      <c r="K80" s="25">
        <f t="shared" si="36"/>
        <v>-1.0830324909747292E-2</v>
      </c>
      <c r="L80" s="94">
        <f>IF(ISNUMBER(J80), $B91 * K80, "")</f>
        <v>-1624.5487364620938</v>
      </c>
      <c r="M80" s="92">
        <v>274</v>
      </c>
      <c r="N80" s="25">
        <f t="shared" si="37"/>
        <v>-1.0830324909747292E-2</v>
      </c>
      <c r="O80" s="94">
        <f>IF(ISNUMBER(M80), $B91 * N80, "")</f>
        <v>-1624.5487364620938</v>
      </c>
      <c r="Q80" s="170"/>
      <c r="R80" s="171"/>
      <c r="S80" s="172"/>
    </row>
    <row r="81" spans="1:19">
      <c r="A81" s="107" t="s">
        <v>226</v>
      </c>
      <c r="B81" s="108">
        <v>226</v>
      </c>
      <c r="C81" s="69">
        <v>-3.4188034200000002E-2</v>
      </c>
      <c r="D81" s="13">
        <v>227</v>
      </c>
      <c r="E81" s="14">
        <f>IF(ISNUMBER(D81), (D81 - $B81) / $B81, "")</f>
        <v>4.4247787610619468E-3</v>
      </c>
      <c r="F81" s="16">
        <f>IF(ISNUMBER(D81), $B91 * E81, "")</f>
        <v>663.71681415929197</v>
      </c>
      <c r="G81" s="29">
        <v>229</v>
      </c>
      <c r="H81" s="14">
        <f>IF(ISNUMBER(G81), (G81 - $B81) / $B81, "")</f>
        <v>1.3274336283185841E-2</v>
      </c>
      <c r="I81" s="90">
        <f>IF(ISNUMBER(G81), $B91 * H81, "")</f>
        <v>1991.1504424778761</v>
      </c>
      <c r="J81" s="13">
        <v>227</v>
      </c>
      <c r="K81" s="14">
        <f>IF(ISNUMBER(J81), (J81 - $B81) / $B81, "")</f>
        <v>4.4247787610619468E-3</v>
      </c>
      <c r="L81" s="16">
        <f>IF(ISNUMBER(J81), $B91 * K81, "")</f>
        <v>663.71681415929197</v>
      </c>
      <c r="M81" s="29">
        <v>228</v>
      </c>
      <c r="N81" s="14">
        <f>IF(ISNUMBER(M81), (M81 - $B81) / $B81, "")</f>
        <v>8.8495575221238937E-3</v>
      </c>
      <c r="O81" s="16">
        <f>IF(ISNUMBER(M81), $B91 * N81, "")</f>
        <v>1327.4336283185839</v>
      </c>
      <c r="Q81" s="173"/>
      <c r="R81" s="174"/>
      <c r="S81" s="175"/>
    </row>
    <row r="82" spans="1:19" ht="17.25" thickBot="1">
      <c r="A82" s="109" t="s">
        <v>167</v>
      </c>
      <c r="B82" s="110">
        <v>194</v>
      </c>
      <c r="C82" s="70">
        <v>-3.4825870600000003E-2</v>
      </c>
      <c r="D82" s="15">
        <v>194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194</v>
      </c>
      <c r="H82" s="32">
        <f t="shared" ref="H82:H85" si="39">IF(ISNUMBER(G82), (G82 - $B82) / $B82, "")</f>
        <v>0</v>
      </c>
      <c r="I82" s="91">
        <f>IF(ISNUMBER(G82), $B91 * H82, "")</f>
        <v>0</v>
      </c>
      <c r="J82" s="15">
        <v>194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195</v>
      </c>
      <c r="N82" s="32">
        <f t="shared" ref="N82:N85" si="41">IF(ISNUMBER(M82), (M82 - $B82) / $B82, "")</f>
        <v>5.1546391752577319E-3</v>
      </c>
      <c r="O82" s="18">
        <f>IF(ISNUMBER(M82), $B91 * N82, "")</f>
        <v>773.19587628865975</v>
      </c>
      <c r="Q82" s="176"/>
      <c r="R82" s="177"/>
      <c r="S82" s="178"/>
    </row>
    <row r="83" spans="1:19" ht="17.25" thickBot="1">
      <c r="A83" s="109" t="s">
        <v>66</v>
      </c>
      <c r="B83" s="110">
        <v>730</v>
      </c>
      <c r="C83" s="70">
        <v>-3.5667107000000003E-2</v>
      </c>
      <c r="D83" s="15">
        <v>729</v>
      </c>
      <c r="E83" s="32">
        <f t="shared" si="38"/>
        <v>-1.3698630136986301E-3</v>
      </c>
      <c r="F83" s="18">
        <f>IF(ISNUMBER(D83), $B91 * E83, "")</f>
        <v>-205.47945205479454</v>
      </c>
      <c r="G83" s="31">
        <v>731</v>
      </c>
      <c r="H83" s="32">
        <f t="shared" si="39"/>
        <v>1.3698630136986301E-3</v>
      </c>
      <c r="I83" s="91">
        <f>IF(ISNUMBER(G83), $B91 * H83, "")</f>
        <v>205.47945205479454</v>
      </c>
      <c r="J83" s="15">
        <v>730</v>
      </c>
      <c r="K83" s="32">
        <f t="shared" si="40"/>
        <v>0</v>
      </c>
      <c r="L83" s="18">
        <f>IF(ISNUMBER(J83), $B91 * K83, "")</f>
        <v>0</v>
      </c>
      <c r="M83" s="31">
        <v>728</v>
      </c>
      <c r="N83" s="32">
        <f t="shared" si="41"/>
        <v>-2.7397260273972603E-3</v>
      </c>
      <c r="O83" s="18">
        <f>IF(ISNUMBER(M83), $B91 * N83, "")</f>
        <v>-410.95890410958907</v>
      </c>
      <c r="Q83" s="161"/>
      <c r="R83" s="161"/>
      <c r="S83" s="161"/>
    </row>
    <row r="84" spans="1:19" ht="17.25" thickBot="1">
      <c r="A84" s="109" t="s">
        <v>342</v>
      </c>
      <c r="B84" s="110">
        <v>134</v>
      </c>
      <c r="C84" s="70">
        <v>-3.5971222999999997E-2</v>
      </c>
      <c r="D84" s="15">
        <v>141</v>
      </c>
      <c r="E84" s="32">
        <f t="shared" si="38"/>
        <v>5.2238805970149252E-2</v>
      </c>
      <c r="F84" s="18">
        <f>IF(ISNUMBER(D84), $B91 * E84, "")</f>
        <v>7835.8208955223881</v>
      </c>
      <c r="G84" s="31">
        <v>140</v>
      </c>
      <c r="H84" s="32">
        <f t="shared" si="39"/>
        <v>4.4776119402985072E-2</v>
      </c>
      <c r="I84" s="91">
        <f>IF(ISNUMBER(G84), $B91 * H84, "")</f>
        <v>6716.4179104477607</v>
      </c>
      <c r="J84" s="15">
        <v>137</v>
      </c>
      <c r="K84" s="32">
        <f t="shared" si="40"/>
        <v>2.2388059701492536E-2</v>
      </c>
      <c r="L84" s="18">
        <f>IF(ISNUMBER(J84), $B91 * K84, "")</f>
        <v>3358.2089552238804</v>
      </c>
      <c r="M84" s="31">
        <v>138</v>
      </c>
      <c r="N84" s="32">
        <f t="shared" si="41"/>
        <v>2.9850746268656716E-2</v>
      </c>
      <c r="O84" s="18">
        <f>IF(ISNUMBER(M84), $B91 * N84, "")</f>
        <v>4477.6119402985078</v>
      </c>
      <c r="Q84" s="156"/>
      <c r="R84" s="156"/>
      <c r="S84" s="156"/>
    </row>
    <row r="85" spans="1:19" ht="17.25" thickBot="1">
      <c r="A85" s="111" t="s">
        <v>256</v>
      </c>
      <c r="B85" s="112">
        <v>129</v>
      </c>
      <c r="C85" s="71">
        <v>-3.7313432799999997E-2</v>
      </c>
      <c r="D85" s="20">
        <v>128</v>
      </c>
      <c r="E85" s="21">
        <f t="shared" si="38"/>
        <v>-7.7519379844961239E-3</v>
      </c>
      <c r="F85" s="22">
        <f>IF(ISNUMBER(D85), $B91 * E85, "")</f>
        <v>-1162.7906976744187</v>
      </c>
      <c r="G85" s="30">
        <v>129</v>
      </c>
      <c r="H85" s="21">
        <f t="shared" si="39"/>
        <v>0</v>
      </c>
      <c r="I85" s="95">
        <f>IF(ISNUMBER(G85), $B91 * H85, "")</f>
        <v>0</v>
      </c>
      <c r="J85" s="20">
        <v>129</v>
      </c>
      <c r="K85" s="21">
        <f t="shared" si="40"/>
        <v>0</v>
      </c>
      <c r="L85" s="22">
        <f>IF(ISNUMBER(J85), $B91 * K85, "")</f>
        <v>0</v>
      </c>
      <c r="M85" s="30">
        <v>130</v>
      </c>
      <c r="N85" s="21">
        <f t="shared" si="41"/>
        <v>7.7519379844961239E-3</v>
      </c>
      <c r="O85" s="22">
        <f>IF(ISNUMBER(M85), $B91 * N85, "")</f>
        <v>1162.7906976744187</v>
      </c>
      <c r="Q85" s="156"/>
      <c r="R85" s="156"/>
      <c r="S85" s="156"/>
    </row>
    <row r="86" spans="1:19" ht="17.25" thickBot="1">
      <c r="A86" s="109" t="s">
        <v>234</v>
      </c>
      <c r="B86" s="113">
        <v>359</v>
      </c>
      <c r="C86" s="73">
        <v>-3.7533512099999999E-2</v>
      </c>
      <c r="D86" s="96">
        <v>346</v>
      </c>
      <c r="E86" s="97">
        <f>IF(ISNUMBER(D86), (D86 - $B86) / $B86, "")</f>
        <v>-3.6211699164345405E-2</v>
      </c>
      <c r="F86" s="98">
        <f>IF(ISNUMBER(D86), $B91 * E86, "")</f>
        <v>-5431.7548746518105</v>
      </c>
      <c r="G86" s="99">
        <v>336</v>
      </c>
      <c r="H86" s="97">
        <f>IF(ISNUMBER(G86), (G86 - $B86) / $B86, "")</f>
        <v>-6.4066852367688026E-2</v>
      </c>
      <c r="I86" s="100">
        <f>IF(ISNUMBER(G86), $B91 * H86, "")</f>
        <v>-9610.0278551532047</v>
      </c>
      <c r="J86" s="96">
        <v>332</v>
      </c>
      <c r="K86" s="97">
        <f>IF(ISNUMBER(J86), (J86 - $B86) / $B86, "")</f>
        <v>-7.5208913649025072E-2</v>
      </c>
      <c r="L86" s="98">
        <f>IF(ISNUMBER(J86), $B91 * K86, "")</f>
        <v>-11281.337047353762</v>
      </c>
      <c r="M86" s="99">
        <v>337</v>
      </c>
      <c r="N86" s="97">
        <f>IF(ISNUMBER(M86), (M86 - $B86) / $B86, "")</f>
        <v>-6.1281337047353758E-2</v>
      </c>
      <c r="O86" s="98">
        <f>IF(ISNUMBER(M86), $B91 * N86, "")</f>
        <v>-9192.2005571030641</v>
      </c>
      <c r="Q86" s="161"/>
      <c r="R86" s="161"/>
      <c r="S86" s="161"/>
    </row>
    <row r="87" spans="1:19" ht="17.25" thickBot="1">
      <c r="A87" s="109" t="s">
        <v>242</v>
      </c>
      <c r="B87" s="110">
        <v>449</v>
      </c>
      <c r="C87" s="70">
        <v>-3.8543897200000003E-2</v>
      </c>
      <c r="D87" s="15">
        <v>443</v>
      </c>
      <c r="E87" s="32">
        <f t="shared" ref="E87:E90" si="42">IF(ISNUMBER(D87), (D87 - $B87) / $B87, "")</f>
        <v>-1.3363028953229399E-2</v>
      </c>
      <c r="F87" s="18">
        <f>IF(ISNUMBER(D87), $B91 * E87, "")</f>
        <v>-2004.4543429844098</v>
      </c>
      <c r="G87" s="31">
        <v>447</v>
      </c>
      <c r="H87" s="32">
        <f t="shared" ref="H87:H90" si="43">IF(ISNUMBER(G87), (G87 - $B87) / $B87, "")</f>
        <v>-4.4543429844097994E-3</v>
      </c>
      <c r="I87" s="91">
        <f>IF(ISNUMBER(G87), $B91 * H87, "")</f>
        <v>-668.15144766146989</v>
      </c>
      <c r="J87" s="15">
        <v>446</v>
      </c>
      <c r="K87" s="32">
        <f t="shared" ref="K87:K90" si="44">IF(ISNUMBER(J87), (J87 - $B87) / $B87, "")</f>
        <v>-6.6815144766146995E-3</v>
      </c>
      <c r="L87" s="18">
        <f>IF(ISNUMBER(J87), $B91 * K87, "")</f>
        <v>-1002.2271714922049</v>
      </c>
      <c r="M87" s="31">
        <v>450</v>
      </c>
      <c r="N87" s="32">
        <f t="shared" ref="N87:N90" si="45">IF(ISNUMBER(M87), (M87 - $B87) / $B87, "")</f>
        <v>2.2271714922048997E-3</v>
      </c>
      <c r="O87" s="18">
        <f>IF(ISNUMBER(M87), $B91 * N87, "")</f>
        <v>334.07572383073494</v>
      </c>
      <c r="Q87" s="161"/>
      <c r="R87" s="161"/>
      <c r="S87" s="161"/>
    </row>
    <row r="88" spans="1:19" ht="17.25" thickBot="1">
      <c r="A88" s="109" t="s">
        <v>79</v>
      </c>
      <c r="B88" s="110">
        <v>299</v>
      </c>
      <c r="C88" s="70">
        <v>-3.8585209000000002E-2</v>
      </c>
      <c r="D88" s="15">
        <v>298</v>
      </c>
      <c r="E88" s="32">
        <f t="shared" si="42"/>
        <v>-3.3444816053511705E-3</v>
      </c>
      <c r="F88" s="18">
        <f>IF(ISNUMBER(D88), $B91 * E88, "")</f>
        <v>-501.67224080267556</v>
      </c>
      <c r="G88" s="31">
        <v>298</v>
      </c>
      <c r="H88" s="32">
        <f t="shared" si="43"/>
        <v>-3.3444816053511705E-3</v>
      </c>
      <c r="I88" s="91">
        <f>IF(ISNUMBER(G88), $B91 * H88, "")</f>
        <v>-501.67224080267556</v>
      </c>
      <c r="J88" s="15">
        <v>296</v>
      </c>
      <c r="K88" s="32">
        <f t="shared" si="44"/>
        <v>-1.0033444816053512E-2</v>
      </c>
      <c r="L88" s="18">
        <f>IF(ISNUMBER(J88), $B91 * K88, "")</f>
        <v>-1505.0167224080267</v>
      </c>
      <c r="M88" s="31">
        <v>299</v>
      </c>
      <c r="N88" s="32">
        <f t="shared" si="45"/>
        <v>0</v>
      </c>
      <c r="O88" s="18">
        <f>IF(ISNUMBER(M88), $B91 * N88, "")</f>
        <v>0</v>
      </c>
      <c r="Q88" s="161"/>
      <c r="R88" s="161"/>
      <c r="S88" s="161"/>
    </row>
    <row r="89" spans="1:19">
      <c r="A89" s="109" t="s">
        <v>232</v>
      </c>
      <c r="B89" s="110">
        <v>291</v>
      </c>
      <c r="C89" s="70">
        <v>-3.9603960399999999E-2</v>
      </c>
      <c r="D89" s="15">
        <v>293</v>
      </c>
      <c r="E89" s="32">
        <f t="shared" si="42"/>
        <v>6.8728522336769758E-3</v>
      </c>
      <c r="F89" s="18">
        <f>IF(ISNUMBER(D89), $B91 * E89, "")</f>
        <v>1030.9278350515465</v>
      </c>
      <c r="G89" s="31">
        <v>293</v>
      </c>
      <c r="H89" s="32">
        <f t="shared" si="43"/>
        <v>6.8728522336769758E-3</v>
      </c>
      <c r="I89" s="91">
        <f>IF(ISNUMBER(G89), $B91 * H89, "")</f>
        <v>1030.9278350515465</v>
      </c>
      <c r="J89" s="15">
        <v>293</v>
      </c>
      <c r="K89" s="32">
        <f t="shared" si="44"/>
        <v>6.8728522336769758E-3</v>
      </c>
      <c r="L89" s="18">
        <f>IF(ISNUMBER(J89), $B91 * K89, "")</f>
        <v>1030.9278350515465</v>
      </c>
      <c r="M89" s="31">
        <v>294</v>
      </c>
      <c r="N89" s="32">
        <f t="shared" si="45"/>
        <v>1.0309278350515464E-2</v>
      </c>
      <c r="O89" s="18">
        <f>IF(ISNUMBER(M89), $B91 * N89, "")</f>
        <v>1546.3917525773195</v>
      </c>
      <c r="Q89" s="183"/>
      <c r="R89" s="184"/>
      <c r="S89" s="185"/>
    </row>
    <row r="90" spans="1:19" ht="17.25" thickBot="1">
      <c r="A90" s="114" t="s">
        <v>216</v>
      </c>
      <c r="B90" s="115">
        <v>506</v>
      </c>
      <c r="C90" s="72">
        <v>-3.9848197299999999E-2</v>
      </c>
      <c r="D90" s="24">
        <v>504</v>
      </c>
      <c r="E90" s="25">
        <f t="shared" si="42"/>
        <v>-3.952569169960474E-3</v>
      </c>
      <c r="F90" s="94">
        <f>IF(ISNUMBER(D90), $B91 * E90, "")</f>
        <v>-592.88537549407113</v>
      </c>
      <c r="G90" s="92">
        <v>510</v>
      </c>
      <c r="H90" s="25">
        <f t="shared" si="43"/>
        <v>7.9051383399209481E-3</v>
      </c>
      <c r="I90" s="93">
        <f>IF(ISNUMBER(G90), $B91 * H90, "")</f>
        <v>1185.7707509881423</v>
      </c>
      <c r="J90" s="24">
        <v>510</v>
      </c>
      <c r="K90" s="25">
        <f t="shared" si="44"/>
        <v>7.9051383399209481E-3</v>
      </c>
      <c r="L90" s="94">
        <f>IF(ISNUMBER(J90), $B91 * K90, "")</f>
        <v>1185.7707509881423</v>
      </c>
      <c r="M90" s="92">
        <v>512</v>
      </c>
      <c r="N90" s="25">
        <f t="shared" si="45"/>
        <v>1.1857707509881422E-2</v>
      </c>
      <c r="O90" s="94">
        <f>IF(ISNUMBER(M90), $B91 * N90, "")</f>
        <v>1778.6561264822133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-2.6288208067604302E-3</v>
      </c>
      <c r="F91" s="28">
        <f>SUM(F71:F90)</f>
        <v>-7886.4624202812929</v>
      </c>
      <c r="G91" s="26" t="s">
        <v>261</v>
      </c>
      <c r="H91" s="27">
        <f>IF(COUNT(H71:H90), SUM(H71:H90) / COUNT(H71:H90), 0)</f>
        <v>1.6760866543752287E-4</v>
      </c>
      <c r="I91" s="28">
        <f>SUM(I71:I90)</f>
        <v>502.82599631256835</v>
      </c>
      <c r="J91" s="26" t="s">
        <v>261</v>
      </c>
      <c r="K91" s="27">
        <f>IF(COUNT(K71:K90), SUM(K71:K90) / COUNT(K71:K90), 0)</f>
        <v>-3.5213990035844237E-3</v>
      </c>
      <c r="L91" s="28">
        <f>SUM(L71:L90)</f>
        <v>-10564.197010753269</v>
      </c>
      <c r="M91" s="26" t="s">
        <v>261</v>
      </c>
      <c r="N91" s="27">
        <f>IF(COUNT(N71:N90), SUM(N71:N90) / COUNT(N71:N90), 0)</f>
        <v>2.4158642904169823E-5</v>
      </c>
      <c r="O91" s="28">
        <f>SUM(O71:O90)</f>
        <v>72.47592871251004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2022-12-08(목) 오전 00:00</v>
      </c>
      <c r="C96" s="199"/>
      <c r="D96" s="158" t="str">
        <f>TEXT($G$1, "[$-ko-KR]yyyy-mm-dd(ddd) ") &amp; "오후 14:00"</f>
        <v>2022-12-08(목) 오후 14:00</v>
      </c>
      <c r="E96" s="159"/>
      <c r="F96" s="160"/>
      <c r="G96" s="158" t="str">
        <f>TEXT($G$1, "[$-ko-KR]yyyy-mm-dd(ddd) ") &amp; "오후 19:00"</f>
        <v>2022-12-08(목) 오후 19:00</v>
      </c>
      <c r="H96" s="159"/>
      <c r="I96" s="160"/>
      <c r="J96" s="158" t="str">
        <f>TEXT($G$1, "[$-ko-KR]yyyy-mm-dd(ddd) ") &amp; "오후 21:00"</f>
        <v>2022-12-08(목) 오후 21:00</v>
      </c>
      <c r="K96" s="159"/>
      <c r="L96" s="160"/>
      <c r="M96" s="158" t="str">
        <f>TEXT($G$1+1, "[$-ko-KR]yyyy-mm-dd(ddd) ") &amp; "오전 00:00"</f>
        <v>2022-12-09(금)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83</v>
      </c>
      <c r="B98" s="108">
        <v>1325</v>
      </c>
      <c r="C98" s="69">
        <v>3.515625E-2</v>
      </c>
      <c r="D98" s="13">
        <v>1310</v>
      </c>
      <c r="E98" s="14">
        <f>IF(ISNUMBER(D98), (D98 - $B98) / $B98, "")</f>
        <v>-1.1320754716981131E-2</v>
      </c>
      <c r="F98" s="16">
        <f>IF(ISNUMBER(D98), $B118 * E98, "")</f>
        <v>-1698.1132075471696</v>
      </c>
      <c r="G98" s="29">
        <v>1315</v>
      </c>
      <c r="H98" s="14">
        <f>IF(ISNUMBER(G98), (G98 - $B98) / $B98, "")</f>
        <v>-7.5471698113207548E-3</v>
      </c>
      <c r="I98" s="90">
        <f>IF(ISNUMBER(G98), $B118 * H98, "")</f>
        <v>-1132.0754716981132</v>
      </c>
      <c r="J98" s="13">
        <v>1320</v>
      </c>
      <c r="K98" s="14">
        <f>IF(ISNUMBER(J98), (J98 - $B98) / $B98, "")</f>
        <v>-3.7735849056603774E-3</v>
      </c>
      <c r="L98" s="16">
        <f>IF(ISNUMBER(J98), $B118 * K98, "")</f>
        <v>-566.03773584905662</v>
      </c>
      <c r="M98" s="29">
        <v>1315</v>
      </c>
      <c r="N98" s="14">
        <f>IF(ISNUMBER(M98), (M98 - $B98) / $B98, "")</f>
        <v>-7.5471698113207548E-3</v>
      </c>
      <c r="O98" s="16">
        <f>IF(ISNUMBER(M98), $B118 * N98, "")</f>
        <v>-1132.0754716981132</v>
      </c>
      <c r="Q98" s="156"/>
      <c r="R98" s="156"/>
      <c r="S98" s="156"/>
    </row>
    <row r="99" spans="1:19" ht="17.25" thickBot="1">
      <c r="A99" s="109" t="s">
        <v>181</v>
      </c>
      <c r="B99" s="110">
        <v>4.5599999999999996</v>
      </c>
      <c r="C99" s="70">
        <v>2.7027026999999999E-2</v>
      </c>
      <c r="D99" s="15">
        <v>4.42</v>
      </c>
      <c r="E99" s="32">
        <f t="shared" ref="E99:E102" si="46">IF(ISNUMBER(D99), (D99 - $B99) / $B99, "")</f>
        <v>-3.0701754385964845E-2</v>
      </c>
      <c r="F99" s="18">
        <f>IF(ISNUMBER(D99), $B118 * E99, "")</f>
        <v>-4605.2631578947266</v>
      </c>
      <c r="G99" s="31">
        <v>4.99</v>
      </c>
      <c r="H99" s="32">
        <f t="shared" ref="H99:H102" si="47">IF(ISNUMBER(G99), (G99 - $B99) / $B99, "")</f>
        <v>9.4298245614035228E-2</v>
      </c>
      <c r="I99" s="91">
        <f>IF(ISNUMBER(G99), $B118 * H99, "")</f>
        <v>14144.736842105283</v>
      </c>
      <c r="J99" s="15">
        <v>4.74</v>
      </c>
      <c r="K99" s="32">
        <f t="shared" ref="K99:K102" si="48">IF(ISNUMBER(J99), (J99 - $B99) / $B99, "")</f>
        <v>3.9473684210526452E-2</v>
      </c>
      <c r="L99" s="18">
        <f>IF(ISNUMBER(J99), $B118 * K99, "")</f>
        <v>5921.0526315789675</v>
      </c>
      <c r="M99" s="31">
        <v>4.67</v>
      </c>
      <c r="N99" s="32">
        <f t="shared" ref="N99:N102" si="49">IF(ISNUMBER(M99), (M99 - $B99) / $B99, "")</f>
        <v>2.4122807017543931E-2</v>
      </c>
      <c r="O99" s="18">
        <f>IF(ISNUMBER(M99), $B118 * N99, "")</f>
        <v>3618.4210526315896</v>
      </c>
      <c r="Q99" s="156"/>
      <c r="R99" s="156"/>
      <c r="S99" s="156"/>
    </row>
    <row r="100" spans="1:19" ht="17.25" thickBot="1">
      <c r="A100" s="109" t="s">
        <v>191</v>
      </c>
      <c r="B100" s="110">
        <v>55.1</v>
      </c>
      <c r="C100" s="70">
        <v>2.60707635E-2</v>
      </c>
      <c r="D100" s="15">
        <v>51.6</v>
      </c>
      <c r="E100" s="32">
        <f t="shared" si="46"/>
        <v>-6.3520871143375679E-2</v>
      </c>
      <c r="F100" s="18">
        <f>IF(ISNUMBER(D100), $B118 * E100, "")</f>
        <v>-9528.1306715063511</v>
      </c>
      <c r="G100" s="31">
        <v>52.5</v>
      </c>
      <c r="H100" s="32">
        <f t="shared" si="47"/>
        <v>-4.7186932849364815E-2</v>
      </c>
      <c r="I100" s="91">
        <f>IF(ISNUMBER(G100), $B118 * H100, "")</f>
        <v>-7078.0399274047222</v>
      </c>
      <c r="J100" s="15">
        <v>51.8</v>
      </c>
      <c r="K100" s="32">
        <f t="shared" si="48"/>
        <v>-5.9891107078040004E-2</v>
      </c>
      <c r="L100" s="18">
        <f>IF(ISNUMBER(J100), $B118 * K100, "")</f>
        <v>-8983.6660617060006</v>
      </c>
      <c r="M100" s="31">
        <v>52.4</v>
      </c>
      <c r="N100" s="32">
        <f t="shared" si="49"/>
        <v>-4.9001814882032715E-2</v>
      </c>
      <c r="O100" s="18">
        <f>IF(ISNUMBER(M100), $B118 * N100, "")</f>
        <v>-7350.2722323049074</v>
      </c>
      <c r="Q100" s="161"/>
      <c r="R100" s="161"/>
      <c r="S100" s="161"/>
    </row>
    <row r="101" spans="1:19" ht="17.25" thickBot="1">
      <c r="A101" s="109" t="s">
        <v>346</v>
      </c>
      <c r="B101" s="110">
        <v>547</v>
      </c>
      <c r="C101" s="70">
        <v>1.8315018E-3</v>
      </c>
      <c r="D101" s="15">
        <v>541</v>
      </c>
      <c r="E101" s="32">
        <f t="shared" si="46"/>
        <v>-1.0968921389396709E-2</v>
      </c>
      <c r="F101" s="18">
        <f>IF(ISNUMBER(D101), $B118 * E101, "")</f>
        <v>-1645.3382084095063</v>
      </c>
      <c r="G101" s="31">
        <v>541</v>
      </c>
      <c r="H101" s="32">
        <f t="shared" si="47"/>
        <v>-1.0968921389396709E-2</v>
      </c>
      <c r="I101" s="91">
        <f>IF(ISNUMBER(G101), $B118 * H101, "")</f>
        <v>-1645.3382084095063</v>
      </c>
      <c r="J101" s="15">
        <v>535</v>
      </c>
      <c r="K101" s="32">
        <f t="shared" si="48"/>
        <v>-2.1937842778793418E-2</v>
      </c>
      <c r="L101" s="18">
        <f>IF(ISNUMBER(J101), $B118 * K101, "")</f>
        <v>-3290.6764168190125</v>
      </c>
      <c r="M101" s="31">
        <v>537</v>
      </c>
      <c r="N101" s="32">
        <f t="shared" si="49"/>
        <v>-1.8281535648994516E-2</v>
      </c>
      <c r="O101" s="18">
        <f>IF(ISNUMBER(M101), $B118 * N101, "")</f>
        <v>-2742.2303473491775</v>
      </c>
      <c r="Q101" s="161"/>
      <c r="R101" s="161"/>
      <c r="S101" s="161"/>
    </row>
    <row r="102" spans="1:19" ht="17.25" thickBot="1">
      <c r="A102" s="111" t="s">
        <v>240</v>
      </c>
      <c r="B102" s="112">
        <v>29.6</v>
      </c>
      <c r="C102" s="71">
        <v>-3.3670034000000001E-3</v>
      </c>
      <c r="D102" s="20">
        <v>29.5</v>
      </c>
      <c r="E102" s="21">
        <f t="shared" si="46"/>
        <v>-3.3783783783784263E-3</v>
      </c>
      <c r="F102" s="22">
        <f>IF(ISNUMBER(D102), $B118 * E102, "")</f>
        <v>-506.75675675676393</v>
      </c>
      <c r="G102" s="30">
        <v>29.7</v>
      </c>
      <c r="H102" s="21">
        <f t="shared" si="47"/>
        <v>3.3783783783783061E-3</v>
      </c>
      <c r="I102" s="95">
        <f>IF(ISNUMBER(G102), $B118 * H102, "")</f>
        <v>506.75675675674592</v>
      </c>
      <c r="J102" s="20">
        <v>29.9</v>
      </c>
      <c r="K102" s="21">
        <f t="shared" si="48"/>
        <v>1.0135135135135039E-2</v>
      </c>
      <c r="L102" s="22">
        <f>IF(ISNUMBER(J102), $B118 * K102, "")</f>
        <v>1520.2702702702559</v>
      </c>
      <c r="M102" s="30">
        <v>30.2</v>
      </c>
      <c r="N102" s="21">
        <f t="shared" si="49"/>
        <v>2.0270270270270199E-2</v>
      </c>
      <c r="O102" s="22">
        <f>IF(ISNUMBER(M102), $B118 * N102, "")</f>
        <v>3040.5405405405299</v>
      </c>
      <c r="Q102" s="161"/>
      <c r="R102" s="161"/>
      <c r="S102" s="161"/>
    </row>
    <row r="103" spans="1:19" ht="17.25" thickBot="1">
      <c r="A103" s="109" t="s">
        <v>145</v>
      </c>
      <c r="B103" s="113">
        <v>71.400000000000006</v>
      </c>
      <c r="C103" s="73">
        <v>-4.1841003999999998E-3</v>
      </c>
      <c r="D103" s="96">
        <v>71.400000000000006</v>
      </c>
      <c r="E103" s="97">
        <f>IF(ISNUMBER(D103), (D103 - $B103) / $B103, "")</f>
        <v>0</v>
      </c>
      <c r="F103" s="98">
        <f>IF(ISNUMBER(D103), $B118 * E103, "")</f>
        <v>0</v>
      </c>
      <c r="G103" s="99">
        <v>71.5</v>
      </c>
      <c r="H103" s="97">
        <f>IF(ISNUMBER(G103), (G103 - $B103) / $B103, "")</f>
        <v>1.4005602240895561E-3</v>
      </c>
      <c r="I103" s="100">
        <f>IF(ISNUMBER(G103), $B118 * H103, "")</f>
        <v>210.08403361343341</v>
      </c>
      <c r="J103" s="96">
        <v>71.5</v>
      </c>
      <c r="K103" s="97">
        <f>IF(ISNUMBER(J103), (J103 - $B103) / $B103, "")</f>
        <v>1.4005602240895561E-3</v>
      </c>
      <c r="L103" s="98">
        <f>IF(ISNUMBER(J103), $B118 * K103, "")</f>
        <v>210.08403361343341</v>
      </c>
      <c r="M103" s="99">
        <v>71.5</v>
      </c>
      <c r="N103" s="97">
        <f>IF(ISNUMBER(M103), (M103 - $B103) / $B103, "")</f>
        <v>1.4005602240895561E-3</v>
      </c>
      <c r="O103" s="98">
        <f>IF(ISNUMBER(M103), $B118 * N103, "")</f>
        <v>210.08403361343341</v>
      </c>
      <c r="Q103" s="161"/>
      <c r="R103" s="161"/>
      <c r="S103" s="161"/>
    </row>
    <row r="104" spans="1:19" ht="17.25" thickBot="1">
      <c r="A104" s="109" t="s">
        <v>56</v>
      </c>
      <c r="B104" s="110">
        <v>43.4</v>
      </c>
      <c r="C104" s="70">
        <v>-4.5871560000000002E-3</v>
      </c>
      <c r="D104" s="15">
        <v>42.9</v>
      </c>
      <c r="E104" s="32">
        <f t="shared" ref="E104:E107" si="50">IF(ISNUMBER(D104), (D104 - $B104) / $B104, "")</f>
        <v>-1.1520737327188941E-2</v>
      </c>
      <c r="F104" s="18">
        <f>IF(ISNUMBER(D104), $B118 * E104, "")</f>
        <v>-1728.110599078341</v>
      </c>
      <c r="G104" s="31">
        <v>43.1</v>
      </c>
      <c r="H104" s="32">
        <f t="shared" ref="H104:H107" si="51">IF(ISNUMBER(G104), (G104 - $B104) / $B104, "")</f>
        <v>-6.9124423963132986E-3</v>
      </c>
      <c r="I104" s="91">
        <f>IF(ISNUMBER(G104), $B118 * H104, "")</f>
        <v>-1036.8663594469947</v>
      </c>
      <c r="J104" s="15">
        <v>42.9</v>
      </c>
      <c r="K104" s="32">
        <f t="shared" ref="K104:K107" si="52">IF(ISNUMBER(J104), (J104 - $B104) / $B104, "")</f>
        <v>-1.1520737327188941E-2</v>
      </c>
      <c r="L104" s="18">
        <f>IF(ISNUMBER(J104), $B118 * K104, "")</f>
        <v>-1728.110599078341</v>
      </c>
      <c r="M104" s="31">
        <v>43.1</v>
      </c>
      <c r="N104" s="32">
        <f t="shared" ref="N104:N107" si="53">IF(ISNUMBER(M104), (M104 - $B104) / $B104, "")</f>
        <v>-6.9124423963132986E-3</v>
      </c>
      <c r="O104" s="18">
        <f>IF(ISNUMBER(M104), $B118 * N104, "")</f>
        <v>-1036.8663594469947</v>
      </c>
      <c r="Q104" s="161"/>
      <c r="R104" s="161"/>
      <c r="S104" s="161"/>
    </row>
    <row r="105" spans="1:19" ht="17.25" thickBot="1">
      <c r="A105" s="109" t="s">
        <v>157</v>
      </c>
      <c r="B105" s="110">
        <v>172</v>
      </c>
      <c r="C105" s="70">
        <v>-5.7803467999999998E-3</v>
      </c>
      <c r="D105" s="15">
        <v>172</v>
      </c>
      <c r="E105" s="32">
        <f t="shared" si="50"/>
        <v>0</v>
      </c>
      <c r="F105" s="18">
        <f>IF(ISNUMBER(D105), $B118 * E105, "")</f>
        <v>0</v>
      </c>
      <c r="G105" s="31">
        <v>172</v>
      </c>
      <c r="H105" s="32">
        <f t="shared" si="51"/>
        <v>0</v>
      </c>
      <c r="I105" s="91">
        <f>IF(ISNUMBER(G105), $B118 * H105, "")</f>
        <v>0</v>
      </c>
      <c r="J105" s="15">
        <v>173</v>
      </c>
      <c r="K105" s="32">
        <f t="shared" si="52"/>
        <v>5.8139534883720929E-3</v>
      </c>
      <c r="L105" s="18">
        <f>IF(ISNUMBER(J105), $B118 * K105, "")</f>
        <v>872.09302325581393</v>
      </c>
      <c r="M105" s="31">
        <v>173</v>
      </c>
      <c r="N105" s="32">
        <f t="shared" si="53"/>
        <v>5.8139534883720929E-3</v>
      </c>
      <c r="O105" s="18">
        <f>IF(ISNUMBER(M105), $B118 * N105, "")</f>
        <v>872.09302325581393</v>
      </c>
      <c r="Q105" s="161"/>
      <c r="R105" s="161"/>
      <c r="S105" s="161"/>
    </row>
    <row r="106" spans="1:19" ht="17.25" thickBot="1">
      <c r="A106" s="109" t="s">
        <v>147</v>
      </c>
      <c r="B106" s="110">
        <v>11630</v>
      </c>
      <c r="C106" s="70">
        <v>-5.9829059999999996E-3</v>
      </c>
      <c r="D106" s="15">
        <v>10950</v>
      </c>
      <c r="E106" s="32">
        <f t="shared" si="50"/>
        <v>-5.8469475494411005E-2</v>
      </c>
      <c r="F106" s="18">
        <f>IF(ISNUMBER(D106), $B118 * E106, "")</f>
        <v>-8770.4213241616508</v>
      </c>
      <c r="G106" s="31">
        <v>11060</v>
      </c>
      <c r="H106" s="32">
        <f t="shared" si="51"/>
        <v>-4.9011177987962166E-2</v>
      </c>
      <c r="I106" s="91">
        <f>IF(ISNUMBER(G106), $B118 * H106, "")</f>
        <v>-7351.6766981943247</v>
      </c>
      <c r="J106" s="15">
        <v>10800</v>
      </c>
      <c r="K106" s="32">
        <f t="shared" si="52"/>
        <v>-7.1367153912295783E-2</v>
      </c>
      <c r="L106" s="18">
        <f>IF(ISNUMBER(J106), $B118 * K106, "")</f>
        <v>-10705.073086844368</v>
      </c>
      <c r="M106" s="31">
        <v>10700</v>
      </c>
      <c r="N106" s="32">
        <f t="shared" si="53"/>
        <v>-7.9965606190885635E-2</v>
      </c>
      <c r="O106" s="18">
        <f>IF(ISNUMBER(M106), $B118 * N106, "")</f>
        <v>-11994.840928632846</v>
      </c>
      <c r="Q106" s="33"/>
      <c r="R106" s="33"/>
    </row>
    <row r="107" spans="1:19" ht="17.25" thickBot="1">
      <c r="A107" s="114" t="s">
        <v>143</v>
      </c>
      <c r="B107" s="115">
        <v>4.09</v>
      </c>
      <c r="C107" s="72">
        <v>-7.2815533999999998E-3</v>
      </c>
      <c r="D107" s="24">
        <v>4.1900000000000004</v>
      </c>
      <c r="E107" s="25">
        <f t="shared" si="50"/>
        <v>2.4449877750611377E-2</v>
      </c>
      <c r="F107" s="94">
        <f>IF(ISNUMBER(D107), $B118 * E107, "")</f>
        <v>3667.4816625917065</v>
      </c>
      <c r="G107" s="92">
        <v>4.26</v>
      </c>
      <c r="H107" s="25">
        <f t="shared" si="51"/>
        <v>4.1564792176039103E-2</v>
      </c>
      <c r="I107" s="93">
        <f>IF(ISNUMBER(G107), $B118 * H107, "")</f>
        <v>6234.7188264058659</v>
      </c>
      <c r="J107" s="24">
        <v>4.1399999999999997</v>
      </c>
      <c r="K107" s="25">
        <f t="shared" si="52"/>
        <v>1.2224938875305581E-2</v>
      </c>
      <c r="L107" s="94">
        <f>IF(ISNUMBER(J107), $B118 * K107, "")</f>
        <v>1833.7408312958371</v>
      </c>
      <c r="M107" s="92">
        <v>4.13</v>
      </c>
      <c r="N107" s="25">
        <f t="shared" si="53"/>
        <v>9.7799511002445074E-3</v>
      </c>
      <c r="O107" s="94">
        <f>IF(ISNUMBER(M107), $B118 * N107, "")</f>
        <v>1466.992665036676</v>
      </c>
      <c r="Q107" s="170"/>
      <c r="R107" s="171"/>
      <c r="S107" s="172"/>
    </row>
    <row r="108" spans="1:19">
      <c r="A108" s="107" t="s">
        <v>338</v>
      </c>
      <c r="B108" s="108">
        <v>5.05</v>
      </c>
      <c r="C108" s="69">
        <v>-7.8585462000000002E-3</v>
      </c>
      <c r="D108" s="13">
        <v>5.0599999999999996</v>
      </c>
      <c r="E108" s="14">
        <f>IF(ISNUMBER(D108), (D108 - $B108) / $B108, "")</f>
        <v>1.9801980198019382E-3</v>
      </c>
      <c r="F108" s="16">
        <f>IF(ISNUMBER(D108), $B118 * E108, "")</f>
        <v>297.02970297029071</v>
      </c>
      <c r="G108" s="29">
        <v>5.12</v>
      </c>
      <c r="H108" s="14">
        <f>IF(ISNUMBER(G108), (G108 - $B108) / $B108, "")</f>
        <v>1.3861386138613919E-2</v>
      </c>
      <c r="I108" s="90">
        <f>IF(ISNUMBER(G108), $B118 * H108, "")</f>
        <v>2079.2079207920879</v>
      </c>
      <c r="J108" s="13">
        <v>4.96</v>
      </c>
      <c r="K108" s="14">
        <f>IF(ISNUMBER(J108), (J108 - $B108) / $B108, "")</f>
        <v>-1.7821782178217796E-2</v>
      </c>
      <c r="L108" s="16">
        <f>IF(ISNUMBER(J108), $B118 * K108, "")</f>
        <v>-2673.2673267326695</v>
      </c>
      <c r="M108" s="29">
        <v>5</v>
      </c>
      <c r="N108" s="14">
        <f>IF(ISNUMBER(M108), (M108 - $B108) / $B108, "")</f>
        <v>-9.9009900990098664E-3</v>
      </c>
      <c r="O108" s="16">
        <f>IF(ISNUMBER(M108), $B118 * N108, "")</f>
        <v>-1485.1485148514801</v>
      </c>
      <c r="Q108" s="173"/>
      <c r="R108" s="174"/>
      <c r="S108" s="175"/>
    </row>
    <row r="109" spans="1:19" ht="17.25" thickBot="1">
      <c r="A109" s="109" t="s">
        <v>49</v>
      </c>
      <c r="B109" s="110">
        <v>22534000</v>
      </c>
      <c r="C109" s="70">
        <v>-1.2576136E-2</v>
      </c>
      <c r="D109" s="15">
        <v>22537000</v>
      </c>
      <c r="E109" s="32">
        <f t="shared" ref="E109:E112" si="54">IF(ISNUMBER(D109), (D109 - $B109) / $B109, "")</f>
        <v>1.3313215585337713E-4</v>
      </c>
      <c r="F109" s="18">
        <f>IF(ISNUMBER(D109), $B118 * E109, "")</f>
        <v>19.96982337800657</v>
      </c>
      <c r="G109" s="31">
        <v>22558000</v>
      </c>
      <c r="H109" s="32">
        <f t="shared" ref="H109:H112" si="55">IF(ISNUMBER(G109), (G109 - $B109) / $B109, "")</f>
        <v>1.0650572468270171E-3</v>
      </c>
      <c r="I109" s="91">
        <f>IF(ISNUMBER(G109), $B118 * H109, "")</f>
        <v>159.75858702405256</v>
      </c>
      <c r="J109" s="15">
        <v>22548000</v>
      </c>
      <c r="K109" s="32">
        <f t="shared" ref="K109:K112" si="56">IF(ISNUMBER(J109), (J109 - $B109) / $B109, "")</f>
        <v>6.2128339398242658E-4</v>
      </c>
      <c r="L109" s="18">
        <f>IF(ISNUMBER(J109), $B118 * K109, "")</f>
        <v>93.192509097363981</v>
      </c>
      <c r="M109" s="31">
        <v>22623000</v>
      </c>
      <c r="N109" s="32">
        <f t="shared" ref="N109:N112" si="57">IF(ISNUMBER(M109), (M109 - $B109) / $B109, "")</f>
        <v>3.9495872903168548E-3</v>
      </c>
      <c r="O109" s="18">
        <f>IF(ISNUMBER(M109), $B118 * N109, "")</f>
        <v>592.43809354752818</v>
      </c>
      <c r="Q109" s="176"/>
      <c r="R109" s="177"/>
      <c r="S109" s="178"/>
    </row>
    <row r="110" spans="1:19" ht="17.25" thickBot="1">
      <c r="A110" s="109" t="s">
        <v>206</v>
      </c>
      <c r="B110" s="110">
        <v>3.47</v>
      </c>
      <c r="C110" s="70">
        <v>-1.42045455E-2</v>
      </c>
      <c r="D110" s="15">
        <v>3.5</v>
      </c>
      <c r="E110" s="32">
        <f t="shared" si="54"/>
        <v>8.6455331412103181E-3</v>
      </c>
      <c r="F110" s="18">
        <f>IF(ISNUMBER(D110), $B118 * E110, "")</f>
        <v>1296.8299711815478</v>
      </c>
      <c r="G110" s="31">
        <v>3.59</v>
      </c>
      <c r="H110" s="32">
        <f t="shared" si="55"/>
        <v>3.4582132564841397E-2</v>
      </c>
      <c r="I110" s="91">
        <f>IF(ISNUMBER(G110), $B118 * H110, "")</f>
        <v>5187.3198847262092</v>
      </c>
      <c r="J110" s="15">
        <v>3.52</v>
      </c>
      <c r="K110" s="32">
        <f t="shared" si="56"/>
        <v>1.4409221902017239E-2</v>
      </c>
      <c r="L110" s="18">
        <f>IF(ISNUMBER(J110), $B118 * K110, "")</f>
        <v>2161.3832853025856</v>
      </c>
      <c r="M110" s="31">
        <v>3.52</v>
      </c>
      <c r="N110" s="32">
        <f t="shared" si="57"/>
        <v>1.4409221902017239E-2</v>
      </c>
      <c r="O110" s="18">
        <f>IF(ISNUMBER(M110), $B118 * N110, "")</f>
        <v>2161.3832853025856</v>
      </c>
      <c r="Q110" s="161"/>
      <c r="R110" s="161"/>
      <c r="S110" s="161"/>
    </row>
    <row r="111" spans="1:19" ht="17.25" thickBot="1">
      <c r="A111" s="109" t="s">
        <v>122</v>
      </c>
      <c r="B111" s="110">
        <v>25.2</v>
      </c>
      <c r="C111" s="70">
        <v>-1.5625E-2</v>
      </c>
      <c r="D111" s="15">
        <v>25.1</v>
      </c>
      <c r="E111" s="32">
        <f t="shared" si="54"/>
        <v>-3.9682539682538839E-3</v>
      </c>
      <c r="F111" s="18">
        <f>IF(ISNUMBER(D111), $B118 * E111, "")</f>
        <v>-595.23809523808256</v>
      </c>
      <c r="G111" s="31">
        <v>25</v>
      </c>
      <c r="H111" s="32">
        <f t="shared" si="55"/>
        <v>-7.9365079365079083E-3</v>
      </c>
      <c r="I111" s="91">
        <f>IF(ISNUMBER(G111), $B118 * H111, "")</f>
        <v>-1190.4761904761863</v>
      </c>
      <c r="J111" s="15">
        <v>25.1</v>
      </c>
      <c r="K111" s="32">
        <f t="shared" si="56"/>
        <v>-3.9682539682538839E-3</v>
      </c>
      <c r="L111" s="18">
        <f>IF(ISNUMBER(J111), $B118 * K111, "")</f>
        <v>-595.23809523808256</v>
      </c>
      <c r="M111" s="31">
        <v>25.2</v>
      </c>
      <c r="N111" s="32">
        <f t="shared" si="57"/>
        <v>0</v>
      </c>
      <c r="O111" s="18">
        <f>IF(ISNUMBER(M111), $B118 * N111, "")</f>
        <v>0</v>
      </c>
      <c r="Q111" s="156"/>
      <c r="R111" s="156"/>
      <c r="S111" s="156"/>
    </row>
    <row r="112" spans="1:19" ht="17.25" thickBot="1">
      <c r="A112" s="111" t="s">
        <v>236</v>
      </c>
      <c r="B112" s="112">
        <v>2785</v>
      </c>
      <c r="C112" s="71">
        <v>-1.76366843E-2</v>
      </c>
      <c r="D112" s="20">
        <v>2830</v>
      </c>
      <c r="E112" s="21">
        <f t="shared" si="54"/>
        <v>1.615798922800718E-2</v>
      </c>
      <c r="F112" s="22">
        <f>IF(ISNUMBER(D112), $B118 * E112, "")</f>
        <v>2423.6983842010768</v>
      </c>
      <c r="G112" s="30">
        <v>2835</v>
      </c>
      <c r="H112" s="21">
        <f t="shared" si="55"/>
        <v>1.7953321364452424E-2</v>
      </c>
      <c r="I112" s="95">
        <f>IF(ISNUMBER(G112), $B118 * H112, "")</f>
        <v>2692.9982046678638</v>
      </c>
      <c r="J112" s="20">
        <v>2830</v>
      </c>
      <c r="K112" s="21">
        <f t="shared" si="56"/>
        <v>1.615798922800718E-2</v>
      </c>
      <c r="L112" s="22">
        <f>IF(ISNUMBER(J112), $B118 * K112, "")</f>
        <v>2423.6983842010768</v>
      </c>
      <c r="M112" s="30">
        <v>2845</v>
      </c>
      <c r="N112" s="21">
        <f t="shared" si="57"/>
        <v>2.1543985637342909E-2</v>
      </c>
      <c r="O112" s="22">
        <f>IF(ISNUMBER(M112), $B118 * N112, "")</f>
        <v>3231.5978456014363</v>
      </c>
      <c r="Q112" s="156"/>
      <c r="R112" s="156"/>
      <c r="S112" s="156"/>
    </row>
    <row r="113" spans="1:19" ht="17.25" thickBot="1">
      <c r="A113" s="109" t="s">
        <v>95</v>
      </c>
      <c r="B113" s="113">
        <v>1330</v>
      </c>
      <c r="C113" s="73">
        <v>-1.8450184500000001E-2</v>
      </c>
      <c r="D113" s="96">
        <v>1320</v>
      </c>
      <c r="E113" s="97">
        <f>IF(ISNUMBER(D113), (D113 - $B113) / $B113, "")</f>
        <v>-7.5187969924812026E-3</v>
      </c>
      <c r="F113" s="98">
        <f>IF(ISNUMBER(D113), $B118 * E113, "")</f>
        <v>-1127.8195488721803</v>
      </c>
      <c r="G113" s="99">
        <v>1325</v>
      </c>
      <c r="H113" s="97">
        <f>IF(ISNUMBER(G113), (G113 - $B113) / $B113, "")</f>
        <v>-3.7593984962406013E-3</v>
      </c>
      <c r="I113" s="100">
        <f>IF(ISNUMBER(G113), $B118 * H113, "")</f>
        <v>-563.90977443609017</v>
      </c>
      <c r="J113" s="96">
        <v>1315</v>
      </c>
      <c r="K113" s="97">
        <f>IF(ISNUMBER(J113), (J113 - $B113) / $B113, "")</f>
        <v>-1.1278195488721804E-2</v>
      </c>
      <c r="L113" s="98">
        <f>IF(ISNUMBER(J113), $B118 * K113, "")</f>
        <v>-1691.7293233082705</v>
      </c>
      <c r="M113" s="99">
        <v>1325</v>
      </c>
      <c r="N113" s="97">
        <f>IF(ISNUMBER(M113), (M113 - $B113) / $B113, "")</f>
        <v>-3.7593984962406013E-3</v>
      </c>
      <c r="O113" s="98">
        <f>IF(ISNUMBER(M113), $B118 * N113, "")</f>
        <v>-563.90977443609017</v>
      </c>
      <c r="Q113" s="161"/>
      <c r="R113" s="161"/>
      <c r="S113" s="161"/>
    </row>
    <row r="114" spans="1:19" ht="17.25" thickBot="1">
      <c r="A114" s="109" t="s">
        <v>87</v>
      </c>
      <c r="B114" s="110">
        <v>54610</v>
      </c>
      <c r="C114" s="70">
        <v>-2.0096895699999999E-2</v>
      </c>
      <c r="D114" s="15">
        <v>54130</v>
      </c>
      <c r="E114" s="32">
        <f t="shared" ref="E114:E117" si="58">IF(ISNUMBER(D114), (D114 - $B114) / $B114, "")</f>
        <v>-8.7895989745467862E-3</v>
      </c>
      <c r="F114" s="18">
        <f>IF(ISNUMBER(D114), $B118 * E114, "")</f>
        <v>-1318.4398461820178</v>
      </c>
      <c r="G114" s="31">
        <v>54850</v>
      </c>
      <c r="H114" s="32">
        <f t="shared" ref="H114:H117" si="59">IF(ISNUMBER(G114), (G114 - $B114) / $B114, "")</f>
        <v>4.3947994872733931E-3</v>
      </c>
      <c r="I114" s="91">
        <f>IF(ISNUMBER(G114), $B118 * H114, "")</f>
        <v>659.21992309100892</v>
      </c>
      <c r="J114" s="15">
        <v>54880</v>
      </c>
      <c r="K114" s="32">
        <f t="shared" ref="K114:K117" si="60">IF(ISNUMBER(J114), (J114 - $B114) / $B114, "")</f>
        <v>4.9441494231825672E-3</v>
      </c>
      <c r="L114" s="18">
        <f>IF(ISNUMBER(J114), $B118 * K114, "")</f>
        <v>741.62241347738507</v>
      </c>
      <c r="M114" s="31">
        <v>59010</v>
      </c>
      <c r="N114" s="32">
        <f t="shared" ref="N114:N117" si="61">IF(ISNUMBER(M114), (M114 - $B114) / $B114, "")</f>
        <v>8.057132393334554E-2</v>
      </c>
      <c r="O114" s="18">
        <f>IF(ISNUMBER(M114), $B118 * N114, "")</f>
        <v>12085.698590001832</v>
      </c>
      <c r="Q114" s="161"/>
      <c r="R114" s="161"/>
      <c r="S114" s="161"/>
    </row>
    <row r="115" spans="1:19" ht="17.25" thickBot="1">
      <c r="A115" s="109" t="s">
        <v>89</v>
      </c>
      <c r="B115" s="110">
        <v>511</v>
      </c>
      <c r="C115" s="70">
        <v>-2.29445507E-2</v>
      </c>
      <c r="D115" s="15">
        <v>518</v>
      </c>
      <c r="E115" s="32">
        <f t="shared" si="58"/>
        <v>1.3698630136986301E-2</v>
      </c>
      <c r="F115" s="18">
        <f>IF(ISNUMBER(D115), $B118 * E115, "")</f>
        <v>2054.794520547945</v>
      </c>
      <c r="G115" s="31">
        <v>517</v>
      </c>
      <c r="H115" s="32">
        <f t="shared" si="59"/>
        <v>1.1741682974559686E-2</v>
      </c>
      <c r="I115" s="91">
        <f>IF(ISNUMBER(G115), $B118 * H115, "")</f>
        <v>1761.252446183953</v>
      </c>
      <c r="J115" s="15">
        <v>518</v>
      </c>
      <c r="K115" s="32">
        <f t="shared" si="60"/>
        <v>1.3698630136986301E-2</v>
      </c>
      <c r="L115" s="18">
        <f>IF(ISNUMBER(J115), $B118 * K115, "")</f>
        <v>2054.794520547945</v>
      </c>
      <c r="M115" s="31">
        <v>520</v>
      </c>
      <c r="N115" s="32">
        <f t="shared" si="61"/>
        <v>1.7612524461839529E-2</v>
      </c>
      <c r="O115" s="18">
        <f>IF(ISNUMBER(M115), $B118 * N115, "")</f>
        <v>2641.8786692759295</v>
      </c>
      <c r="Q115" s="161"/>
      <c r="R115" s="161"/>
      <c r="S115" s="161"/>
    </row>
    <row r="116" spans="1:19">
      <c r="A116" s="109" t="s">
        <v>200</v>
      </c>
      <c r="B116" s="110">
        <v>6.79</v>
      </c>
      <c r="C116" s="70">
        <v>-2.3021582700000001E-2</v>
      </c>
      <c r="D116" s="15">
        <v>6.9</v>
      </c>
      <c r="E116" s="32">
        <f t="shared" si="58"/>
        <v>1.6200294550810061E-2</v>
      </c>
      <c r="F116" s="18">
        <f>IF(ISNUMBER(D116), $B118 * E116, "")</f>
        <v>2430.0441826215092</v>
      </c>
      <c r="G116" s="31">
        <v>7</v>
      </c>
      <c r="H116" s="32">
        <f t="shared" si="59"/>
        <v>3.0927835051546386E-2</v>
      </c>
      <c r="I116" s="91">
        <f>IF(ISNUMBER(G116), $B118 * H116, "")</f>
        <v>4639.1752577319576</v>
      </c>
      <c r="J116" s="15">
        <v>6.85</v>
      </c>
      <c r="K116" s="32">
        <f t="shared" si="60"/>
        <v>8.8365243004417688E-3</v>
      </c>
      <c r="L116" s="18">
        <f>IF(ISNUMBER(J116), $B118 * K116, "")</f>
        <v>1325.4786450662652</v>
      </c>
      <c r="M116" s="31">
        <v>6.89</v>
      </c>
      <c r="N116" s="32">
        <f t="shared" si="61"/>
        <v>1.4727540500736325E-2</v>
      </c>
      <c r="O116" s="18">
        <f>IF(ISNUMBER(M116), $B118 * N116, "")</f>
        <v>2209.1310751104488</v>
      </c>
      <c r="Q116" s="183"/>
      <c r="R116" s="184"/>
      <c r="S116" s="185"/>
    </row>
    <row r="117" spans="1:19" ht="17.25" thickBot="1">
      <c r="A117" s="114" t="s">
        <v>176</v>
      </c>
      <c r="B117" s="115">
        <v>339</v>
      </c>
      <c r="C117" s="72">
        <v>-2.3054755E-2</v>
      </c>
      <c r="D117" s="24">
        <v>336</v>
      </c>
      <c r="E117" s="25">
        <f t="shared" si="58"/>
        <v>-8.8495575221238937E-3</v>
      </c>
      <c r="F117" s="94">
        <f>IF(ISNUMBER(D117), $B118 * E117, "")</f>
        <v>-1327.4336283185839</v>
      </c>
      <c r="G117" s="92">
        <v>340</v>
      </c>
      <c r="H117" s="25">
        <f t="shared" si="59"/>
        <v>2.9498525073746312E-3</v>
      </c>
      <c r="I117" s="93">
        <f>IF(ISNUMBER(G117), $B118 * H117, "")</f>
        <v>442.47787610619469</v>
      </c>
      <c r="J117" s="24">
        <v>336</v>
      </c>
      <c r="K117" s="25">
        <f t="shared" si="60"/>
        <v>-8.8495575221238937E-3</v>
      </c>
      <c r="L117" s="94">
        <f>IF(ISNUMBER(J117), $B118 * K117, "")</f>
        <v>-1327.4336283185839</v>
      </c>
      <c r="M117" s="92">
        <v>339</v>
      </c>
      <c r="N117" s="25">
        <f t="shared" si="61"/>
        <v>0</v>
      </c>
      <c r="O117" s="94">
        <f>IF(ISNUMBER(M117), $B118 * N117, "")</f>
        <v>0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-6.887072265491098E-3</v>
      </c>
      <c r="F118" s="28">
        <f>SUM(F98:F117)</f>
        <v>-20661.21679647328</v>
      </c>
      <c r="G118" s="26" t="s">
        <v>261</v>
      </c>
      <c r="H118" s="27">
        <f>IF(COUNT(H98:H117), SUM(H98:H117) / COUNT(H98:H117), 0)</f>
        <v>6.2397746430462395E-3</v>
      </c>
      <c r="I118" s="28">
        <f>SUM(I98:I117)</f>
        <v>18719.323929138718</v>
      </c>
      <c r="J118" s="26" t="s">
        <v>261</v>
      </c>
      <c r="K118" s="27">
        <f>IF(COUNT(K98:K117), SUM(K98:K117) / COUNT(K98:K117), 0)</f>
        <v>-4.1346072420624849E-3</v>
      </c>
      <c r="L118" s="28">
        <f>SUM(L98:L117)</f>
        <v>-12403.821726187458</v>
      </c>
      <c r="M118" s="26" t="s">
        <v>261</v>
      </c>
      <c r="N118" s="27">
        <f>IF(COUNT(N98:N117), SUM(N98:N117) / COUNT(N98:N117), 0)</f>
        <v>1.9416384150660645E-3</v>
      </c>
      <c r="O118" s="28">
        <f>SUM(O98:O117)</f>
        <v>5824.9152451981918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2022-12-08(목) 오전 00:00</v>
      </c>
      <c r="C123" s="199"/>
      <c r="D123" s="158" t="str">
        <f>TEXT($G$1, "[$-ko-KR]yyyy-mm-dd(ddd) ") &amp; "오후 14:00"</f>
        <v>2022-12-08(목) 오후 14:00</v>
      </c>
      <c r="E123" s="159"/>
      <c r="F123" s="160"/>
      <c r="G123" s="158" t="str">
        <f>TEXT($G$1, "[$-ko-KR]yyyy-mm-dd(ddd) ") &amp; "오후 19:00"</f>
        <v>2022-12-08(목) 오후 19:00</v>
      </c>
      <c r="H123" s="159"/>
      <c r="I123" s="160"/>
      <c r="J123" s="158" t="str">
        <f>TEXT($G$1, "[$-ko-KR]yyyy-mm-dd(ddd) ") &amp; "오후 21:00"</f>
        <v>2022-12-08(목) 오후 21:00</v>
      </c>
      <c r="K123" s="159"/>
      <c r="L123" s="160"/>
      <c r="M123" s="158" t="str">
        <f>TEXT($G$1+1, "[$-ko-KR]yyyy-mm-dd(ddd) ") &amp; "오전 00:00"</f>
        <v>2022-12-09(금)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210</v>
      </c>
      <c r="B125" s="108">
        <v>65.2</v>
      </c>
      <c r="C125" s="69">
        <v>-2.9761904799999999E-2</v>
      </c>
      <c r="D125" s="13">
        <v>64.2</v>
      </c>
      <c r="E125" s="14">
        <f>IF(ISNUMBER(D125), (D125 - $B125) / $B125, "")</f>
        <v>-1.5337423312883436E-2</v>
      </c>
      <c r="F125" s="16">
        <f>IF(ISNUMBER(D125), $B145 * E125, "")</f>
        <v>-2300.6134969325153</v>
      </c>
      <c r="G125" s="29">
        <v>64.3</v>
      </c>
      <c r="H125" s="14">
        <f>IF(ISNUMBER(G125), (G125 - $B125) / $B125, "")</f>
        <v>-1.3803680981595179E-2</v>
      </c>
      <c r="I125" s="90">
        <f>IF(ISNUMBER(G125), $B145 * H125, "")</f>
        <v>-2070.552147239277</v>
      </c>
      <c r="J125" s="13">
        <v>63.9</v>
      </c>
      <c r="K125" s="14">
        <f>IF(ISNUMBER(J125), (J125 - $B125) / $B125, "")</f>
        <v>-1.9938650306748532E-2</v>
      </c>
      <c r="L125" s="16">
        <f>IF(ISNUMBER(J125), $B145 * K125, "")</f>
        <v>-2990.7975460122798</v>
      </c>
      <c r="M125" s="29">
        <v>64.2</v>
      </c>
      <c r="N125" s="14">
        <f>IF(ISNUMBER(M125), (M125 - $B125) / $B125, "")</f>
        <v>-1.5337423312883436E-2</v>
      </c>
      <c r="O125" s="16">
        <f>IF(ISNUMBER(M125), $B145 * N125, "")</f>
        <v>-2300.6134969325153</v>
      </c>
      <c r="Q125" s="156"/>
      <c r="R125" s="156"/>
      <c r="S125" s="156"/>
    </row>
    <row r="126" spans="1:19" ht="17.25" thickBot="1">
      <c r="A126" s="109" t="s">
        <v>195</v>
      </c>
      <c r="B126" s="110">
        <v>6.58</v>
      </c>
      <c r="C126" s="70">
        <v>-3.0927835099999999E-2</v>
      </c>
      <c r="D126" s="15">
        <v>6.61</v>
      </c>
      <c r="E126" s="32">
        <f t="shared" ref="E126:E129" si="62">IF(ISNUMBER(D126), (D126 - $B126) / $B126, "")</f>
        <v>4.5592705167173632E-3</v>
      </c>
      <c r="F126" s="18">
        <f>IF(ISNUMBER(D126), $B145 * E126, "")</f>
        <v>683.89057750760446</v>
      </c>
      <c r="G126" s="31">
        <v>6.72</v>
      </c>
      <c r="H126" s="32">
        <f t="shared" ref="H126:H129" si="63">IF(ISNUMBER(G126), (G126 - $B126) / $B126, "")</f>
        <v>2.1276595744680802E-2</v>
      </c>
      <c r="I126" s="91">
        <f>IF(ISNUMBER(G126), $B145 * H126, "")</f>
        <v>3191.4893617021203</v>
      </c>
      <c r="J126" s="15">
        <v>6.63</v>
      </c>
      <c r="K126" s="32">
        <f t="shared" ref="K126:K129" si="64">IF(ISNUMBER(J126), (J126 - $B126) / $B126, "")</f>
        <v>7.5987841945288487E-3</v>
      </c>
      <c r="L126" s="18">
        <f>IF(ISNUMBER(J126), $B145 * K126, "")</f>
        <v>1139.8176291793272</v>
      </c>
      <c r="M126" s="31">
        <v>6.62</v>
      </c>
      <c r="N126" s="32">
        <f t="shared" ref="N126:N129" si="65">IF(ISNUMBER(M126), (M126 - $B126) / $B126, "")</f>
        <v>6.0790273556231055E-3</v>
      </c>
      <c r="O126" s="18">
        <f>IF(ISNUMBER(M126), $B145 * N126, "")</f>
        <v>911.85410334346579</v>
      </c>
      <c r="Q126" s="156"/>
      <c r="R126" s="156"/>
      <c r="S126" s="156"/>
    </row>
    <row r="127" spans="1:19" ht="17.25" thickBot="1">
      <c r="A127" s="109" t="s">
        <v>335</v>
      </c>
      <c r="B127" s="110">
        <v>3.8399999999999997E-2</v>
      </c>
      <c r="C127" s="70">
        <v>-3.2745591900000003E-2</v>
      </c>
      <c r="D127" s="15">
        <v>3.85E-2</v>
      </c>
      <c r="E127" s="32">
        <f t="shared" si="62"/>
        <v>2.6041666666667415E-3</v>
      </c>
      <c r="F127" s="18">
        <f>IF(ISNUMBER(D127), $B145 * E127, "")</f>
        <v>390.62500000001125</v>
      </c>
      <c r="G127" s="31">
        <v>3.8600000000000002E-2</v>
      </c>
      <c r="H127" s="32">
        <f t="shared" si="63"/>
        <v>5.2083333333334831E-3</v>
      </c>
      <c r="I127" s="91">
        <f>IF(ISNUMBER(G127), $B145 * H127, "")</f>
        <v>781.25000000002251</v>
      </c>
      <c r="J127" s="15">
        <v>3.8600000000000002E-2</v>
      </c>
      <c r="K127" s="32">
        <f t="shared" si="64"/>
        <v>5.2083333333334831E-3</v>
      </c>
      <c r="L127" s="18">
        <f>IF(ISNUMBER(J127), $B145 * K127, "")</f>
        <v>781.25000000002251</v>
      </c>
      <c r="M127" s="31">
        <v>3.8899999999999997E-2</v>
      </c>
      <c r="N127" s="32">
        <f t="shared" si="65"/>
        <v>1.3020833333333346E-2</v>
      </c>
      <c r="O127" s="18">
        <f>IF(ISNUMBER(M127), $B145 * N127, "")</f>
        <v>1953.1250000000018</v>
      </c>
      <c r="Q127" s="161"/>
      <c r="R127" s="161"/>
      <c r="S127" s="161"/>
    </row>
    <row r="128" spans="1:19" ht="17.25" thickBot="1">
      <c r="A128" s="109" t="s">
        <v>228</v>
      </c>
      <c r="B128" s="110">
        <v>63.3</v>
      </c>
      <c r="C128" s="70">
        <v>-3.3587786299999998E-2</v>
      </c>
      <c r="D128" s="15">
        <v>64.099999999999994</v>
      </c>
      <c r="E128" s="32">
        <f t="shared" si="62"/>
        <v>1.2638230647709277E-2</v>
      </c>
      <c r="F128" s="18">
        <f>IF(ISNUMBER(D128), $B145 * E128, "")</f>
        <v>1895.7345971563916</v>
      </c>
      <c r="G128" s="31">
        <v>64.400000000000006</v>
      </c>
      <c r="H128" s="32">
        <f t="shared" si="63"/>
        <v>1.7377567140600451E-2</v>
      </c>
      <c r="I128" s="91">
        <f>IF(ISNUMBER(G128), $B145 * H128, "")</f>
        <v>2606.6350710900679</v>
      </c>
      <c r="J128" s="15">
        <v>63.9</v>
      </c>
      <c r="K128" s="32">
        <f t="shared" si="64"/>
        <v>9.4786729857820138E-3</v>
      </c>
      <c r="L128" s="18">
        <f>IF(ISNUMBER(J128), $B145 * K128, "")</f>
        <v>1421.8009478673021</v>
      </c>
      <c r="M128" s="31">
        <v>64.400000000000006</v>
      </c>
      <c r="N128" s="32">
        <f t="shared" si="65"/>
        <v>1.7377567140600451E-2</v>
      </c>
      <c r="O128" s="18">
        <f>IF(ISNUMBER(M128), $B145 * N128, "")</f>
        <v>2606.6350710900679</v>
      </c>
      <c r="Q128" s="161"/>
      <c r="R128" s="161"/>
      <c r="S128" s="161"/>
    </row>
    <row r="129" spans="1:19" ht="17.25" thickBot="1">
      <c r="A129" s="111" t="s">
        <v>212</v>
      </c>
      <c r="B129" s="112">
        <v>84.7</v>
      </c>
      <c r="C129" s="71">
        <v>-3.4207525699999998E-2</v>
      </c>
      <c r="D129" s="20">
        <v>83.9</v>
      </c>
      <c r="E129" s="21">
        <f t="shared" si="62"/>
        <v>-9.4451003541912298E-3</v>
      </c>
      <c r="F129" s="22">
        <f>IF(ISNUMBER(D129), $B145 * E129, "")</f>
        <v>-1416.7650531286845</v>
      </c>
      <c r="G129" s="30">
        <v>84.8</v>
      </c>
      <c r="H129" s="21">
        <f t="shared" si="63"/>
        <v>1.1806375442738408E-3</v>
      </c>
      <c r="I129" s="95">
        <f>IF(ISNUMBER(G129), $B145 * H129, "")</f>
        <v>177.09563164107612</v>
      </c>
      <c r="J129" s="20">
        <v>84.2</v>
      </c>
      <c r="K129" s="21">
        <f t="shared" si="64"/>
        <v>-5.9031877213695395E-3</v>
      </c>
      <c r="L129" s="22">
        <f>IF(ISNUMBER(J129), $B145 * K129, "")</f>
        <v>-885.47815820543087</v>
      </c>
      <c r="M129" s="30">
        <v>85</v>
      </c>
      <c r="N129" s="21">
        <f t="shared" si="65"/>
        <v>3.5419126328216899E-3</v>
      </c>
      <c r="O129" s="22">
        <f>IF(ISNUMBER(M129), $B145 * N129, "")</f>
        <v>531.2868949232535</v>
      </c>
      <c r="Q129" s="161"/>
      <c r="R129" s="161"/>
      <c r="S129" s="161"/>
    </row>
    <row r="130" spans="1:19" ht="17.25" thickBot="1">
      <c r="A130" s="109" t="s">
        <v>336</v>
      </c>
      <c r="B130" s="113">
        <v>85.7</v>
      </c>
      <c r="C130" s="73">
        <v>-3.5995500600000001E-2</v>
      </c>
      <c r="D130" s="96">
        <v>84.2</v>
      </c>
      <c r="E130" s="97">
        <f>IF(ISNUMBER(D130), (D130 - $B130) / $B130, "")</f>
        <v>-1.7502917152858809E-2</v>
      </c>
      <c r="F130" s="98">
        <f>IF(ISNUMBER(D130), $B145 * E130, "")</f>
        <v>-2625.4375729288213</v>
      </c>
      <c r="G130" s="99">
        <v>84.8</v>
      </c>
      <c r="H130" s="97">
        <f>IF(ISNUMBER(G130), (G130 - $B130) / $B130, "")</f>
        <v>-1.0501750291715352E-2</v>
      </c>
      <c r="I130" s="100">
        <f>IF(ISNUMBER(G130), $B145 * H130, "")</f>
        <v>-1575.2625437573029</v>
      </c>
      <c r="J130" s="96">
        <v>84.3</v>
      </c>
      <c r="K130" s="97">
        <f>IF(ISNUMBER(J130), (J130 - $B130) / $B130, "")</f>
        <v>-1.6336056009334955E-2</v>
      </c>
      <c r="L130" s="98">
        <f>IF(ISNUMBER(J130), $B145 * K130, "")</f>
        <v>-2450.4084014002433</v>
      </c>
      <c r="M130" s="99">
        <v>84.7</v>
      </c>
      <c r="N130" s="97">
        <f>IF(ISNUMBER(M130), (M130 - $B130) / $B130, "")</f>
        <v>-1.1668611435239206E-2</v>
      </c>
      <c r="O130" s="98">
        <f>IF(ISNUMBER(M130), $B145 * N130, "")</f>
        <v>-1750.2917152858809</v>
      </c>
      <c r="Q130" s="161"/>
      <c r="R130" s="161"/>
      <c r="S130" s="161"/>
    </row>
    <row r="131" spans="1:19" ht="17.25" thickBot="1">
      <c r="A131" s="109" t="s">
        <v>132</v>
      </c>
      <c r="B131" s="110">
        <v>58.2</v>
      </c>
      <c r="C131" s="70">
        <v>-3.64238411E-2</v>
      </c>
      <c r="D131" s="15">
        <v>57.8</v>
      </c>
      <c r="E131" s="32">
        <f t="shared" ref="E131:E134" si="66">IF(ISNUMBER(D131), (D131 - $B131) / $B131, "")</f>
        <v>-6.872852233677073E-3</v>
      </c>
      <c r="F131" s="18">
        <f>IF(ISNUMBER(D131), $B145 * E131, "")</f>
        <v>-1030.927835051561</v>
      </c>
      <c r="G131" s="31">
        <v>58</v>
      </c>
      <c r="H131" s="32">
        <f t="shared" ref="H131:H134" si="67">IF(ISNUMBER(G131), (G131 - $B131) / $B131, "")</f>
        <v>-3.4364261168385365E-3</v>
      </c>
      <c r="I131" s="91">
        <f>IF(ISNUMBER(G131), $B145 * H131, "")</f>
        <v>-515.46391752578052</v>
      </c>
      <c r="J131" s="15">
        <v>57.8</v>
      </c>
      <c r="K131" s="32">
        <f t="shared" ref="K131:K134" si="68">IF(ISNUMBER(J131), (J131 - $B131) / $B131, "")</f>
        <v>-6.872852233677073E-3</v>
      </c>
      <c r="L131" s="18">
        <f>IF(ISNUMBER(J131), $B145 * K131, "")</f>
        <v>-1030.927835051561</v>
      </c>
      <c r="M131" s="31">
        <v>57.9</v>
      </c>
      <c r="N131" s="32">
        <f t="shared" ref="N131:N134" si="69">IF(ISNUMBER(M131), (M131 - $B131) / $B131, "")</f>
        <v>-5.1546391752578047E-3</v>
      </c>
      <c r="O131" s="18">
        <f>IF(ISNUMBER(M131), $B145 * N131, "")</f>
        <v>-773.19587628867066</v>
      </c>
      <c r="Q131" s="161"/>
      <c r="R131" s="161"/>
      <c r="S131" s="161"/>
    </row>
    <row r="132" spans="1:19" ht="17.25" thickBot="1">
      <c r="A132" s="109" t="s">
        <v>185</v>
      </c>
      <c r="B132" s="110">
        <v>31.7</v>
      </c>
      <c r="C132" s="70">
        <v>-3.6474164099999998E-2</v>
      </c>
      <c r="D132" s="15">
        <v>31.3</v>
      </c>
      <c r="E132" s="32">
        <f t="shared" si="66"/>
        <v>-1.2618296529968411E-2</v>
      </c>
      <c r="F132" s="18">
        <f>IF(ISNUMBER(D132), $B145 * E132, "")</f>
        <v>-1892.7444794952617</v>
      </c>
      <c r="G132" s="31">
        <v>31.6</v>
      </c>
      <c r="H132" s="32">
        <f t="shared" si="67"/>
        <v>-3.1545741324920462E-3</v>
      </c>
      <c r="I132" s="91">
        <f>IF(ISNUMBER(G132), $B145 * H132, "")</f>
        <v>-473.18611987380694</v>
      </c>
      <c r="J132" s="15">
        <v>31.9</v>
      </c>
      <c r="K132" s="32">
        <f t="shared" si="68"/>
        <v>6.3091482649842053E-3</v>
      </c>
      <c r="L132" s="18">
        <f>IF(ISNUMBER(J132), $B145 * K132, "")</f>
        <v>946.37223974763083</v>
      </c>
      <c r="M132" s="31">
        <v>31.8</v>
      </c>
      <c r="N132" s="32">
        <f t="shared" si="69"/>
        <v>3.1545741324921586E-3</v>
      </c>
      <c r="O132" s="18">
        <f>IF(ISNUMBER(M132), $B145 * N132, "")</f>
        <v>473.18611987382377</v>
      </c>
      <c r="Q132" s="161"/>
      <c r="R132" s="161"/>
      <c r="S132" s="161"/>
    </row>
    <row r="133" spans="1:19" ht="17.25" thickBot="1">
      <c r="A133" s="109" t="s">
        <v>326</v>
      </c>
      <c r="B133" s="110">
        <v>23.7</v>
      </c>
      <c r="C133" s="70">
        <v>-3.65853659E-2</v>
      </c>
      <c r="D133" s="15">
        <v>23.8</v>
      </c>
      <c r="E133" s="32">
        <f t="shared" si="66"/>
        <v>4.2194092827004823E-3</v>
      </c>
      <c r="F133" s="18">
        <f>IF(ISNUMBER(D133), $B145 * E133, "")</f>
        <v>632.91139240507232</v>
      </c>
      <c r="G133" s="31">
        <v>23.7</v>
      </c>
      <c r="H133" s="32">
        <f t="shared" si="67"/>
        <v>0</v>
      </c>
      <c r="I133" s="91">
        <f>IF(ISNUMBER(G133), $B145 * H133, "")</f>
        <v>0</v>
      </c>
      <c r="J133" s="15">
        <v>23.6</v>
      </c>
      <c r="K133" s="32">
        <f t="shared" si="68"/>
        <v>-4.2194092827003322E-3</v>
      </c>
      <c r="L133" s="18">
        <f>IF(ISNUMBER(J133), $B145 * K133, "")</f>
        <v>-632.91139240504981</v>
      </c>
      <c r="M133" s="31">
        <v>23.6</v>
      </c>
      <c r="N133" s="32">
        <f t="shared" si="69"/>
        <v>-4.2194092827003322E-3</v>
      </c>
      <c r="O133" s="18">
        <f>IF(ISNUMBER(M133), $B145 * N133, "")</f>
        <v>-632.91139240504981</v>
      </c>
      <c r="Q133" s="33"/>
      <c r="R133" s="33"/>
    </row>
    <row r="134" spans="1:19" ht="17.25" thickBot="1">
      <c r="A134" s="114" t="s">
        <v>138</v>
      </c>
      <c r="B134" s="115">
        <v>27.8</v>
      </c>
      <c r="C134" s="72">
        <v>-3.8062283699999998E-2</v>
      </c>
      <c r="D134" s="24">
        <v>27.7</v>
      </c>
      <c r="E134" s="25">
        <f t="shared" si="66"/>
        <v>-3.5971223021583243E-3</v>
      </c>
      <c r="F134" s="94">
        <f>IF(ISNUMBER(D134), $B145 * E134, "")</f>
        <v>-539.56834532374864</v>
      </c>
      <c r="G134" s="92">
        <v>28.1</v>
      </c>
      <c r="H134" s="25">
        <f t="shared" si="67"/>
        <v>1.0791366906474845E-2</v>
      </c>
      <c r="I134" s="93">
        <f>IF(ISNUMBER(G134), $B145 * H134, "")</f>
        <v>1618.7050359712268</v>
      </c>
      <c r="J134" s="24">
        <v>27.9</v>
      </c>
      <c r="K134" s="25">
        <f t="shared" si="68"/>
        <v>3.5971223021581968E-3</v>
      </c>
      <c r="L134" s="94">
        <f>IF(ISNUMBER(J134), $B145 * K134, "")</f>
        <v>539.56834532372955</v>
      </c>
      <c r="M134" s="92">
        <v>27.9</v>
      </c>
      <c r="N134" s="25">
        <f t="shared" si="69"/>
        <v>3.5971223021581968E-3</v>
      </c>
      <c r="O134" s="94">
        <f>IF(ISNUMBER(M134), $B145 * N134, "")</f>
        <v>539.56834532372955</v>
      </c>
      <c r="Q134" s="170"/>
      <c r="R134" s="171"/>
      <c r="S134" s="172"/>
    </row>
    <row r="135" spans="1:19">
      <c r="A135" s="107" t="s">
        <v>124</v>
      </c>
      <c r="B135" s="108">
        <v>32.4</v>
      </c>
      <c r="C135" s="69">
        <v>-3.8575667700000003E-2</v>
      </c>
      <c r="D135" s="13">
        <v>32.4</v>
      </c>
      <c r="E135" s="14">
        <f>IF(ISNUMBER(D135), (D135 - $B135) / $B135, "")</f>
        <v>0</v>
      </c>
      <c r="F135" s="16">
        <f>IF(ISNUMBER(D135), $B145 * E135, "")</f>
        <v>0</v>
      </c>
      <c r="G135" s="29">
        <v>32.700000000000003</v>
      </c>
      <c r="H135" s="14">
        <f>IF(ISNUMBER(G135), (G135 - $B135) / $B135, "")</f>
        <v>9.2592592592593906E-3</v>
      </c>
      <c r="I135" s="90">
        <f>IF(ISNUMBER(G135), $B145 * H135, "")</f>
        <v>1388.8888888889087</v>
      </c>
      <c r="J135" s="13">
        <v>32.6</v>
      </c>
      <c r="K135" s="14">
        <f>IF(ISNUMBER(J135), (J135 - $B135) / $B135, "")</f>
        <v>6.1728395061729276E-3</v>
      </c>
      <c r="L135" s="16">
        <f>IF(ISNUMBER(J135), $B145 * K135, "")</f>
        <v>925.92592592593917</v>
      </c>
      <c r="M135" s="29">
        <v>32.799999999999997</v>
      </c>
      <c r="N135" s="14">
        <f>IF(ISNUMBER(M135), (M135 - $B135) / $B135, "")</f>
        <v>1.2345679012345635E-2</v>
      </c>
      <c r="O135" s="16">
        <f>IF(ISNUMBER(M135), $B145 * N135, "")</f>
        <v>1851.8518518518451</v>
      </c>
      <c r="Q135" s="173"/>
      <c r="R135" s="174"/>
      <c r="S135" s="175"/>
    </row>
    <row r="136" spans="1:19" ht="17.25" thickBot="1">
      <c r="A136" s="109" t="s">
        <v>193</v>
      </c>
      <c r="B136" s="110">
        <v>19.3</v>
      </c>
      <c r="C136" s="70">
        <v>-3.9800994999999999E-2</v>
      </c>
      <c r="D136" s="15">
        <v>19.5</v>
      </c>
      <c r="E136" s="32">
        <f t="shared" ref="E136:E139" si="70">IF(ISNUMBER(D136), (D136 - $B136) / $B136, "")</f>
        <v>1.0362694300518097E-2</v>
      </c>
      <c r="F136" s="18">
        <f>IF(ISNUMBER(D136), $B145 * E136, "")</f>
        <v>1554.4041450777145</v>
      </c>
      <c r="G136" s="31">
        <v>19.600000000000001</v>
      </c>
      <c r="H136" s="32">
        <f t="shared" ref="H136:H139" si="71">IF(ISNUMBER(G136), (G136 - $B136) / $B136, "")</f>
        <v>1.5544041450777238E-2</v>
      </c>
      <c r="I136" s="91">
        <f>IF(ISNUMBER(G136), $B145 * H136, "")</f>
        <v>2331.6062176165856</v>
      </c>
      <c r="J136" s="15">
        <v>19.5</v>
      </c>
      <c r="K136" s="32">
        <f t="shared" ref="K136:K139" si="72">IF(ISNUMBER(J136), (J136 - $B136) / $B136, "")</f>
        <v>1.0362694300518097E-2</v>
      </c>
      <c r="L136" s="18">
        <f>IF(ISNUMBER(J136), $B145 * K136, "")</f>
        <v>1554.4041450777145</v>
      </c>
      <c r="M136" s="31">
        <v>19.5</v>
      </c>
      <c r="N136" s="32">
        <f t="shared" ref="N136:N139" si="73">IF(ISNUMBER(M136), (M136 - $B136) / $B136, "")</f>
        <v>1.0362694300518097E-2</v>
      </c>
      <c r="O136" s="18">
        <f>IF(ISNUMBER(M136), $B145 * N136, "")</f>
        <v>1554.4041450777145</v>
      </c>
      <c r="Q136" s="176"/>
      <c r="R136" s="177"/>
      <c r="S136" s="178"/>
    </row>
    <row r="137" spans="1:19" ht="17.25" thickBot="1">
      <c r="A137" s="109" t="s">
        <v>244</v>
      </c>
      <c r="B137" s="110">
        <v>99.4</v>
      </c>
      <c r="C137" s="70">
        <v>-4.4230769199999999E-2</v>
      </c>
      <c r="D137" s="15">
        <v>98.7</v>
      </c>
      <c r="E137" s="32">
        <f t="shared" si="70"/>
        <v>-7.0422535211267885E-3</v>
      </c>
      <c r="F137" s="18">
        <f>IF(ISNUMBER(D137), $B145 * E137, "")</f>
        <v>-1056.3380281690183</v>
      </c>
      <c r="G137" s="31">
        <v>99.9</v>
      </c>
      <c r="H137" s="32">
        <f t="shared" si="71"/>
        <v>5.0301810865191147E-3</v>
      </c>
      <c r="I137" s="91">
        <f>IF(ISNUMBER(G137), $B145 * H137, "")</f>
        <v>754.52716297786719</v>
      </c>
      <c r="J137" s="15">
        <v>99.6</v>
      </c>
      <c r="K137" s="32">
        <f t="shared" si="72"/>
        <v>2.0120724346075316E-3</v>
      </c>
      <c r="L137" s="18">
        <f>IF(ISNUMBER(J137), $B145 * K137, "")</f>
        <v>301.81086519112972</v>
      </c>
      <c r="M137" s="31">
        <v>101</v>
      </c>
      <c r="N137" s="32">
        <f t="shared" si="73"/>
        <v>1.6096579476861109E-2</v>
      </c>
      <c r="O137" s="18">
        <f>IF(ISNUMBER(M137), $B145 * N137, "")</f>
        <v>2414.4869215291665</v>
      </c>
      <c r="Q137" s="161"/>
      <c r="R137" s="161"/>
      <c r="S137" s="161"/>
    </row>
    <row r="138" spans="1:19" ht="17.25" thickBot="1">
      <c r="A138" s="109" t="s">
        <v>220</v>
      </c>
      <c r="B138" s="110">
        <v>75.599999999999994</v>
      </c>
      <c r="C138" s="70">
        <v>-4.5454545499999999E-2</v>
      </c>
      <c r="D138" s="15">
        <v>75.2</v>
      </c>
      <c r="E138" s="32">
        <f t="shared" si="70"/>
        <v>-5.2910052910051788E-3</v>
      </c>
      <c r="F138" s="18">
        <f>IF(ISNUMBER(D138), $B145 * E138, "")</f>
        <v>-793.65079365077679</v>
      </c>
      <c r="G138" s="31">
        <v>75.099999999999994</v>
      </c>
      <c r="H138" s="32">
        <f t="shared" si="71"/>
        <v>-6.6137566137566143E-3</v>
      </c>
      <c r="I138" s="91">
        <f>IF(ISNUMBER(G138), $B145 * H138, "")</f>
        <v>-992.06349206349216</v>
      </c>
      <c r="J138" s="15">
        <v>74.8</v>
      </c>
      <c r="K138" s="32">
        <f t="shared" si="72"/>
        <v>-1.0582010582010545E-2</v>
      </c>
      <c r="L138" s="18">
        <f>IF(ISNUMBER(J138), $B145 * K138, "")</f>
        <v>-1587.3015873015818</v>
      </c>
      <c r="M138" s="31">
        <v>75.3</v>
      </c>
      <c r="N138" s="32">
        <f t="shared" si="73"/>
        <v>-3.9682539682539307E-3</v>
      </c>
      <c r="O138" s="18">
        <f>IF(ISNUMBER(M138), $B145 * N138, "")</f>
        <v>-595.23809523808961</v>
      </c>
      <c r="Q138" s="156"/>
      <c r="R138" s="156"/>
      <c r="S138" s="156"/>
    </row>
    <row r="139" spans="1:19" ht="17.25" thickBot="1">
      <c r="A139" s="111" t="s">
        <v>224</v>
      </c>
      <c r="B139" s="112">
        <v>20.6</v>
      </c>
      <c r="C139" s="71">
        <v>-4.6296296299999998E-2</v>
      </c>
      <c r="D139" s="20">
        <v>20.9</v>
      </c>
      <c r="E139" s="21">
        <f t="shared" si="70"/>
        <v>1.4563106796116367E-2</v>
      </c>
      <c r="F139" s="22">
        <f>IF(ISNUMBER(D139), $B145 * E139, "")</f>
        <v>2184.4660194174548</v>
      </c>
      <c r="G139" s="30">
        <v>21.3</v>
      </c>
      <c r="H139" s="21">
        <f t="shared" si="71"/>
        <v>3.3980582524271809E-2</v>
      </c>
      <c r="I139" s="95">
        <f>IF(ISNUMBER(G139), $B145 * H139, "")</f>
        <v>5097.087378640771</v>
      </c>
      <c r="J139" s="20">
        <v>21</v>
      </c>
      <c r="K139" s="21">
        <f t="shared" si="72"/>
        <v>1.9417475728155269E-2</v>
      </c>
      <c r="L139" s="22">
        <f>IF(ISNUMBER(J139), $B145 * K139, "")</f>
        <v>2912.6213592232903</v>
      </c>
      <c r="M139" s="30">
        <v>21.2</v>
      </c>
      <c r="N139" s="21">
        <f t="shared" si="73"/>
        <v>2.9126213592232903E-2</v>
      </c>
      <c r="O139" s="22">
        <f>IF(ISNUMBER(M139), $B145 * N139, "")</f>
        <v>4368.9320388349352</v>
      </c>
      <c r="Q139" s="156"/>
      <c r="R139" s="156"/>
      <c r="S139" s="156"/>
    </row>
    <row r="140" spans="1:19" ht="17.25" thickBot="1">
      <c r="A140" s="109" t="s">
        <v>230</v>
      </c>
      <c r="B140" s="113">
        <v>40.1</v>
      </c>
      <c r="C140" s="73">
        <v>-4.75059382E-2</v>
      </c>
      <c r="D140" s="96">
        <v>40.4</v>
      </c>
      <c r="E140" s="97">
        <f>IF(ISNUMBER(D140), (D140 - $B140) / $B140, "")</f>
        <v>7.4812967581046668E-3</v>
      </c>
      <c r="F140" s="98">
        <f>IF(ISNUMBER(D140), $B145 * E140, "")</f>
        <v>1122.1945137156999</v>
      </c>
      <c r="G140" s="99">
        <v>40.299999999999997</v>
      </c>
      <c r="H140" s="97">
        <f>IF(ISNUMBER(G140), (G140 - $B140) / $B140, "")</f>
        <v>4.9875311720697186E-3</v>
      </c>
      <c r="I140" s="100">
        <f>IF(ISNUMBER(G140), $B145 * H140, "")</f>
        <v>748.1296758104578</v>
      </c>
      <c r="J140" s="96">
        <v>40</v>
      </c>
      <c r="K140" s="97">
        <f>IF(ISNUMBER(J140), (J140 - $B140) / $B140, "")</f>
        <v>-2.4937655860349482E-3</v>
      </c>
      <c r="L140" s="98">
        <f>IF(ISNUMBER(J140), $B145 * K140, "")</f>
        <v>-374.06483790524226</v>
      </c>
      <c r="M140" s="99">
        <v>40.4</v>
      </c>
      <c r="N140" s="97">
        <f>IF(ISNUMBER(M140), (M140 - $B140) / $B140, "")</f>
        <v>7.4812967581046668E-3</v>
      </c>
      <c r="O140" s="98">
        <f>IF(ISNUMBER(M140), $B145 * N140, "")</f>
        <v>1122.1945137156999</v>
      </c>
      <c r="Q140" s="161"/>
      <c r="R140" s="161"/>
      <c r="S140" s="161"/>
    </row>
    <row r="141" spans="1:19" ht="17.25" thickBot="1">
      <c r="A141" s="109" t="s">
        <v>198</v>
      </c>
      <c r="B141" s="110">
        <v>8.0500000000000007</v>
      </c>
      <c r="C141" s="70">
        <v>-4.8463356999999999E-2</v>
      </c>
      <c r="D141" s="15">
        <v>9.4600000000000009</v>
      </c>
      <c r="E141" s="32">
        <f t="shared" ref="E141:E144" si="74">IF(ISNUMBER(D141), (D141 - $B141) / $B141, "")</f>
        <v>0.17515527950310558</v>
      </c>
      <c r="F141" s="18">
        <f>IF(ISNUMBER(D141), $B145 * E141, "")</f>
        <v>26273.291925465837</v>
      </c>
      <c r="G141" s="31">
        <v>9.42</v>
      </c>
      <c r="H141" s="32">
        <f t="shared" ref="H141:H144" si="75">IF(ISNUMBER(G141), (G141 - $B141) / $B141, "")</f>
        <v>0.1701863354037266</v>
      </c>
      <c r="I141" s="91">
        <f>IF(ISNUMBER(G141), $B145 * H141, "")</f>
        <v>25527.95031055899</v>
      </c>
      <c r="J141" s="15">
        <v>9.24</v>
      </c>
      <c r="K141" s="32">
        <f t="shared" ref="K141:K144" si="76">IF(ISNUMBER(J141), (J141 - $B141) / $B141, "")</f>
        <v>0.14782608695652166</v>
      </c>
      <c r="L141" s="18">
        <f>IF(ISNUMBER(J141), $B145 * K141, "")</f>
        <v>22173.913043478249</v>
      </c>
      <c r="M141" s="31">
        <v>9.2200000000000006</v>
      </c>
      <c r="N141" s="32">
        <f t="shared" ref="N141:N144" si="77">IF(ISNUMBER(M141), (M141 - $B141) / $B141, "")</f>
        <v>0.14534161490683228</v>
      </c>
      <c r="O141" s="18">
        <f>IF(ISNUMBER(M141), $B145 * N141, "")</f>
        <v>21801.242236024842</v>
      </c>
      <c r="Q141" s="161"/>
      <c r="R141" s="161"/>
      <c r="S141" s="161"/>
    </row>
    <row r="142" spans="1:19" ht="17.25" thickBot="1">
      <c r="A142" s="109" t="s">
        <v>107</v>
      </c>
      <c r="B142" s="110">
        <v>40.700000000000003</v>
      </c>
      <c r="C142" s="70">
        <v>-5.5684454799999998E-2</v>
      </c>
      <c r="D142" s="15">
        <v>42.4</v>
      </c>
      <c r="E142" s="32">
        <f t="shared" si="74"/>
        <v>4.1769041769041663E-2</v>
      </c>
      <c r="F142" s="18">
        <f>IF(ISNUMBER(D142), $B145 * E142, "")</f>
        <v>6265.3562653562494</v>
      </c>
      <c r="G142" s="31">
        <v>42.2</v>
      </c>
      <c r="H142" s="32">
        <f t="shared" si="75"/>
        <v>3.6855036855036855E-2</v>
      </c>
      <c r="I142" s="91">
        <f>IF(ISNUMBER(G142), $B145 * H142, "")</f>
        <v>5528.2555282555286</v>
      </c>
      <c r="J142" s="15">
        <v>41.9</v>
      </c>
      <c r="K142" s="32">
        <f t="shared" si="76"/>
        <v>2.9484029484029377E-2</v>
      </c>
      <c r="L142" s="18">
        <f>IF(ISNUMBER(J142), $B145 * K142, "")</f>
        <v>4422.6044226044069</v>
      </c>
      <c r="M142" s="31">
        <v>41.8</v>
      </c>
      <c r="N142" s="32">
        <f t="shared" si="77"/>
        <v>2.7027027027026886E-2</v>
      </c>
      <c r="O142" s="18">
        <f>IF(ISNUMBER(M142), $B145 * N142, "")</f>
        <v>4054.0540540540328</v>
      </c>
      <c r="Q142" s="161"/>
      <c r="R142" s="161"/>
      <c r="S142" s="161"/>
    </row>
    <row r="143" spans="1:19">
      <c r="A143" s="109" t="s">
        <v>350</v>
      </c>
      <c r="B143" s="110">
        <v>7.68</v>
      </c>
      <c r="C143" s="70">
        <v>-5.6511056499999997E-2</v>
      </c>
      <c r="D143" s="15">
        <v>8.26</v>
      </c>
      <c r="E143" s="32">
        <f t="shared" si="74"/>
        <v>7.5520833333333343E-2</v>
      </c>
      <c r="F143" s="18">
        <f>IF(ISNUMBER(D143), $B145 * E143, "")</f>
        <v>11328.125000000002</v>
      </c>
      <c r="G143" s="31">
        <v>8.09</v>
      </c>
      <c r="H143" s="32">
        <f t="shared" si="75"/>
        <v>5.3385416666666685E-2</v>
      </c>
      <c r="I143" s="91">
        <f>IF(ISNUMBER(G143), $B145 * H143, "")</f>
        <v>8007.8125000000027</v>
      </c>
      <c r="J143" s="15">
        <v>8</v>
      </c>
      <c r="K143" s="32">
        <f t="shared" si="76"/>
        <v>4.1666666666666706E-2</v>
      </c>
      <c r="L143" s="18">
        <f>IF(ISNUMBER(J143), $B145 * K143, "")</f>
        <v>6250.0000000000055</v>
      </c>
      <c r="M143" s="31">
        <v>7.96</v>
      </c>
      <c r="N143" s="32">
        <f t="shared" si="77"/>
        <v>3.645833333333337E-2</v>
      </c>
      <c r="O143" s="18">
        <f>IF(ISNUMBER(M143), $B145 * N143, "")</f>
        <v>5468.7500000000055</v>
      </c>
      <c r="Q143" s="183"/>
      <c r="R143" s="184"/>
      <c r="S143" s="185"/>
    </row>
    <row r="144" spans="1:19" ht="17.25" thickBot="1">
      <c r="A144" s="114" t="s">
        <v>97</v>
      </c>
      <c r="B144" s="115">
        <v>8.0000000000000004E-4</v>
      </c>
      <c r="C144" s="72">
        <v>-0.2</v>
      </c>
      <c r="D144" s="24">
        <v>8.9999999999999998E-4</v>
      </c>
      <c r="E144" s="25">
        <f t="shared" si="74"/>
        <v>0.12499999999999992</v>
      </c>
      <c r="F144" s="94">
        <f>IF(ISNUMBER(D144), $B145 * E144, "")</f>
        <v>18749.999999999989</v>
      </c>
      <c r="G144" s="92">
        <v>8.9999999999999998E-4</v>
      </c>
      <c r="H144" s="25">
        <f t="shared" si="75"/>
        <v>0.12499999999999992</v>
      </c>
      <c r="I144" s="93">
        <f>IF(ISNUMBER(G144), $B145 * H144, "")</f>
        <v>18749.999999999989</v>
      </c>
      <c r="J144" s="24">
        <v>8.9999999999999998E-4</v>
      </c>
      <c r="K144" s="25">
        <f t="shared" si="76"/>
        <v>0.12499999999999992</v>
      </c>
      <c r="L144" s="94">
        <f>IF(ISNUMBER(J144), $B145 * K144, "")</f>
        <v>18749.999999999989</v>
      </c>
      <c r="M144" s="92">
        <v>8.9999999999999998E-4</v>
      </c>
      <c r="N144" s="25">
        <f t="shared" si="77"/>
        <v>0.12499999999999992</v>
      </c>
      <c r="O144" s="94">
        <f>IF(ISNUMBER(M144), $B145 * N144, "")</f>
        <v>18749.999999999989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1.9808317943807212E-2</v>
      </c>
      <c r="F145" s="28">
        <f>SUM(F125:F144)</f>
        <v>59424.953831421633</v>
      </c>
      <c r="G145" s="26" t="s">
        <v>261</v>
      </c>
      <c r="H145" s="27">
        <f>IF(COUNT(H125:H144), SUM(H125:H144) / COUNT(H125:H144), 0)</f>
        <v>2.3627634847564655E-2</v>
      </c>
      <c r="I145" s="28">
        <f>SUM(I125:I144)</f>
        <v>70882.904542693956</v>
      </c>
      <c r="J145" s="26" t="s">
        <v>261</v>
      </c>
      <c r="K145" s="27">
        <f>IF(COUNT(K125:K144), SUM(K125:K144) / COUNT(K125:K144), 0)</f>
        <v>1.7389399721779115E-2</v>
      </c>
      <c r="L145" s="28">
        <f>SUM(L125:L144)</f>
        <v>52168.199165337355</v>
      </c>
      <c r="M145" s="26" t="s">
        <v>261</v>
      </c>
      <c r="N145" s="27">
        <f>IF(COUNT(N125:N144), SUM(N125:N144) / COUNT(N125:N144), 0)</f>
        <v>2.0783106906497456E-2</v>
      </c>
      <c r="O145" s="28">
        <f>SUM(O125:O144)</f>
        <v>62349.32071949236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2022-12-08(목) 오전 00:00</v>
      </c>
      <c r="C150" s="199"/>
      <c r="D150" s="158" t="str">
        <f>TEXT($G$1, "[$-ko-KR]yyyy-mm-dd(ddd) ") &amp; "오후 14:00"</f>
        <v>2022-12-08(목) 오후 14:00</v>
      </c>
      <c r="E150" s="159"/>
      <c r="F150" s="160"/>
      <c r="G150" s="158" t="str">
        <f>TEXT($G$1, "[$-ko-KR]yyyy-mm-dd(ddd) ") &amp; "오후 19:00"</f>
        <v>2022-12-08(목) 오후 19:00</v>
      </c>
      <c r="H150" s="159"/>
      <c r="I150" s="160"/>
      <c r="J150" s="158" t="str">
        <f>TEXT($G$1, "[$-ko-KR]yyyy-mm-dd(ddd) ") &amp; "오후 21:00"</f>
        <v>2022-12-08(목) 오후 21:00</v>
      </c>
      <c r="K150" s="159"/>
      <c r="L150" s="160"/>
      <c r="M150" s="158" t="str">
        <f>TEXT($G$1+1, "[$-ko-KR]yyyy-mm-dd(ddd) ") &amp; "오전 00:00"</f>
        <v>2022-12-09(금)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103</v>
      </c>
      <c r="B152" s="108">
        <v>246</v>
      </c>
      <c r="C152" s="69">
        <v>-4.2801556400000003E-2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609.75609756097572</v>
      </c>
      <c r="G152" s="29">
        <v>247</v>
      </c>
      <c r="H152" s="14">
        <f>IF(ISNUMBER(G152), (G152 - $B152) / $B152, "")</f>
        <v>4.0650406504065045E-3</v>
      </c>
      <c r="I152" s="90">
        <f>IF(ISNUMBER(G152), $B172 * H152, "")</f>
        <v>609.75609756097572</v>
      </c>
      <c r="J152" s="13">
        <v>247</v>
      </c>
      <c r="K152" s="14">
        <f>IF(ISNUMBER(J152), (J152 - $B152) / $B152, "")</f>
        <v>4.0650406504065045E-3</v>
      </c>
      <c r="L152" s="16">
        <f>IF(ISNUMBER(J152), $B172 * K152, "")</f>
        <v>609.75609756097572</v>
      </c>
      <c r="M152" s="29">
        <v>249</v>
      </c>
      <c r="N152" s="14">
        <f>IF(ISNUMBER(M152), (M152 - $B152) / $B152, "")</f>
        <v>1.2195121951219513E-2</v>
      </c>
      <c r="O152" s="16">
        <f>IF(ISNUMBER(M152), $B172 * N152, "")</f>
        <v>1829.2682926829268</v>
      </c>
      <c r="Q152" s="156"/>
      <c r="R152" s="156"/>
      <c r="S152" s="156"/>
    </row>
    <row r="153" spans="1:19" ht="17.25" thickBot="1">
      <c r="A153" s="109" t="s">
        <v>337</v>
      </c>
      <c r="B153" s="110">
        <v>323</v>
      </c>
      <c r="C153" s="70">
        <v>-4.4378698199999997E-2</v>
      </c>
      <c r="D153" s="15">
        <v>323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323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322</v>
      </c>
      <c r="K153" s="32">
        <f t="shared" ref="K153:K156" si="80">IF(ISNUMBER(J153), (J153 - $B153) / $B153, "")</f>
        <v>-3.0959752321981426E-3</v>
      </c>
      <c r="L153" s="18">
        <f>IF(ISNUMBER(J153), $B172 * K153, "")</f>
        <v>-464.39628482972137</v>
      </c>
      <c r="M153" s="31">
        <v>322</v>
      </c>
      <c r="N153" s="32">
        <f t="shared" ref="N153:N156" si="81">IF(ISNUMBER(M153), (M153 - $B153) / $B153, "")</f>
        <v>-3.0959752321981426E-3</v>
      </c>
      <c r="O153" s="18">
        <f>IF(ISNUMBER(M153), $B172 * N153, "")</f>
        <v>-464.39628482972137</v>
      </c>
      <c r="Q153" s="156"/>
      <c r="R153" s="156"/>
      <c r="S153" s="156"/>
    </row>
    <row r="154" spans="1:19" ht="17.25" thickBot="1">
      <c r="A154" s="109" t="s">
        <v>105</v>
      </c>
      <c r="B154" s="110">
        <v>234</v>
      </c>
      <c r="C154" s="70">
        <v>-4.4897959199999997E-2</v>
      </c>
      <c r="D154" s="15">
        <v>237</v>
      </c>
      <c r="E154" s="32">
        <f t="shared" si="78"/>
        <v>1.282051282051282E-2</v>
      </c>
      <c r="F154" s="18">
        <f>IF(ISNUMBER(D154), $B172 * E154, "")</f>
        <v>1923.0769230769231</v>
      </c>
      <c r="G154" s="31">
        <v>234</v>
      </c>
      <c r="H154" s="32">
        <f t="shared" si="79"/>
        <v>0</v>
      </c>
      <c r="I154" s="91">
        <f>IF(ISNUMBER(G154), $B172 * H154, "")</f>
        <v>0</v>
      </c>
      <c r="J154" s="15">
        <v>234</v>
      </c>
      <c r="K154" s="32">
        <f t="shared" si="80"/>
        <v>0</v>
      </c>
      <c r="L154" s="18">
        <f>IF(ISNUMBER(J154), $B172 * K154, "")</f>
        <v>0</v>
      </c>
      <c r="M154" s="31">
        <v>235</v>
      </c>
      <c r="N154" s="32">
        <f t="shared" si="81"/>
        <v>4.2735042735042739E-3</v>
      </c>
      <c r="O154" s="18">
        <f>IF(ISNUMBER(M154), $B172 * N154, "")</f>
        <v>641.02564102564111</v>
      </c>
      <c r="Q154" s="161"/>
      <c r="R154" s="161"/>
      <c r="S154" s="161"/>
    </row>
    <row r="155" spans="1:19" ht="17.25" thickBot="1">
      <c r="A155" s="109" t="s">
        <v>208</v>
      </c>
      <c r="B155" s="110">
        <v>106</v>
      </c>
      <c r="C155" s="70">
        <v>-4.5045044999999999E-2</v>
      </c>
      <c r="D155" s="15">
        <v>108</v>
      </c>
      <c r="E155" s="32">
        <f t="shared" si="78"/>
        <v>1.8867924528301886E-2</v>
      </c>
      <c r="F155" s="18">
        <f>IF(ISNUMBER(D155), $B172 * E155, "")</f>
        <v>2830.1886792452829</v>
      </c>
      <c r="G155" s="31">
        <v>106</v>
      </c>
      <c r="H155" s="32">
        <f t="shared" si="79"/>
        <v>0</v>
      </c>
      <c r="I155" s="91">
        <f>IF(ISNUMBER(G155), $B172 * H155, "")</f>
        <v>0</v>
      </c>
      <c r="J155" s="15">
        <v>106</v>
      </c>
      <c r="K155" s="32">
        <f t="shared" si="80"/>
        <v>0</v>
      </c>
      <c r="L155" s="18">
        <f>IF(ISNUMBER(J155), $B172 * K155, "")</f>
        <v>0</v>
      </c>
      <c r="M155" s="31">
        <v>106</v>
      </c>
      <c r="N155" s="32">
        <f t="shared" si="81"/>
        <v>0</v>
      </c>
      <c r="O155" s="18">
        <f>IF(ISNUMBER(M155), $B172 * N155, "")</f>
        <v>0</v>
      </c>
      <c r="Q155" s="161"/>
      <c r="R155" s="161"/>
      <c r="S155" s="161"/>
    </row>
    <row r="156" spans="1:19" ht="17.25" thickBot="1">
      <c r="A156" s="111" t="s">
        <v>222</v>
      </c>
      <c r="B156" s="112">
        <v>462</v>
      </c>
      <c r="C156" s="71">
        <v>-4.5454545499999999E-2</v>
      </c>
      <c r="D156" s="20">
        <v>459</v>
      </c>
      <c r="E156" s="21">
        <f t="shared" si="78"/>
        <v>-6.4935064935064939E-3</v>
      </c>
      <c r="F156" s="22">
        <f>IF(ISNUMBER(D156), $B172 * E156, "")</f>
        <v>-974.02597402597405</v>
      </c>
      <c r="G156" s="30">
        <v>460</v>
      </c>
      <c r="H156" s="21">
        <f t="shared" si="79"/>
        <v>-4.329004329004329E-3</v>
      </c>
      <c r="I156" s="95">
        <f>IF(ISNUMBER(G156), $B172 * H156, "")</f>
        <v>-649.35064935064941</v>
      </c>
      <c r="J156" s="20">
        <v>455</v>
      </c>
      <c r="K156" s="21">
        <f t="shared" si="80"/>
        <v>-1.5151515151515152E-2</v>
      </c>
      <c r="L156" s="22">
        <f>IF(ISNUMBER(J156), $B172 * K156, "")</f>
        <v>-2272.727272727273</v>
      </c>
      <c r="M156" s="30">
        <v>458</v>
      </c>
      <c r="N156" s="21">
        <f t="shared" si="81"/>
        <v>-8.658008658008658E-3</v>
      </c>
      <c r="O156" s="22">
        <f>IF(ISNUMBER(M156), $B172 * N156, "")</f>
        <v>-1298.7012987012988</v>
      </c>
      <c r="Q156" s="161"/>
      <c r="R156" s="161"/>
      <c r="S156" s="161"/>
    </row>
    <row r="157" spans="1:19" ht="17.25" thickBot="1">
      <c r="A157" s="109" t="s">
        <v>165</v>
      </c>
      <c r="B157" s="113">
        <v>963</v>
      </c>
      <c r="C157" s="73">
        <v>-4.6534653500000002E-2</v>
      </c>
      <c r="D157" s="96">
        <v>978</v>
      </c>
      <c r="E157" s="97">
        <f>IF(ISNUMBER(D157), (D157 - $B157) / $B157, "")</f>
        <v>1.5576323987538941E-2</v>
      </c>
      <c r="F157" s="98">
        <f>IF(ISNUMBER(D157), $B172 * E157, "")</f>
        <v>2336.4485981308412</v>
      </c>
      <c r="G157" s="99">
        <v>968</v>
      </c>
      <c r="H157" s="97">
        <f>IF(ISNUMBER(G157), (G157 - $B157) / $B157, "")</f>
        <v>5.1921079958463139E-3</v>
      </c>
      <c r="I157" s="100">
        <f>IF(ISNUMBER(G157), $B172 * H157, "")</f>
        <v>778.81619937694711</v>
      </c>
      <c r="J157" s="96">
        <v>978</v>
      </c>
      <c r="K157" s="97">
        <f>IF(ISNUMBER(J157), (J157 - $B157) / $B157, "")</f>
        <v>1.5576323987538941E-2</v>
      </c>
      <c r="L157" s="98">
        <f>IF(ISNUMBER(J157), $B172 * K157, "")</f>
        <v>2336.4485981308412</v>
      </c>
      <c r="M157" s="99">
        <v>969</v>
      </c>
      <c r="N157" s="97">
        <f>IF(ISNUMBER(M157), (M157 - $B157) / $B157, "")</f>
        <v>6.2305295950155761E-3</v>
      </c>
      <c r="O157" s="98">
        <f>IF(ISNUMBER(M157), $B172 * N157, "")</f>
        <v>934.57943925233644</v>
      </c>
      <c r="Q157" s="161"/>
      <c r="R157" s="161"/>
      <c r="S157" s="161"/>
    </row>
    <row r="158" spans="1:19" ht="17.25" thickBot="1">
      <c r="A158" s="109" t="s">
        <v>204</v>
      </c>
      <c r="B158" s="110">
        <v>266</v>
      </c>
      <c r="C158" s="70">
        <v>-4.6594982100000001E-2</v>
      </c>
      <c r="D158" s="15">
        <v>267</v>
      </c>
      <c r="E158" s="32">
        <f t="shared" ref="E158:E161" si="82">IF(ISNUMBER(D158), (D158 - $B158) / $B158, "")</f>
        <v>3.7593984962406013E-3</v>
      </c>
      <c r="F158" s="18">
        <f>IF(ISNUMBER(D158), $B172 * E158, "")</f>
        <v>563.90977443609017</v>
      </c>
      <c r="G158" s="31">
        <v>268</v>
      </c>
      <c r="H158" s="32">
        <f t="shared" ref="H158:H161" si="83">IF(ISNUMBER(G158), (G158 - $B158) / $B158, "")</f>
        <v>7.5187969924812026E-3</v>
      </c>
      <c r="I158" s="91">
        <f>IF(ISNUMBER(G158), $B172 * H158, "")</f>
        <v>1127.8195488721803</v>
      </c>
      <c r="J158" s="15">
        <v>266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267</v>
      </c>
      <c r="N158" s="32">
        <f t="shared" ref="N158:N161" si="85">IF(ISNUMBER(M158), (M158 - $B158) / $B158, "")</f>
        <v>3.7593984962406013E-3</v>
      </c>
      <c r="O158" s="18">
        <f>IF(ISNUMBER(M158), $B172 * N158, "")</f>
        <v>563.90977443609017</v>
      </c>
      <c r="Q158" s="161"/>
      <c r="R158" s="161"/>
      <c r="S158" s="161"/>
    </row>
    <row r="159" spans="1:19" ht="17.25" thickBot="1">
      <c r="A159" s="109" t="s">
        <v>149</v>
      </c>
      <c r="B159" s="110">
        <v>399</v>
      </c>
      <c r="C159" s="70">
        <v>-4.7732696900000003E-2</v>
      </c>
      <c r="D159" s="15">
        <v>399</v>
      </c>
      <c r="E159" s="32">
        <f t="shared" si="82"/>
        <v>0</v>
      </c>
      <c r="F159" s="18">
        <f>IF(ISNUMBER(D159), $B172 * E159, "")</f>
        <v>0</v>
      </c>
      <c r="G159" s="31">
        <v>400</v>
      </c>
      <c r="H159" s="32">
        <f t="shared" si="83"/>
        <v>2.5062656641604009E-3</v>
      </c>
      <c r="I159" s="91">
        <f>IF(ISNUMBER(G159), $B172 * H159, "")</f>
        <v>375.93984962406012</v>
      </c>
      <c r="J159" s="15">
        <v>398</v>
      </c>
      <c r="K159" s="32">
        <f t="shared" si="84"/>
        <v>-2.5062656641604009E-3</v>
      </c>
      <c r="L159" s="18">
        <f>IF(ISNUMBER(J159), $B172 * K159, "")</f>
        <v>-375.93984962406012</v>
      </c>
      <c r="M159" s="31">
        <v>401</v>
      </c>
      <c r="N159" s="32">
        <f t="shared" si="85"/>
        <v>5.0125313283208017E-3</v>
      </c>
      <c r="O159" s="18">
        <f>IF(ISNUMBER(M159), $B172 * N159, "")</f>
        <v>751.87969924812023</v>
      </c>
      <c r="Q159" s="161"/>
      <c r="R159" s="161"/>
      <c r="S159" s="161"/>
    </row>
    <row r="160" spans="1:19" ht="17.25" thickBot="1">
      <c r="A160" s="109" t="s">
        <v>60</v>
      </c>
      <c r="B160" s="110">
        <v>530</v>
      </c>
      <c r="C160" s="70">
        <v>-4.8473967700000002E-2</v>
      </c>
      <c r="D160" s="15">
        <v>534</v>
      </c>
      <c r="E160" s="32">
        <f t="shared" si="82"/>
        <v>7.5471698113207548E-3</v>
      </c>
      <c r="F160" s="18">
        <f>IF(ISNUMBER(D160), $B172 * E160, "")</f>
        <v>1132.0754716981132</v>
      </c>
      <c r="G160" s="31">
        <v>530</v>
      </c>
      <c r="H160" s="32">
        <f t="shared" si="83"/>
        <v>0</v>
      </c>
      <c r="I160" s="91">
        <f>IF(ISNUMBER(G160), $B172 * H160, "")</f>
        <v>0</v>
      </c>
      <c r="J160" s="15">
        <v>528</v>
      </c>
      <c r="K160" s="32">
        <f t="shared" si="84"/>
        <v>-3.7735849056603774E-3</v>
      </c>
      <c r="L160" s="18">
        <f>IF(ISNUMBER(J160), $B172 * K160, "")</f>
        <v>-566.03773584905662</v>
      </c>
      <c r="M160" s="31">
        <v>528</v>
      </c>
      <c r="N160" s="32">
        <f t="shared" si="85"/>
        <v>-3.7735849056603774E-3</v>
      </c>
      <c r="O160" s="18">
        <f>IF(ISNUMBER(M160), $B172 * N160, "")</f>
        <v>-566.03773584905662</v>
      </c>
      <c r="Q160" s="33"/>
      <c r="R160" s="33"/>
    </row>
    <row r="161" spans="1:19" ht="17.25" thickBot="1">
      <c r="A161" s="114" t="s">
        <v>85</v>
      </c>
      <c r="B161" s="115">
        <v>204</v>
      </c>
      <c r="C161" s="72">
        <v>-5.1162790700000002E-2</v>
      </c>
      <c r="D161" s="24">
        <v>206</v>
      </c>
      <c r="E161" s="25">
        <f t="shared" si="82"/>
        <v>9.8039215686274508E-3</v>
      </c>
      <c r="F161" s="94">
        <f>IF(ISNUMBER(D161), $B172 * E161, "")</f>
        <v>1470.5882352941176</v>
      </c>
      <c r="G161" s="92">
        <v>204</v>
      </c>
      <c r="H161" s="25">
        <f t="shared" si="83"/>
        <v>0</v>
      </c>
      <c r="I161" s="93">
        <f>IF(ISNUMBER(G161), $B172 * H161, "")</f>
        <v>0</v>
      </c>
      <c r="J161" s="24">
        <v>202</v>
      </c>
      <c r="K161" s="25">
        <f t="shared" si="84"/>
        <v>-9.8039215686274508E-3</v>
      </c>
      <c r="L161" s="94">
        <f>IF(ISNUMBER(J161), $B172 * K161, "")</f>
        <v>-1470.5882352941176</v>
      </c>
      <c r="M161" s="92">
        <v>201</v>
      </c>
      <c r="N161" s="25">
        <f t="shared" si="85"/>
        <v>-1.4705882352941176E-2</v>
      </c>
      <c r="O161" s="94">
        <f>IF(ISNUMBER(M161), $B172 * N161, "")</f>
        <v>-2205.8823529411766</v>
      </c>
      <c r="Q161" s="170"/>
      <c r="R161" s="171"/>
      <c r="S161" s="172"/>
    </row>
    <row r="162" spans="1:19">
      <c r="A162" s="107" t="s">
        <v>332</v>
      </c>
      <c r="B162" s="108">
        <v>296</v>
      </c>
      <c r="C162" s="69">
        <v>-5.1282051299999999E-2</v>
      </c>
      <c r="D162" s="13">
        <v>302</v>
      </c>
      <c r="E162" s="14">
        <f>IF(ISNUMBER(D162), (D162 - $B162) / $B162, "")</f>
        <v>2.0270270270270271E-2</v>
      </c>
      <c r="F162" s="16">
        <f>IF(ISNUMBER(D162), $B172 * E162, "")</f>
        <v>3040.5405405405409</v>
      </c>
      <c r="G162" s="29">
        <v>298</v>
      </c>
      <c r="H162" s="14">
        <f>IF(ISNUMBER(G162), (G162 - $B162) / $B162, "")</f>
        <v>6.7567567567567571E-3</v>
      </c>
      <c r="I162" s="90">
        <f>IF(ISNUMBER(G162), $B172 * H162, "")</f>
        <v>1013.5135135135135</v>
      </c>
      <c r="J162" s="13">
        <v>295</v>
      </c>
      <c r="K162" s="14">
        <f>IF(ISNUMBER(J162), (J162 - $B162) / $B162, "")</f>
        <v>-3.3783783783783786E-3</v>
      </c>
      <c r="L162" s="16">
        <f>IF(ISNUMBER(J162), $B172 * K162, "")</f>
        <v>-506.75675675675677</v>
      </c>
      <c r="M162" s="29">
        <v>295</v>
      </c>
      <c r="N162" s="14">
        <f>IF(ISNUMBER(M162), (M162 - $B162) / $B162, "")</f>
        <v>-3.3783783783783786E-3</v>
      </c>
      <c r="O162" s="16">
        <f>IF(ISNUMBER(M162), $B172 * N162, "")</f>
        <v>-506.75675675675677</v>
      </c>
      <c r="Q162" s="173"/>
      <c r="R162" s="174"/>
      <c r="S162" s="175"/>
    </row>
    <row r="163" spans="1:19" ht="17.25" thickBot="1">
      <c r="A163" s="109" t="s">
        <v>111</v>
      </c>
      <c r="B163" s="110">
        <v>778</v>
      </c>
      <c r="C163" s="70">
        <v>-5.2375152299999998E-2</v>
      </c>
      <c r="D163" s="15">
        <v>781</v>
      </c>
      <c r="E163" s="32">
        <f t="shared" ref="E163:E166" si="86">IF(ISNUMBER(D163), (D163 - $B163) / $B163, "")</f>
        <v>3.8560411311053984E-3</v>
      </c>
      <c r="F163" s="18">
        <f>IF(ISNUMBER(D163), $B172 * E163, "")</f>
        <v>578.40616966580978</v>
      </c>
      <c r="G163" s="31">
        <v>780</v>
      </c>
      <c r="H163" s="32">
        <f t="shared" ref="H163:H166" si="87">IF(ISNUMBER(G163), (G163 - $B163) / $B163, "")</f>
        <v>2.5706940874035988E-3</v>
      </c>
      <c r="I163" s="91">
        <f>IF(ISNUMBER(G163), $B172 * H163, "")</f>
        <v>385.6041131105398</v>
      </c>
      <c r="J163" s="15">
        <v>777</v>
      </c>
      <c r="K163" s="32">
        <f t="shared" ref="K163:K166" si="88">IF(ISNUMBER(J163), (J163 - $B163) / $B163, "")</f>
        <v>-1.2853470437017994E-3</v>
      </c>
      <c r="L163" s="18">
        <f>IF(ISNUMBER(J163), $B172 * K163, "")</f>
        <v>-192.8020565552699</v>
      </c>
      <c r="M163" s="31">
        <v>779</v>
      </c>
      <c r="N163" s="32">
        <f t="shared" ref="N163:N166" si="89">IF(ISNUMBER(M163), (M163 - $B163) / $B163, "")</f>
        <v>1.2853470437017994E-3</v>
      </c>
      <c r="O163" s="18">
        <f>IF(ISNUMBER(M163), $B172 * N163, "")</f>
        <v>192.8020565552699</v>
      </c>
      <c r="Q163" s="176"/>
      <c r="R163" s="177"/>
      <c r="S163" s="178"/>
    </row>
    <row r="164" spans="1:19" ht="17.25" thickBot="1">
      <c r="A164" s="109" t="s">
        <v>68</v>
      </c>
      <c r="B164" s="110">
        <v>368</v>
      </c>
      <c r="C164" s="70">
        <v>-5.6410256399999997E-2</v>
      </c>
      <c r="D164" s="15">
        <v>378</v>
      </c>
      <c r="E164" s="32">
        <f t="shared" si="86"/>
        <v>2.717391304347826E-2</v>
      </c>
      <c r="F164" s="18">
        <f>IF(ISNUMBER(D164), $B172 * E164, "")</f>
        <v>4076.086956521739</v>
      </c>
      <c r="G164" s="31">
        <v>376</v>
      </c>
      <c r="H164" s="32">
        <f t="shared" si="87"/>
        <v>2.1739130434782608E-2</v>
      </c>
      <c r="I164" s="91">
        <f>IF(ISNUMBER(G164), $B172 * H164, "")</f>
        <v>3260.869565217391</v>
      </c>
      <c r="J164" s="15">
        <v>371</v>
      </c>
      <c r="K164" s="32">
        <f t="shared" si="88"/>
        <v>8.152173913043478E-3</v>
      </c>
      <c r="L164" s="18">
        <f>IF(ISNUMBER(J164), $B172 * K164, "")</f>
        <v>1222.8260869565217</v>
      </c>
      <c r="M164" s="31">
        <v>375</v>
      </c>
      <c r="N164" s="32">
        <f t="shared" si="89"/>
        <v>1.9021739130434784E-2</v>
      </c>
      <c r="O164" s="18">
        <f>IF(ISNUMBER(M164), $B172 * N164, "")</f>
        <v>2853.2608695652175</v>
      </c>
      <c r="Q164" s="161"/>
      <c r="R164" s="161"/>
      <c r="S164" s="161"/>
    </row>
    <row r="165" spans="1:19" ht="17.25" thickBot="1">
      <c r="A165" s="109" t="s">
        <v>349</v>
      </c>
      <c r="B165" s="110">
        <v>798</v>
      </c>
      <c r="C165" s="70">
        <v>-6.0070671399999997E-2</v>
      </c>
      <c r="D165" s="15">
        <v>777</v>
      </c>
      <c r="E165" s="32">
        <f t="shared" si="86"/>
        <v>-2.6315789473684209E-2</v>
      </c>
      <c r="F165" s="18">
        <f>IF(ISNUMBER(D165), $B172 * E165, "")</f>
        <v>-3947.3684210526312</v>
      </c>
      <c r="G165" s="31">
        <v>784</v>
      </c>
      <c r="H165" s="32">
        <f t="shared" si="87"/>
        <v>-1.7543859649122806E-2</v>
      </c>
      <c r="I165" s="91">
        <f>IF(ISNUMBER(G165), $B172 * H165, "")</f>
        <v>-2631.5789473684208</v>
      </c>
      <c r="J165" s="15">
        <v>777</v>
      </c>
      <c r="K165" s="32">
        <f t="shared" si="88"/>
        <v>-2.6315789473684209E-2</v>
      </c>
      <c r="L165" s="18">
        <f>IF(ISNUMBER(J165), $B172 * K165, "")</f>
        <v>-3947.3684210526312</v>
      </c>
      <c r="M165" s="31">
        <v>783</v>
      </c>
      <c r="N165" s="32">
        <f t="shared" si="89"/>
        <v>-1.8796992481203006E-2</v>
      </c>
      <c r="O165" s="18">
        <f>IF(ISNUMBER(M165), $B172 * N165, "")</f>
        <v>-2819.5488721804509</v>
      </c>
      <c r="Q165" s="156"/>
      <c r="R165" s="156"/>
      <c r="S165" s="156"/>
    </row>
    <row r="166" spans="1:19" ht="17.25" thickBot="1">
      <c r="A166" s="111" t="s">
        <v>340</v>
      </c>
      <c r="B166" s="112">
        <v>597</v>
      </c>
      <c r="C166" s="71">
        <v>-6.27943485E-2</v>
      </c>
      <c r="D166" s="20">
        <v>589</v>
      </c>
      <c r="E166" s="21">
        <f t="shared" si="86"/>
        <v>-1.340033500837521E-2</v>
      </c>
      <c r="F166" s="22">
        <f>IF(ISNUMBER(D166), $B172 * E166, "")</f>
        <v>-2010.0502512562814</v>
      </c>
      <c r="G166" s="30">
        <v>587</v>
      </c>
      <c r="H166" s="21">
        <f t="shared" si="87"/>
        <v>-1.675041876046901E-2</v>
      </c>
      <c r="I166" s="95">
        <f>IF(ISNUMBER(G166), $B172 * H166, "")</f>
        <v>-2512.5628140703516</v>
      </c>
      <c r="J166" s="20">
        <v>582</v>
      </c>
      <c r="K166" s="21">
        <f t="shared" si="88"/>
        <v>-2.5125628140703519E-2</v>
      </c>
      <c r="L166" s="22">
        <f>IF(ISNUMBER(J166), $B172 * K166, "")</f>
        <v>-3768.844221105528</v>
      </c>
      <c r="M166" s="30">
        <v>585</v>
      </c>
      <c r="N166" s="21">
        <f t="shared" si="89"/>
        <v>-2.0100502512562814E-2</v>
      </c>
      <c r="O166" s="22">
        <f>IF(ISNUMBER(M166), $B172 * N166, "")</f>
        <v>-3015.075376884422</v>
      </c>
      <c r="Q166" s="156"/>
      <c r="R166" s="156"/>
      <c r="S166" s="156"/>
    </row>
    <row r="167" spans="1:19" ht="17.25" thickBot="1">
      <c r="A167" s="109" t="s">
        <v>120</v>
      </c>
      <c r="B167" s="113">
        <v>128</v>
      </c>
      <c r="C167" s="73">
        <v>-6.56934307E-2</v>
      </c>
      <c r="D167" s="96">
        <v>128</v>
      </c>
      <c r="E167" s="97">
        <f>IF(ISNUMBER(D167), (D167 - $B167) / $B167, "")</f>
        <v>0</v>
      </c>
      <c r="F167" s="98">
        <f>IF(ISNUMBER(D167), $B172 * E167, "")</f>
        <v>0</v>
      </c>
      <c r="G167" s="99">
        <v>128</v>
      </c>
      <c r="H167" s="97">
        <f>IF(ISNUMBER(G167), (G167 - $B167) / $B167, "")</f>
        <v>0</v>
      </c>
      <c r="I167" s="100">
        <f>IF(ISNUMBER(G167), $B172 * H167, "")</f>
        <v>0</v>
      </c>
      <c r="J167" s="96">
        <v>128</v>
      </c>
      <c r="K167" s="97">
        <f>IF(ISNUMBER(J167), (J167 - $B167) / $B167, "")</f>
        <v>0</v>
      </c>
      <c r="L167" s="98">
        <f>IF(ISNUMBER(J167), $B172 * K167, "")</f>
        <v>0</v>
      </c>
      <c r="M167" s="99">
        <v>129</v>
      </c>
      <c r="N167" s="97">
        <f>IF(ISNUMBER(M167), (M167 - $B167) / $B167, "")</f>
        <v>7.8125E-3</v>
      </c>
      <c r="O167" s="98">
        <f>IF(ISNUMBER(M167), $B172 * N167, "")</f>
        <v>1171.875</v>
      </c>
      <c r="Q167" s="161"/>
      <c r="R167" s="161"/>
      <c r="S167" s="161"/>
    </row>
    <row r="168" spans="1:19" ht="17.25" thickBot="1">
      <c r="A168" s="109" t="s">
        <v>187</v>
      </c>
      <c r="B168" s="110">
        <v>806</v>
      </c>
      <c r="C168" s="70">
        <v>-6.7129629600000004E-2</v>
      </c>
      <c r="D168" s="15">
        <v>792</v>
      </c>
      <c r="E168" s="32">
        <f t="shared" ref="E168:E171" si="90">IF(ISNUMBER(D168), (D168 - $B168) / $B168, "")</f>
        <v>-1.7369727047146403E-2</v>
      </c>
      <c r="F168" s="18">
        <f>IF(ISNUMBER(D168), $B172 * E168, "")</f>
        <v>-2605.4590570719606</v>
      </c>
      <c r="G168" s="31">
        <v>787</v>
      </c>
      <c r="H168" s="32">
        <f t="shared" ref="H168:H171" si="91">IF(ISNUMBER(G168), (G168 - $B168) / $B168, "")</f>
        <v>-2.3573200992555832E-2</v>
      </c>
      <c r="I168" s="91">
        <f>IF(ISNUMBER(G168), $B172 * H168, "")</f>
        <v>-3535.9801488833746</v>
      </c>
      <c r="J168" s="15">
        <v>786</v>
      </c>
      <c r="K168" s="32">
        <f t="shared" ref="K168:K171" si="92">IF(ISNUMBER(J168), (J168 - $B168) / $B168, "")</f>
        <v>-2.4813895781637719E-2</v>
      </c>
      <c r="L168" s="18">
        <f>IF(ISNUMBER(J168), $B172 * K168, "")</f>
        <v>-3722.0843672456576</v>
      </c>
      <c r="M168" s="31">
        <v>790</v>
      </c>
      <c r="N168" s="32">
        <f t="shared" ref="N168:N171" si="93">IF(ISNUMBER(M168), (M168 - $B168) / $B168, "")</f>
        <v>-1.9851116625310174E-2</v>
      </c>
      <c r="O168" s="18">
        <f>IF(ISNUMBER(M168), $B172 * N168, "")</f>
        <v>-2977.6674937965258</v>
      </c>
      <c r="Q168" s="161"/>
      <c r="R168" s="161"/>
      <c r="S168" s="161"/>
    </row>
    <row r="169" spans="1:19" ht="17.25" thickBot="1">
      <c r="A169" s="109" t="s">
        <v>130</v>
      </c>
      <c r="B169" s="110">
        <v>835</v>
      </c>
      <c r="C169" s="70">
        <v>-7.4279379199999995E-2</v>
      </c>
      <c r="D169" s="15">
        <v>834</v>
      </c>
      <c r="E169" s="32">
        <f t="shared" si="90"/>
        <v>-1.1976047904191617E-3</v>
      </c>
      <c r="F169" s="18">
        <f>IF(ISNUMBER(D169), $B172 * E169, "")</f>
        <v>-179.64071856287424</v>
      </c>
      <c r="G169" s="31">
        <v>833</v>
      </c>
      <c r="H169" s="32">
        <f t="shared" si="91"/>
        <v>-2.3952095808383233E-3</v>
      </c>
      <c r="I169" s="91">
        <f>IF(ISNUMBER(G169), $B172 * H169, "")</f>
        <v>-359.28143712574848</v>
      </c>
      <c r="J169" s="15">
        <v>830</v>
      </c>
      <c r="K169" s="32">
        <f t="shared" si="92"/>
        <v>-5.9880239520958087E-3</v>
      </c>
      <c r="L169" s="18">
        <f>IF(ISNUMBER(J169), $B172 * K169, "")</f>
        <v>-898.20359281437129</v>
      </c>
      <c r="M169" s="31">
        <v>832</v>
      </c>
      <c r="N169" s="32">
        <f t="shared" si="93"/>
        <v>-3.592814371257485E-3</v>
      </c>
      <c r="O169" s="18">
        <f>IF(ISNUMBER(M169), $B172 * N169, "")</f>
        <v>-538.92215568862275</v>
      </c>
      <c r="Q169" s="161"/>
      <c r="R169" s="161"/>
      <c r="S169" s="161"/>
    </row>
    <row r="170" spans="1:19">
      <c r="A170" s="109" t="s">
        <v>352</v>
      </c>
      <c r="B170" s="110">
        <v>273</v>
      </c>
      <c r="C170" s="70">
        <v>-7.4576271200000002E-2</v>
      </c>
      <c r="D170" s="15">
        <v>264</v>
      </c>
      <c r="E170" s="32">
        <f t="shared" si="90"/>
        <v>-3.2967032967032968E-2</v>
      </c>
      <c r="F170" s="18">
        <f>IF(ISNUMBER(D170), $B172 * E170, "")</f>
        <v>-4945.0549450549452</v>
      </c>
      <c r="G170" s="31">
        <v>263</v>
      </c>
      <c r="H170" s="32">
        <f t="shared" si="91"/>
        <v>-3.6630036630036632E-2</v>
      </c>
      <c r="I170" s="91">
        <f>IF(ISNUMBER(G170), $B172 * H170, "")</f>
        <v>-5494.5054945054944</v>
      </c>
      <c r="J170" s="15">
        <v>265</v>
      </c>
      <c r="K170" s="32">
        <f t="shared" si="92"/>
        <v>-2.9304029304029304E-2</v>
      </c>
      <c r="L170" s="18">
        <f>IF(ISNUMBER(J170), $B172 * K170, "")</f>
        <v>-4395.6043956043959</v>
      </c>
      <c r="M170" s="31">
        <v>266</v>
      </c>
      <c r="N170" s="32">
        <f t="shared" si="93"/>
        <v>-2.564102564102564E-2</v>
      </c>
      <c r="O170" s="18">
        <f>IF(ISNUMBER(M170), $B172 * N170, "")</f>
        <v>-3846.1538461538462</v>
      </c>
      <c r="Q170" s="183"/>
      <c r="R170" s="184"/>
      <c r="S170" s="185"/>
    </row>
    <row r="171" spans="1:19" ht="17.25" thickBot="1">
      <c r="A171" s="114" t="s">
        <v>347</v>
      </c>
      <c r="B171" s="115">
        <v>407</v>
      </c>
      <c r="C171" s="72">
        <v>-0.65213675209999999</v>
      </c>
      <c r="D171" s="24">
        <v>209</v>
      </c>
      <c r="E171" s="25">
        <f t="shared" si="90"/>
        <v>-0.48648648648648651</v>
      </c>
      <c r="F171" s="94">
        <f>IF(ISNUMBER(D171), $B172 * E171, "")</f>
        <v>-72972.972972972973</v>
      </c>
      <c r="G171" s="92" t="s">
        <v>353</v>
      </c>
      <c r="H171" s="25" t="str">
        <f t="shared" si="91"/>
        <v/>
      </c>
      <c r="I171" s="93" t="str">
        <f>IF(ISNUMBER(G171), $B172 * H171, "")</f>
        <v/>
      </c>
      <c r="J171" s="24" t="s">
        <v>353</v>
      </c>
      <c r="K171" s="25" t="str">
        <f t="shared" si="92"/>
        <v/>
      </c>
      <c r="L171" s="94" t="str">
        <f>IF(ISNUMBER(J171), $B172 * K171, "")</f>
        <v/>
      </c>
      <c r="M171" s="92" t="s">
        <v>353</v>
      </c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-2.3024498297942404E-2</v>
      </c>
      <c r="F172" s="28">
        <f>SUM(F152:F171)</f>
        <v>-69073.494893827214</v>
      </c>
      <c r="G172" s="26" t="s">
        <v>261</v>
      </c>
      <c r="H172" s="27">
        <f>IF(COUNT(H152:H171), SUM(H152:H171) / COUNT(H152:H171), 0)</f>
        <v>-2.6775230189573446E-3</v>
      </c>
      <c r="I172" s="28">
        <f>SUM(I152:I171)</f>
        <v>-7630.9406040284312</v>
      </c>
      <c r="J172" s="26" t="s">
        <v>261</v>
      </c>
      <c r="K172" s="27">
        <f>IF(COUNT(K152:K171), SUM(K152:K171) / COUNT(K152:K171), 0)</f>
        <v>-6.4604640023896492E-3</v>
      </c>
      <c r="L172" s="28">
        <f>SUM(L152:L171)</f>
        <v>-18412.322406810497</v>
      </c>
      <c r="M172" s="26" t="s">
        <v>261</v>
      </c>
      <c r="N172" s="27">
        <f>IF(COUNT(N152:N171), SUM(N152:N171) / COUNT(N152:N171), 0)</f>
        <v>-3.263347860005711E-3</v>
      </c>
      <c r="O172" s="28">
        <f>SUM(O152:O171)</f>
        <v>-9300.5414010162749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2022-12-08(목) 오전 00:00</v>
      </c>
      <c r="C177" s="199"/>
      <c r="D177" s="158" t="str">
        <f>TEXT($G$1, "[$-ko-KR]yyyy-mm-dd(ddd) ") &amp; "오후 14:00"</f>
        <v>2022-12-08(목) 오후 14:00</v>
      </c>
      <c r="E177" s="159"/>
      <c r="F177" s="160"/>
      <c r="G177" s="158" t="str">
        <f>TEXT($G$1, "[$-ko-KR]yyyy-mm-dd(ddd) ") &amp; "오후 19:00"</f>
        <v>2022-12-08(목) 오후 19:00</v>
      </c>
      <c r="H177" s="159"/>
      <c r="I177" s="160"/>
      <c r="J177" s="158" t="str">
        <f>TEXT($G$1, "[$-ko-KR]yyyy-mm-dd(ddd) ") &amp; "오후 21:00"</f>
        <v>2022-12-08(목) 오후 21:00</v>
      </c>
      <c r="K177" s="159"/>
      <c r="L177" s="160"/>
      <c r="M177" s="158" t="str">
        <f>TEXT($G$1+1, "[$-ko-KR]yyyy-mm-dd(ddd) ") &amp; "오전 00:00"</f>
        <v>2022-12-09(금)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60</v>
      </c>
      <c r="B179" s="108">
        <v>530</v>
      </c>
      <c r="C179" s="69">
        <v>-4.8473967700000002E-2</v>
      </c>
      <c r="D179" s="13">
        <v>534</v>
      </c>
      <c r="E179" s="14">
        <f>IF(ISNUMBER(D179), (D179 - $B179) / $B179, "")</f>
        <v>7.5471698113207548E-3</v>
      </c>
      <c r="F179" s="16">
        <f>IF(ISNUMBER(D179), $B199 * E179, "")</f>
        <v>1132.0754716981132</v>
      </c>
      <c r="G179" s="29">
        <v>530</v>
      </c>
      <c r="H179" s="14">
        <f>IF(ISNUMBER(G179), (G179 - $B179) / $B179, "")</f>
        <v>0</v>
      </c>
      <c r="I179" s="90">
        <f>IF(ISNUMBER(G179), $B199 * H179, "")</f>
        <v>0</v>
      </c>
      <c r="J179" s="13">
        <v>528</v>
      </c>
      <c r="K179" s="14">
        <f>IF(ISNUMBER(J179), (J179 - $B179) / $B179, "")</f>
        <v>-3.7735849056603774E-3</v>
      </c>
      <c r="L179" s="16">
        <f>IF(ISNUMBER(J179), $B199 * K179, "")</f>
        <v>-566.03773584905662</v>
      </c>
      <c r="M179" s="29">
        <v>528</v>
      </c>
      <c r="N179" s="14">
        <f>IF(ISNUMBER(M179), (M179 - $B179) / $B179, "")</f>
        <v>-3.7735849056603774E-3</v>
      </c>
      <c r="O179" s="16">
        <f>IF(ISNUMBER(M179), $B199 * N179, "")</f>
        <v>-566.03773584905662</v>
      </c>
      <c r="Q179" s="156"/>
      <c r="R179" s="156"/>
      <c r="S179" s="156"/>
    </row>
    <row r="180" spans="1:19" ht="17.25" thickBot="1">
      <c r="A180" s="109" t="s">
        <v>134</v>
      </c>
      <c r="B180" s="110">
        <v>1540</v>
      </c>
      <c r="C180" s="70">
        <v>-4.9382716E-2</v>
      </c>
      <c r="D180" s="15">
        <v>1545</v>
      </c>
      <c r="E180" s="32">
        <f t="shared" ref="E180:E183" si="94">IF(ISNUMBER(D180), (D180 - $B180) / $B180, "")</f>
        <v>3.246753246753247E-3</v>
      </c>
      <c r="F180" s="18">
        <f>IF(ISNUMBER(D180), $B199 * E180, "")</f>
        <v>487.01298701298703</v>
      </c>
      <c r="G180" s="31">
        <v>1550</v>
      </c>
      <c r="H180" s="32">
        <f t="shared" ref="H180:H183" si="95">IF(ISNUMBER(G180), (G180 - $B180) / $B180, "")</f>
        <v>6.4935064935064939E-3</v>
      </c>
      <c r="I180" s="91">
        <f>IF(ISNUMBER(G180), $B199 * H180, "")</f>
        <v>974.02597402597405</v>
      </c>
      <c r="J180" s="15">
        <v>1540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1535</v>
      </c>
      <c r="N180" s="32">
        <f t="shared" ref="N180:N183" si="97">IF(ISNUMBER(M180), (M180 - $B180) / $B180, "")</f>
        <v>-3.246753246753247E-3</v>
      </c>
      <c r="O180" s="18">
        <f>IF(ISNUMBER(M180), $B199 * N180, "")</f>
        <v>-487.01298701298703</v>
      </c>
      <c r="Q180" s="156"/>
      <c r="R180" s="156"/>
      <c r="S180" s="156"/>
    </row>
    <row r="181" spans="1:19" ht="17.25" thickBot="1">
      <c r="A181" s="109" t="s">
        <v>85</v>
      </c>
      <c r="B181" s="110">
        <v>204</v>
      </c>
      <c r="C181" s="70">
        <v>-5.1162790700000002E-2</v>
      </c>
      <c r="D181" s="15">
        <v>206</v>
      </c>
      <c r="E181" s="32">
        <f t="shared" si="94"/>
        <v>9.8039215686274508E-3</v>
      </c>
      <c r="F181" s="18">
        <f>IF(ISNUMBER(D181), $B199 * E181, "")</f>
        <v>1470.5882352941176</v>
      </c>
      <c r="G181" s="31">
        <v>204</v>
      </c>
      <c r="H181" s="32">
        <f t="shared" si="95"/>
        <v>0</v>
      </c>
      <c r="I181" s="91">
        <f>IF(ISNUMBER(G181), $B199 * H181, "")</f>
        <v>0</v>
      </c>
      <c r="J181" s="15">
        <v>202</v>
      </c>
      <c r="K181" s="32">
        <f t="shared" si="96"/>
        <v>-9.8039215686274508E-3</v>
      </c>
      <c r="L181" s="18">
        <f>IF(ISNUMBER(J181), $B199 * K181, "")</f>
        <v>-1470.5882352941176</v>
      </c>
      <c r="M181" s="31">
        <v>201</v>
      </c>
      <c r="N181" s="32">
        <f t="shared" si="97"/>
        <v>-1.4705882352941176E-2</v>
      </c>
      <c r="O181" s="18">
        <f>IF(ISNUMBER(M181), $B199 * N181, "")</f>
        <v>-2205.8823529411766</v>
      </c>
      <c r="Q181" s="161"/>
      <c r="R181" s="161"/>
      <c r="S181" s="161"/>
    </row>
    <row r="182" spans="1:19" ht="17.25" thickBot="1">
      <c r="A182" s="109" t="s">
        <v>332</v>
      </c>
      <c r="B182" s="110">
        <v>296</v>
      </c>
      <c r="C182" s="70">
        <v>-5.1282051299999999E-2</v>
      </c>
      <c r="D182" s="15">
        <v>302</v>
      </c>
      <c r="E182" s="32">
        <f t="shared" si="94"/>
        <v>2.0270270270270271E-2</v>
      </c>
      <c r="F182" s="18">
        <f>IF(ISNUMBER(D182), $B199 * E182, "")</f>
        <v>3040.5405405405409</v>
      </c>
      <c r="G182" s="31">
        <v>298</v>
      </c>
      <c r="H182" s="32">
        <f t="shared" si="95"/>
        <v>6.7567567567567571E-3</v>
      </c>
      <c r="I182" s="91">
        <f>IF(ISNUMBER(G182), $B199 * H182, "")</f>
        <v>1013.5135135135135</v>
      </c>
      <c r="J182" s="15">
        <v>295</v>
      </c>
      <c r="K182" s="32">
        <f t="shared" si="96"/>
        <v>-3.3783783783783786E-3</v>
      </c>
      <c r="L182" s="18">
        <f>IF(ISNUMBER(J182), $B199 * K182, "")</f>
        <v>-506.75675675675677</v>
      </c>
      <c r="M182" s="31">
        <v>295</v>
      </c>
      <c r="N182" s="32">
        <f t="shared" si="97"/>
        <v>-3.3783783783783786E-3</v>
      </c>
      <c r="O182" s="18">
        <f>IF(ISNUMBER(M182), $B199 * N182, "")</f>
        <v>-506.75675675675677</v>
      </c>
      <c r="Q182" s="161"/>
      <c r="R182" s="161"/>
      <c r="S182" s="161"/>
    </row>
    <row r="183" spans="1:19" ht="17.25" thickBot="1">
      <c r="A183" s="111" t="s">
        <v>174</v>
      </c>
      <c r="B183" s="112">
        <v>14720</v>
      </c>
      <c r="C183" s="71">
        <v>-5.1546391800000001E-2</v>
      </c>
      <c r="D183" s="20">
        <v>14690</v>
      </c>
      <c r="E183" s="21">
        <f t="shared" si="94"/>
        <v>-2.0380434782608695E-3</v>
      </c>
      <c r="F183" s="22">
        <f>IF(ISNUMBER(D183), $B199 * E183, "")</f>
        <v>-305.70652173913044</v>
      </c>
      <c r="G183" s="30">
        <v>14750</v>
      </c>
      <c r="H183" s="21">
        <f t="shared" si="95"/>
        <v>2.0380434782608695E-3</v>
      </c>
      <c r="I183" s="95">
        <f>IF(ISNUMBER(G183), $B199 * H183, "")</f>
        <v>305.70652173913044</v>
      </c>
      <c r="J183" s="20">
        <v>14680</v>
      </c>
      <c r="K183" s="21">
        <f t="shared" si="96"/>
        <v>-2.717391304347826E-3</v>
      </c>
      <c r="L183" s="22">
        <f>IF(ISNUMBER(J183), $B199 * K183, "")</f>
        <v>-407.60869565217388</v>
      </c>
      <c r="M183" s="30">
        <v>14750</v>
      </c>
      <c r="N183" s="21">
        <f t="shared" si="97"/>
        <v>2.0380434782608695E-3</v>
      </c>
      <c r="O183" s="22">
        <f>IF(ISNUMBER(M183), $B199 * N183, "")</f>
        <v>305.70652173913044</v>
      </c>
      <c r="Q183" s="161"/>
      <c r="R183" s="161"/>
      <c r="S183" s="161"/>
    </row>
    <row r="184" spans="1:19" ht="17.25" thickBot="1">
      <c r="A184" s="109" t="s">
        <v>111</v>
      </c>
      <c r="B184" s="113">
        <v>778</v>
      </c>
      <c r="C184" s="73">
        <v>-5.2375152299999998E-2</v>
      </c>
      <c r="D184" s="96">
        <v>781</v>
      </c>
      <c r="E184" s="97">
        <f>IF(ISNUMBER(D184), (D184 - $B184) / $B184, "")</f>
        <v>3.8560411311053984E-3</v>
      </c>
      <c r="F184" s="98">
        <f>IF(ISNUMBER(D184), $B199 * E184, "")</f>
        <v>578.40616966580978</v>
      </c>
      <c r="G184" s="99">
        <v>780</v>
      </c>
      <c r="H184" s="97">
        <f>IF(ISNUMBER(G184), (G184 - $B184) / $B184, "")</f>
        <v>2.5706940874035988E-3</v>
      </c>
      <c r="I184" s="100">
        <f>IF(ISNUMBER(G184), $B199 * H184, "")</f>
        <v>385.6041131105398</v>
      </c>
      <c r="J184" s="96">
        <v>777</v>
      </c>
      <c r="K184" s="97">
        <f>IF(ISNUMBER(J184), (J184 - $B184) / $B184, "")</f>
        <v>-1.2853470437017994E-3</v>
      </c>
      <c r="L184" s="98">
        <f>IF(ISNUMBER(J184), $B199 * K184, "")</f>
        <v>-192.8020565552699</v>
      </c>
      <c r="M184" s="99">
        <v>779</v>
      </c>
      <c r="N184" s="97">
        <f>IF(ISNUMBER(M184), (M184 - $B184) / $B184, "")</f>
        <v>1.2853470437017994E-3</v>
      </c>
      <c r="O184" s="98">
        <f>IF(ISNUMBER(M184), $B199 * N184, "")</f>
        <v>192.8020565552699</v>
      </c>
      <c r="Q184" s="161"/>
      <c r="R184" s="161"/>
      <c r="S184" s="161"/>
    </row>
    <row r="185" spans="1:19" ht="17.25" thickBot="1">
      <c r="A185" s="109" t="s">
        <v>73</v>
      </c>
      <c r="B185" s="110">
        <v>12870</v>
      </c>
      <c r="C185" s="70">
        <v>-5.2980132499999999E-2</v>
      </c>
      <c r="D185" s="15">
        <v>12880</v>
      </c>
      <c r="E185" s="32">
        <f t="shared" ref="E185:E188" si="98">IF(ISNUMBER(D185), (D185 - $B185) / $B185, "")</f>
        <v>7.77000777000777E-4</v>
      </c>
      <c r="F185" s="18">
        <f>IF(ISNUMBER(D185), $B199 * E185, "")</f>
        <v>116.55011655011656</v>
      </c>
      <c r="G185" s="31">
        <v>12900</v>
      </c>
      <c r="H185" s="32">
        <f t="shared" ref="H185:H188" si="99">IF(ISNUMBER(G185), (G185 - $B185) / $B185, "")</f>
        <v>2.331002331002331E-3</v>
      </c>
      <c r="I185" s="91">
        <f>IF(ISNUMBER(G185), $B199 * H185, "")</f>
        <v>349.65034965034965</v>
      </c>
      <c r="J185" s="15">
        <v>12850</v>
      </c>
      <c r="K185" s="32">
        <f t="shared" ref="K185:K188" si="100">IF(ISNUMBER(J185), (J185 - $B185) / $B185, "")</f>
        <v>-1.554001554001554E-3</v>
      </c>
      <c r="L185" s="18">
        <f>IF(ISNUMBER(J185), $B199 * K185, "")</f>
        <v>-233.10023310023311</v>
      </c>
      <c r="M185" s="31">
        <v>13020</v>
      </c>
      <c r="N185" s="32">
        <f t="shared" ref="N185:N188" si="101">IF(ISNUMBER(M185), (M185 - $B185) / $B185, "")</f>
        <v>1.1655011655011656E-2</v>
      </c>
      <c r="O185" s="18">
        <f>IF(ISNUMBER(M185), $B199 * N185, "")</f>
        <v>1748.2517482517483</v>
      </c>
      <c r="Q185" s="161"/>
      <c r="R185" s="161"/>
      <c r="S185" s="161"/>
    </row>
    <row r="186" spans="1:19" ht="17.25" thickBot="1">
      <c r="A186" s="109" t="s">
        <v>107</v>
      </c>
      <c r="B186" s="110">
        <v>40.700000000000003</v>
      </c>
      <c r="C186" s="70">
        <v>-5.5684454799999998E-2</v>
      </c>
      <c r="D186" s="15">
        <v>42.4</v>
      </c>
      <c r="E186" s="32">
        <f t="shared" si="98"/>
        <v>4.1769041769041663E-2</v>
      </c>
      <c r="F186" s="18">
        <f>IF(ISNUMBER(D186), $B199 * E186, "")</f>
        <v>6265.3562653562494</v>
      </c>
      <c r="G186" s="31">
        <v>42.2</v>
      </c>
      <c r="H186" s="32">
        <f t="shared" si="99"/>
        <v>3.6855036855036855E-2</v>
      </c>
      <c r="I186" s="91">
        <f>IF(ISNUMBER(G186), $B199 * H186, "")</f>
        <v>5528.2555282555286</v>
      </c>
      <c r="J186" s="15">
        <v>41.9</v>
      </c>
      <c r="K186" s="32">
        <f t="shared" si="100"/>
        <v>2.9484029484029377E-2</v>
      </c>
      <c r="L186" s="18">
        <f>IF(ISNUMBER(J186), $B199 * K186, "")</f>
        <v>4422.6044226044069</v>
      </c>
      <c r="M186" s="31">
        <v>41.8</v>
      </c>
      <c r="N186" s="32">
        <f t="shared" si="101"/>
        <v>2.7027027027026886E-2</v>
      </c>
      <c r="O186" s="18">
        <f>IF(ISNUMBER(M186), $B199 * N186, "")</f>
        <v>4054.0540540540328</v>
      </c>
      <c r="Q186" s="161"/>
      <c r="R186" s="161"/>
      <c r="S186" s="161"/>
    </row>
    <row r="187" spans="1:19" ht="17.25" thickBot="1">
      <c r="A187" s="109" t="s">
        <v>68</v>
      </c>
      <c r="B187" s="110">
        <v>368</v>
      </c>
      <c r="C187" s="70">
        <v>-5.6410256399999997E-2</v>
      </c>
      <c r="D187" s="15">
        <v>378</v>
      </c>
      <c r="E187" s="32">
        <f t="shared" si="98"/>
        <v>2.717391304347826E-2</v>
      </c>
      <c r="F187" s="18">
        <f>IF(ISNUMBER(D187), $B199 * E187, "")</f>
        <v>4076.086956521739</v>
      </c>
      <c r="G187" s="31">
        <v>376</v>
      </c>
      <c r="H187" s="32">
        <f t="shared" si="99"/>
        <v>2.1739130434782608E-2</v>
      </c>
      <c r="I187" s="91">
        <f>IF(ISNUMBER(G187), $B199 * H187, "")</f>
        <v>3260.869565217391</v>
      </c>
      <c r="J187" s="15">
        <v>371</v>
      </c>
      <c r="K187" s="32">
        <f t="shared" si="100"/>
        <v>8.152173913043478E-3</v>
      </c>
      <c r="L187" s="18">
        <f>IF(ISNUMBER(J187), $B199 * K187, "")</f>
        <v>1222.8260869565217</v>
      </c>
      <c r="M187" s="31">
        <v>375</v>
      </c>
      <c r="N187" s="32">
        <f t="shared" si="101"/>
        <v>1.9021739130434784E-2</v>
      </c>
      <c r="O187" s="18">
        <f>IF(ISNUMBER(M187), $B199 * N187, "")</f>
        <v>2853.2608695652175</v>
      </c>
      <c r="Q187" s="33"/>
      <c r="R187" s="33"/>
    </row>
    <row r="188" spans="1:19" ht="17.25" thickBot="1">
      <c r="A188" s="114" t="s">
        <v>350</v>
      </c>
      <c r="B188" s="115">
        <v>7.68</v>
      </c>
      <c r="C188" s="72">
        <v>-5.6511056499999997E-2</v>
      </c>
      <c r="D188" s="24">
        <v>8.26</v>
      </c>
      <c r="E188" s="25">
        <f t="shared" si="98"/>
        <v>7.5520833333333343E-2</v>
      </c>
      <c r="F188" s="94">
        <f>IF(ISNUMBER(D188), $B199 * E188, "")</f>
        <v>11328.125000000002</v>
      </c>
      <c r="G188" s="92">
        <v>8.09</v>
      </c>
      <c r="H188" s="25">
        <f t="shared" si="99"/>
        <v>5.3385416666666685E-2</v>
      </c>
      <c r="I188" s="93">
        <f>IF(ISNUMBER(G188), $B199 * H188, "")</f>
        <v>8007.8125000000027</v>
      </c>
      <c r="J188" s="24">
        <v>8</v>
      </c>
      <c r="K188" s="25">
        <f t="shared" si="100"/>
        <v>4.1666666666666706E-2</v>
      </c>
      <c r="L188" s="94">
        <f>IF(ISNUMBER(J188), $B199 * K188, "")</f>
        <v>6250.0000000000055</v>
      </c>
      <c r="M188" s="92">
        <v>7.96</v>
      </c>
      <c r="N188" s="25">
        <f t="shared" si="101"/>
        <v>3.645833333333337E-2</v>
      </c>
      <c r="O188" s="94">
        <f>IF(ISNUMBER(M188), $B199 * N188, "")</f>
        <v>5468.7500000000055</v>
      </c>
      <c r="Q188" s="170"/>
      <c r="R188" s="171"/>
      <c r="S188" s="172"/>
    </row>
    <row r="189" spans="1:19">
      <c r="A189" s="107" t="s">
        <v>189</v>
      </c>
      <c r="B189" s="108">
        <v>1400</v>
      </c>
      <c r="C189" s="69">
        <v>-5.7239057199999999E-2</v>
      </c>
      <c r="D189" s="13">
        <v>1380</v>
      </c>
      <c r="E189" s="14">
        <f>IF(ISNUMBER(D189), (D189 - $B189) / $B189, "")</f>
        <v>-1.4285714285714285E-2</v>
      </c>
      <c r="F189" s="16">
        <f>IF(ISNUMBER(D189), $B199 * E189, "")</f>
        <v>-2142.8571428571427</v>
      </c>
      <c r="G189" s="29">
        <v>1380</v>
      </c>
      <c r="H189" s="14">
        <f>IF(ISNUMBER(G189), (G189 - $B189) / $B189, "")</f>
        <v>-1.4285714285714285E-2</v>
      </c>
      <c r="I189" s="90">
        <f>IF(ISNUMBER(G189), $B199 * H189, "")</f>
        <v>-2142.8571428571427</v>
      </c>
      <c r="J189" s="13">
        <v>1360</v>
      </c>
      <c r="K189" s="14">
        <f>IF(ISNUMBER(J189), (J189 - $B189) / $B189, "")</f>
        <v>-2.8571428571428571E-2</v>
      </c>
      <c r="L189" s="16">
        <f>IF(ISNUMBER(J189), $B199 * K189, "")</f>
        <v>-4285.7142857142853</v>
      </c>
      <c r="M189" s="29">
        <v>1370</v>
      </c>
      <c r="N189" s="14">
        <f>IF(ISNUMBER(M189), (M189 - $B189) / $B189, "")</f>
        <v>-2.1428571428571429E-2</v>
      </c>
      <c r="O189" s="16">
        <f>IF(ISNUMBER(M189), $B199 * N189, "")</f>
        <v>-3214.2857142857142</v>
      </c>
      <c r="Q189" s="173"/>
      <c r="R189" s="174"/>
      <c r="S189" s="175"/>
    </row>
    <row r="190" spans="1:19" ht="17.25" thickBot="1">
      <c r="A190" s="109" t="s">
        <v>349</v>
      </c>
      <c r="B190" s="110">
        <v>798</v>
      </c>
      <c r="C190" s="70">
        <v>-6.0070671399999997E-2</v>
      </c>
      <c r="D190" s="15">
        <v>777</v>
      </c>
      <c r="E190" s="32">
        <f t="shared" ref="E190:E193" si="102">IF(ISNUMBER(D190), (D190 - $B190) / $B190, "")</f>
        <v>-2.6315789473684209E-2</v>
      </c>
      <c r="F190" s="18">
        <f>IF(ISNUMBER(D190), $B199 * E190, "")</f>
        <v>-3947.3684210526312</v>
      </c>
      <c r="G190" s="31">
        <v>784</v>
      </c>
      <c r="H190" s="32">
        <f t="shared" ref="H190:H193" si="103">IF(ISNUMBER(G190), (G190 - $B190) / $B190, "")</f>
        <v>-1.7543859649122806E-2</v>
      </c>
      <c r="I190" s="91">
        <f>IF(ISNUMBER(G190), $B199 * H190, "")</f>
        <v>-2631.5789473684208</v>
      </c>
      <c r="J190" s="15">
        <v>777</v>
      </c>
      <c r="K190" s="32">
        <f t="shared" ref="K190:K193" si="104">IF(ISNUMBER(J190), (J190 - $B190) / $B190, "")</f>
        <v>-2.6315789473684209E-2</v>
      </c>
      <c r="L190" s="18">
        <f>IF(ISNUMBER(J190), $B199 * K190, "")</f>
        <v>-3947.3684210526312</v>
      </c>
      <c r="M190" s="31">
        <v>783</v>
      </c>
      <c r="N190" s="32">
        <f t="shared" ref="N190:N193" si="105">IF(ISNUMBER(M190), (M190 - $B190) / $B190, "")</f>
        <v>-1.8796992481203006E-2</v>
      </c>
      <c r="O190" s="18">
        <f>IF(ISNUMBER(M190), $B199 * N190, "")</f>
        <v>-2819.5488721804509</v>
      </c>
      <c r="Q190" s="176"/>
      <c r="R190" s="177"/>
      <c r="S190" s="178"/>
    </row>
    <row r="191" spans="1:19" ht="17.25" thickBot="1">
      <c r="A191" s="109" t="s">
        <v>340</v>
      </c>
      <c r="B191" s="110">
        <v>597</v>
      </c>
      <c r="C191" s="70">
        <v>-6.27943485E-2</v>
      </c>
      <c r="D191" s="15">
        <v>589</v>
      </c>
      <c r="E191" s="32">
        <f t="shared" si="102"/>
        <v>-1.340033500837521E-2</v>
      </c>
      <c r="F191" s="18">
        <f>IF(ISNUMBER(D191), $B199 * E191, "")</f>
        <v>-2010.0502512562814</v>
      </c>
      <c r="G191" s="31">
        <v>587</v>
      </c>
      <c r="H191" s="32">
        <f t="shared" si="103"/>
        <v>-1.675041876046901E-2</v>
      </c>
      <c r="I191" s="91">
        <f>IF(ISNUMBER(G191), $B199 * H191, "")</f>
        <v>-2512.5628140703516</v>
      </c>
      <c r="J191" s="15">
        <v>582</v>
      </c>
      <c r="K191" s="32">
        <f t="shared" si="104"/>
        <v>-2.5125628140703519E-2</v>
      </c>
      <c r="L191" s="18">
        <f>IF(ISNUMBER(J191), $B199 * K191, "")</f>
        <v>-3768.844221105528</v>
      </c>
      <c r="M191" s="31">
        <v>585</v>
      </c>
      <c r="N191" s="32">
        <f t="shared" si="105"/>
        <v>-2.0100502512562814E-2</v>
      </c>
      <c r="O191" s="18">
        <f>IF(ISNUMBER(M191), $B199 * N191, "")</f>
        <v>-3015.075376884422</v>
      </c>
      <c r="Q191" s="161"/>
      <c r="R191" s="161"/>
      <c r="S191" s="161"/>
    </row>
    <row r="192" spans="1:19" ht="17.25" thickBot="1">
      <c r="A192" s="109" t="s">
        <v>151</v>
      </c>
      <c r="B192" s="110">
        <v>3110</v>
      </c>
      <c r="C192" s="70">
        <v>-6.4661654099999993E-2</v>
      </c>
      <c r="D192" s="15">
        <v>3110</v>
      </c>
      <c r="E192" s="32">
        <f t="shared" si="102"/>
        <v>0</v>
      </c>
      <c r="F192" s="18">
        <f>IF(ISNUMBER(D192), $B199 * E192, "")</f>
        <v>0</v>
      </c>
      <c r="G192" s="31">
        <v>2925</v>
      </c>
      <c r="H192" s="32">
        <f t="shared" si="103"/>
        <v>-5.9485530546623797E-2</v>
      </c>
      <c r="I192" s="91">
        <f>IF(ISNUMBER(G192), $B199 * H192, "")</f>
        <v>-8922.8295819935702</v>
      </c>
      <c r="J192" s="15">
        <v>2765</v>
      </c>
      <c r="K192" s="32">
        <f t="shared" si="104"/>
        <v>-0.11093247588424437</v>
      </c>
      <c r="L192" s="18">
        <f>IF(ISNUMBER(J192), $B199 * K192, "")</f>
        <v>-16639.871382636655</v>
      </c>
      <c r="M192" s="31">
        <v>2735</v>
      </c>
      <c r="N192" s="32">
        <f t="shared" si="105"/>
        <v>-0.12057877813504823</v>
      </c>
      <c r="O192" s="18">
        <f>IF(ISNUMBER(M192), $B199 * N192, "")</f>
        <v>-18086.816720257237</v>
      </c>
      <c r="Q192" s="156"/>
      <c r="R192" s="156"/>
      <c r="S192" s="156"/>
    </row>
    <row r="193" spans="1:19" ht="17.25" thickBot="1">
      <c r="A193" s="111" t="s">
        <v>120</v>
      </c>
      <c r="B193" s="112">
        <v>128</v>
      </c>
      <c r="C193" s="71">
        <v>-6.56934307E-2</v>
      </c>
      <c r="D193" s="20">
        <v>128</v>
      </c>
      <c r="E193" s="21">
        <f t="shared" si="102"/>
        <v>0</v>
      </c>
      <c r="F193" s="22">
        <f>IF(ISNUMBER(D193), $B199 * E193, "")</f>
        <v>0</v>
      </c>
      <c r="G193" s="30">
        <v>128</v>
      </c>
      <c r="H193" s="21">
        <f t="shared" si="103"/>
        <v>0</v>
      </c>
      <c r="I193" s="95">
        <f>IF(ISNUMBER(G193), $B199 * H193, "")</f>
        <v>0</v>
      </c>
      <c r="J193" s="20">
        <v>128</v>
      </c>
      <c r="K193" s="21">
        <f t="shared" si="104"/>
        <v>0</v>
      </c>
      <c r="L193" s="22">
        <f>IF(ISNUMBER(J193), $B199 * K193, "")</f>
        <v>0</v>
      </c>
      <c r="M193" s="30">
        <v>129</v>
      </c>
      <c r="N193" s="21">
        <f t="shared" si="105"/>
        <v>7.8125E-3</v>
      </c>
      <c r="O193" s="22">
        <f>IF(ISNUMBER(M193), $B199 * N193, "")</f>
        <v>1171.875</v>
      </c>
      <c r="Q193" s="156"/>
      <c r="R193" s="156"/>
      <c r="S193" s="156"/>
    </row>
    <row r="194" spans="1:19" ht="17.25" thickBot="1">
      <c r="A194" s="109" t="s">
        <v>187</v>
      </c>
      <c r="B194" s="113">
        <v>806</v>
      </c>
      <c r="C194" s="73">
        <v>-6.7129629600000004E-2</v>
      </c>
      <c r="D194" s="96">
        <v>792</v>
      </c>
      <c r="E194" s="97">
        <f>IF(ISNUMBER(D194), (D194 - $B194) / $B194, "")</f>
        <v>-1.7369727047146403E-2</v>
      </c>
      <c r="F194" s="98">
        <f>IF(ISNUMBER(D194), $B199 * E194, "")</f>
        <v>-2605.4590570719606</v>
      </c>
      <c r="G194" s="99">
        <v>787</v>
      </c>
      <c r="H194" s="97">
        <f>IF(ISNUMBER(G194), (G194 - $B194) / $B194, "")</f>
        <v>-2.3573200992555832E-2</v>
      </c>
      <c r="I194" s="100">
        <f>IF(ISNUMBER(G194), $B199 * H194, "")</f>
        <v>-3535.9801488833746</v>
      </c>
      <c r="J194" s="96">
        <v>786</v>
      </c>
      <c r="K194" s="97">
        <f>IF(ISNUMBER(J194), (J194 - $B194) / $B194, "")</f>
        <v>-2.4813895781637719E-2</v>
      </c>
      <c r="L194" s="98">
        <f>IF(ISNUMBER(J194), $B199 * K194, "")</f>
        <v>-3722.0843672456576</v>
      </c>
      <c r="M194" s="99">
        <v>790</v>
      </c>
      <c r="N194" s="97">
        <f>IF(ISNUMBER(M194), (M194 - $B194) / $B194, "")</f>
        <v>-1.9851116625310174E-2</v>
      </c>
      <c r="O194" s="98">
        <f>IF(ISNUMBER(M194), $B199 * N194, "")</f>
        <v>-2977.6674937965258</v>
      </c>
      <c r="Q194" s="161"/>
      <c r="R194" s="161"/>
      <c r="S194" s="161"/>
    </row>
    <row r="195" spans="1:19" ht="17.25" thickBot="1">
      <c r="A195" s="109" t="s">
        <v>130</v>
      </c>
      <c r="B195" s="110">
        <v>835</v>
      </c>
      <c r="C195" s="70">
        <v>-7.4279379199999995E-2</v>
      </c>
      <c r="D195" s="15">
        <v>834</v>
      </c>
      <c r="E195" s="32">
        <f t="shared" ref="E195:E198" si="106">IF(ISNUMBER(D195), (D195 - $B195) / $B195, "")</f>
        <v>-1.1976047904191617E-3</v>
      </c>
      <c r="F195" s="18">
        <f>IF(ISNUMBER(D195), $B199 * E195, "")</f>
        <v>-179.64071856287424</v>
      </c>
      <c r="G195" s="31">
        <v>833</v>
      </c>
      <c r="H195" s="32">
        <f t="shared" ref="H195:H198" si="107">IF(ISNUMBER(G195), (G195 - $B195) / $B195, "")</f>
        <v>-2.3952095808383233E-3</v>
      </c>
      <c r="I195" s="91">
        <f>IF(ISNUMBER(G195), $B199 * H195, "")</f>
        <v>-359.28143712574848</v>
      </c>
      <c r="J195" s="15">
        <v>830</v>
      </c>
      <c r="K195" s="32">
        <f t="shared" ref="K195:K198" si="108">IF(ISNUMBER(J195), (J195 - $B195) / $B195, "")</f>
        <v>-5.9880239520958087E-3</v>
      </c>
      <c r="L195" s="18">
        <f>IF(ISNUMBER(J195), $B199 * K195, "")</f>
        <v>-898.20359281437129</v>
      </c>
      <c r="M195" s="31">
        <v>832</v>
      </c>
      <c r="N195" s="32">
        <f t="shared" ref="N195:N198" si="109">IF(ISNUMBER(M195), (M195 - $B195) / $B195, "")</f>
        <v>-3.592814371257485E-3</v>
      </c>
      <c r="O195" s="18">
        <f>IF(ISNUMBER(M195), $B199 * N195, "")</f>
        <v>-538.92215568862275</v>
      </c>
      <c r="Q195" s="161"/>
      <c r="R195" s="161"/>
      <c r="S195" s="161"/>
    </row>
    <row r="196" spans="1:19" ht="17.25" thickBot="1">
      <c r="A196" s="109" t="s">
        <v>352</v>
      </c>
      <c r="B196" s="110">
        <v>273</v>
      </c>
      <c r="C196" s="70">
        <v>-7.4576271200000002E-2</v>
      </c>
      <c r="D196" s="15">
        <v>264</v>
      </c>
      <c r="E196" s="32">
        <f t="shared" si="106"/>
        <v>-3.2967032967032968E-2</v>
      </c>
      <c r="F196" s="18">
        <f>IF(ISNUMBER(D196), $B199 * E196, "")</f>
        <v>-4945.0549450549452</v>
      </c>
      <c r="G196" s="31">
        <v>263</v>
      </c>
      <c r="H196" s="32">
        <f t="shared" si="107"/>
        <v>-3.6630036630036632E-2</v>
      </c>
      <c r="I196" s="91">
        <f>IF(ISNUMBER(G196), $B199 * H196, "")</f>
        <v>-5494.5054945054944</v>
      </c>
      <c r="J196" s="15">
        <v>265</v>
      </c>
      <c r="K196" s="32">
        <f t="shared" si="108"/>
        <v>-2.9304029304029304E-2</v>
      </c>
      <c r="L196" s="18">
        <f>IF(ISNUMBER(J196), $B199 * K196, "")</f>
        <v>-4395.6043956043959</v>
      </c>
      <c r="M196" s="31">
        <v>266</v>
      </c>
      <c r="N196" s="32">
        <f t="shared" si="109"/>
        <v>-2.564102564102564E-2</v>
      </c>
      <c r="O196" s="18">
        <f>IF(ISNUMBER(M196), $B199 * N196, "")</f>
        <v>-3846.1538461538462</v>
      </c>
      <c r="Q196" s="161"/>
      <c r="R196" s="161"/>
      <c r="S196" s="161"/>
    </row>
    <row r="197" spans="1:19">
      <c r="A197" s="109" t="s">
        <v>97</v>
      </c>
      <c r="B197" s="110">
        <v>8.0000000000000004E-4</v>
      </c>
      <c r="C197" s="70">
        <v>-0.2</v>
      </c>
      <c r="D197" s="15">
        <v>8.9999999999999998E-4</v>
      </c>
      <c r="E197" s="32">
        <f t="shared" si="106"/>
        <v>0.12499999999999992</v>
      </c>
      <c r="F197" s="18">
        <f>IF(ISNUMBER(D197), $B199 * E197, "")</f>
        <v>18749.999999999989</v>
      </c>
      <c r="G197" s="31">
        <v>8.9999999999999998E-4</v>
      </c>
      <c r="H197" s="32">
        <f t="shared" si="107"/>
        <v>0.12499999999999992</v>
      </c>
      <c r="I197" s="91">
        <f>IF(ISNUMBER(G197), $B199 * H197, "")</f>
        <v>18749.999999999989</v>
      </c>
      <c r="J197" s="15">
        <v>8.9999999999999998E-4</v>
      </c>
      <c r="K197" s="32">
        <f t="shared" si="108"/>
        <v>0.12499999999999992</v>
      </c>
      <c r="L197" s="18">
        <f>IF(ISNUMBER(J197), $B199 * K197, "")</f>
        <v>18749.999999999989</v>
      </c>
      <c r="M197" s="31">
        <v>8.9999999999999998E-4</v>
      </c>
      <c r="N197" s="32">
        <f t="shared" si="109"/>
        <v>0.12499999999999992</v>
      </c>
      <c r="O197" s="18">
        <f>IF(ISNUMBER(M197), $B199 * N197, "")</f>
        <v>18749.999999999989</v>
      </c>
      <c r="Q197" s="183"/>
      <c r="R197" s="184"/>
      <c r="S197" s="185"/>
    </row>
    <row r="198" spans="1:19" ht="17.25" thickBot="1">
      <c r="A198" s="114" t="s">
        <v>347</v>
      </c>
      <c r="B198" s="115">
        <v>407</v>
      </c>
      <c r="C198" s="72">
        <v>-0.65213675209999999</v>
      </c>
      <c r="D198" s="24">
        <v>209</v>
      </c>
      <c r="E198" s="25">
        <f t="shared" si="106"/>
        <v>-0.48648648648648651</v>
      </c>
      <c r="F198" s="94">
        <f>IF(ISNUMBER(D198), $B199 * E198, "")</f>
        <v>-72972.972972972973</v>
      </c>
      <c r="G198" s="92" t="s">
        <v>353</v>
      </c>
      <c r="H198" s="25" t="str">
        <f t="shared" si="107"/>
        <v/>
      </c>
      <c r="I198" s="93" t="str">
        <f>IF(ISNUMBER(G198), $B199 * H198, "")</f>
        <v/>
      </c>
      <c r="J198" s="24" t="s">
        <v>353</v>
      </c>
      <c r="K198" s="25" t="str">
        <f t="shared" si="108"/>
        <v/>
      </c>
      <c r="L198" s="94" t="str">
        <f>IF(ISNUMBER(J198), $B199 * K198, "")</f>
        <v/>
      </c>
      <c r="M198" s="92" t="s">
        <v>353</v>
      </c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-1.3954789429309427E-2</v>
      </c>
      <c r="F199" s="28">
        <f>SUM(F179:F198)</f>
        <v>-41864.368287928271</v>
      </c>
      <c r="G199" s="26" t="s">
        <v>261</v>
      </c>
      <c r="H199" s="27">
        <f>IF(COUNT(H179:H198), SUM(H179:H198) / COUNT(H179:H198), 0)</f>
        <v>4.552927192529233E-3</v>
      </c>
      <c r="I199" s="28">
        <f>SUM(I179:I198)</f>
        <v>12975.842498708318</v>
      </c>
      <c r="J199" s="26" t="s">
        <v>261</v>
      </c>
      <c r="K199" s="27">
        <f>IF(COUNT(K179:K198), SUM(K179:K198) / COUNT(K179:K198), 0)</f>
        <v>-3.645317147305338E-3</v>
      </c>
      <c r="L199" s="28">
        <f>SUM(L179:L198)</f>
        <v>-10389.153869820209</v>
      </c>
      <c r="M199" s="26" t="s">
        <v>261</v>
      </c>
      <c r="N199" s="27">
        <f>IF(COUNT(N179:N198), SUM(N179:N198) / COUNT(N179:N198), 0)</f>
        <v>-1.3050736005759313E-3</v>
      </c>
      <c r="O199" s="28">
        <f>SUM(O179:O198)</f>
        <v>-3719.459761641403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304F0-02B4-4835-B3EC-D5D6FF8DA011}">
  <sheetPr codeName="Sheet15"/>
  <dimension ref="A1:S199"/>
  <sheetViews>
    <sheetView topLeftCell="A24" zoomScaleNormal="100" workbookViewId="0">
      <selection activeCell="F26" sqref="F26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44904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77,343 KRW (2.58%)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107,029 KRW (3.57%)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32,556 KRW (1.09%)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44,747 KRW (1.49%)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2022-12-09(금) 오전 00:00</v>
      </c>
      <c r="C15" s="202"/>
      <c r="D15" s="158" t="str">
        <f>TEXT($G$1, "[$-ko-KR]yyyy-mm-dd(ddd) ") &amp; "오후 14:00"</f>
        <v>2022-12-09(금) 오후 14:00</v>
      </c>
      <c r="E15" s="159"/>
      <c r="F15" s="160"/>
      <c r="G15" s="158" t="str">
        <f>TEXT($G$1, "[$-ko-KR]yyyy-mm-dd(ddd) ") &amp; "오후 19:00"</f>
        <v>2022-12-09(금) 오후 19:00</v>
      </c>
      <c r="H15" s="159"/>
      <c r="I15" s="160"/>
      <c r="J15" s="158" t="str">
        <f>TEXT($G$1, "[$-ko-KR]yyyy-mm-dd(ddd) ") &amp; "오후 21:00"</f>
        <v>2022-12-09(금) 오후 21:00</v>
      </c>
      <c r="K15" s="159"/>
      <c r="L15" s="160"/>
      <c r="M15" s="158" t="str">
        <f>TEXT($G$1+1, "[$-ko-KR]yyyy-mm-dd(ddd) ") &amp; "오전 00:00"</f>
        <v>2022-12-10(토)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2022-12-09(금) 오전 00:00</v>
      </c>
      <c r="C42" s="199"/>
      <c r="D42" s="158" t="str">
        <f>TEXT($G$1, "[$-ko-KR]yyyy-mm-dd(ddd) ") &amp; "오후 14:00"</f>
        <v>2022-12-09(금) 오후 14:00</v>
      </c>
      <c r="E42" s="159"/>
      <c r="F42" s="160"/>
      <c r="G42" s="158" t="str">
        <f>TEXT($G$1, "[$-ko-KR]yyyy-mm-dd(ddd) ") &amp; "오후 19:00"</f>
        <v>2022-12-09(금) 오후 19:00</v>
      </c>
      <c r="H42" s="159"/>
      <c r="I42" s="160"/>
      <c r="J42" s="158" t="str">
        <f>TEXT($G$1, "[$-ko-KR]yyyy-mm-dd(ddd) ") &amp; "오후 21:00"</f>
        <v>2022-12-09(금) 오후 21:00</v>
      </c>
      <c r="K42" s="159"/>
      <c r="L42" s="160"/>
      <c r="M42" s="158" t="str">
        <f>TEXT($G$1+1, "[$-ko-KR]yyyy-mm-dd(ddd) ") &amp; "오전 00:00"</f>
        <v>2022-12-10(토)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198</v>
      </c>
      <c r="B44" s="108">
        <v>9.2200000000000006</v>
      </c>
      <c r="C44" s="69">
        <v>0.11084337349999999</v>
      </c>
      <c r="D44" s="13">
        <v>10</v>
      </c>
      <c r="E44" s="14">
        <f>IF(ISNUMBER(D44), (D44 - $B44) / $B44, "")</f>
        <v>8.4598698481561749E-2</v>
      </c>
      <c r="F44" s="16">
        <f>IF(ISNUMBER(D44), $B64 * E44, "")</f>
        <v>12689.804772234262</v>
      </c>
      <c r="G44" s="29">
        <v>9.76</v>
      </c>
      <c r="H44" s="14">
        <f>IF(ISNUMBER(G44), (G44 - $B44) / $B44, "")</f>
        <v>5.8568329718004242E-2</v>
      </c>
      <c r="I44" s="90">
        <f>IF(ISNUMBER(G44), $B64 * H44, "")</f>
        <v>8785.2494577006364</v>
      </c>
      <c r="J44" s="13">
        <v>9.76</v>
      </c>
      <c r="K44" s="14">
        <f>IF(ISNUMBER(J44), (J44 - $B44) / $B44, "")</f>
        <v>5.8568329718004242E-2</v>
      </c>
      <c r="L44" s="16">
        <f>IF(ISNUMBER(J44), $B64 * K44, "")</f>
        <v>8785.2494577006364</v>
      </c>
      <c r="M44" s="29">
        <v>9.82</v>
      </c>
      <c r="N44" s="14">
        <f>IF(ISNUMBER(M44), (M44 - $B44) / $B44, "")</f>
        <v>6.5075921908893664E-2</v>
      </c>
      <c r="O44" s="16">
        <f>IF(ISNUMBER(M44), $B64 * N44, "")</f>
        <v>9761.3882863340496</v>
      </c>
      <c r="Q44" s="156"/>
      <c r="R44" s="156"/>
      <c r="S44" s="156"/>
    </row>
    <row r="45" spans="1:19" ht="17.25" customHeight="1" thickBot="1">
      <c r="A45" s="109" t="s">
        <v>181</v>
      </c>
      <c r="B45" s="110">
        <v>4.67</v>
      </c>
      <c r="C45" s="70">
        <v>4.9438202200000003E-2</v>
      </c>
      <c r="D45" s="15">
        <v>4.97</v>
      </c>
      <c r="E45" s="32">
        <f t="shared" ref="E45:E48" si="14">IF(ISNUMBER(D45), (D45 - $B45) / $B45, "")</f>
        <v>6.4239828693790108E-2</v>
      </c>
      <c r="F45" s="18">
        <f>IF(ISNUMBER(D45), $B64 * E45, "")</f>
        <v>9635.9743040685153</v>
      </c>
      <c r="G45" s="31">
        <v>5.87</v>
      </c>
      <c r="H45" s="32">
        <f t="shared" ref="H45:H48" si="15">IF(ISNUMBER(G45), (G45 - $B45) / $B45, "")</f>
        <v>0.25695931477516065</v>
      </c>
      <c r="I45" s="91">
        <f>IF(ISNUMBER(G45), $B64 * H45, "")</f>
        <v>38543.897216274097</v>
      </c>
      <c r="J45" s="15">
        <v>5.87</v>
      </c>
      <c r="K45" s="32">
        <f t="shared" ref="K45:K48" si="16">IF(ISNUMBER(J45), (J45 - $B45) / $B45, "")</f>
        <v>0.25695931477516065</v>
      </c>
      <c r="L45" s="18">
        <f>IF(ISNUMBER(J45), $B64 * K45, "")</f>
        <v>38543.897216274097</v>
      </c>
      <c r="M45" s="31">
        <v>5.7</v>
      </c>
      <c r="N45" s="32">
        <f t="shared" ref="N45:N48" si="17">IF(ISNUMBER(M45), (M45 - $B45) / $B45, "")</f>
        <v>0.2205567451820129</v>
      </c>
      <c r="O45" s="18">
        <f>IF(ISNUMBER(M45), $B64 * N45, "")</f>
        <v>33083.511777301937</v>
      </c>
      <c r="Q45" s="156"/>
      <c r="R45" s="156"/>
      <c r="S45" s="156"/>
    </row>
    <row r="46" spans="1:19" ht="17.25" customHeight="1" thickBot="1">
      <c r="A46" s="109" t="s">
        <v>350</v>
      </c>
      <c r="B46" s="110">
        <v>7.96</v>
      </c>
      <c r="C46" s="70">
        <v>2.70967742E-2</v>
      </c>
      <c r="D46" s="15">
        <v>8.1300000000000008</v>
      </c>
      <c r="E46" s="32">
        <f t="shared" si="14"/>
        <v>2.1356783919598093E-2</v>
      </c>
      <c r="F46" s="18">
        <f>IF(ISNUMBER(D46), $B64 * E46, "")</f>
        <v>3203.5175879397138</v>
      </c>
      <c r="G46" s="31">
        <v>8.17</v>
      </c>
      <c r="H46" s="32">
        <f t="shared" si="15"/>
        <v>2.638190954773869E-2</v>
      </c>
      <c r="I46" s="91">
        <f>IF(ISNUMBER(G46), $B64 * H46, "")</f>
        <v>3957.2864321608035</v>
      </c>
      <c r="J46" s="15">
        <v>8.17</v>
      </c>
      <c r="K46" s="32">
        <f t="shared" si="16"/>
        <v>2.638190954773869E-2</v>
      </c>
      <c r="L46" s="18">
        <f>IF(ISNUMBER(J46), $B64 * K46, "")</f>
        <v>3957.2864321608035</v>
      </c>
      <c r="M46" s="31">
        <v>8.14</v>
      </c>
      <c r="N46" s="32">
        <f t="shared" si="17"/>
        <v>2.2613065326633243E-2</v>
      </c>
      <c r="O46" s="18">
        <f>IF(ISNUMBER(M46), $B64 * N46, "")</f>
        <v>3391.9597989949866</v>
      </c>
      <c r="Q46" s="161"/>
      <c r="R46" s="161"/>
      <c r="S46" s="161"/>
    </row>
    <row r="47" spans="1:19" ht="17.25" customHeight="1" thickBot="1">
      <c r="A47" s="109" t="s">
        <v>206</v>
      </c>
      <c r="B47" s="110">
        <v>3.52</v>
      </c>
      <c r="C47" s="70">
        <v>2.02898551E-2</v>
      </c>
      <c r="D47" s="15">
        <v>3.6</v>
      </c>
      <c r="E47" s="32">
        <f t="shared" si="14"/>
        <v>2.2727272727272749E-2</v>
      </c>
      <c r="F47" s="18">
        <f>IF(ISNUMBER(D47), $B64 * E47, "")</f>
        <v>3409.0909090909122</v>
      </c>
      <c r="G47" s="31">
        <v>3.83</v>
      </c>
      <c r="H47" s="32">
        <f t="shared" si="15"/>
        <v>8.8068181818181837E-2</v>
      </c>
      <c r="I47" s="91">
        <f>IF(ISNUMBER(G47), $B64 * H47, "")</f>
        <v>13210.227272727276</v>
      </c>
      <c r="J47" s="15">
        <v>3.83</v>
      </c>
      <c r="K47" s="32">
        <f t="shared" si="16"/>
        <v>8.8068181818181837E-2</v>
      </c>
      <c r="L47" s="18">
        <f>IF(ISNUMBER(J47), $B64 * K47, "")</f>
        <v>13210.227272727276</v>
      </c>
      <c r="M47" s="31">
        <v>3.73</v>
      </c>
      <c r="N47" s="32">
        <f t="shared" si="17"/>
        <v>5.9659090909090898E-2</v>
      </c>
      <c r="O47" s="18">
        <f>IF(ISNUMBER(M47), $B64 * N47, "")</f>
        <v>8948.8636363636342</v>
      </c>
      <c r="Q47" s="161"/>
      <c r="R47" s="161"/>
      <c r="S47" s="161"/>
    </row>
    <row r="48" spans="1:19" ht="17.25" customHeight="1" thickBot="1">
      <c r="A48" s="111" t="s">
        <v>224</v>
      </c>
      <c r="B48" s="112">
        <v>21.2</v>
      </c>
      <c r="C48" s="71">
        <v>1.9230769200000001E-2</v>
      </c>
      <c r="D48" s="20">
        <v>21.3</v>
      </c>
      <c r="E48" s="21">
        <f t="shared" si="14"/>
        <v>4.7169811320755392E-3</v>
      </c>
      <c r="F48" s="22">
        <f>IF(ISNUMBER(D48), $B64 * E48, "")</f>
        <v>707.54716981133083</v>
      </c>
      <c r="G48" s="30">
        <v>21.8</v>
      </c>
      <c r="H48" s="21">
        <f t="shared" si="15"/>
        <v>2.8301886792452897E-2</v>
      </c>
      <c r="I48" s="95">
        <f>IF(ISNUMBER(G48), $B64 * H48, "")</f>
        <v>4245.2830188679345</v>
      </c>
      <c r="J48" s="20">
        <v>21.8</v>
      </c>
      <c r="K48" s="21">
        <f t="shared" si="16"/>
        <v>2.8301886792452897E-2</v>
      </c>
      <c r="L48" s="22">
        <f>IF(ISNUMBER(J48), $B64 * K48, "")</f>
        <v>4245.2830188679345</v>
      </c>
      <c r="M48" s="30">
        <v>21.7</v>
      </c>
      <c r="N48" s="21">
        <f t="shared" si="17"/>
        <v>2.358490566037736E-2</v>
      </c>
      <c r="O48" s="22">
        <f>IF(ISNUMBER(M48), $B64 * N48, "")</f>
        <v>3537.7358490566039</v>
      </c>
      <c r="Q48" s="161"/>
      <c r="R48" s="161"/>
      <c r="S48" s="161"/>
    </row>
    <row r="49" spans="1:19" ht="17.25" customHeight="1" thickBot="1">
      <c r="A49" s="109" t="s">
        <v>107</v>
      </c>
      <c r="B49" s="113">
        <v>41.8</v>
      </c>
      <c r="C49" s="73">
        <v>1.7031630200000002E-2</v>
      </c>
      <c r="D49" s="96">
        <v>42.2</v>
      </c>
      <c r="E49" s="97">
        <f>IF(ISNUMBER(D49), (D49 - $B49) / $B49, "")</f>
        <v>9.5693779904307587E-3</v>
      </c>
      <c r="F49" s="98">
        <f>IF(ISNUMBER(D49), $B64 * E49, "")</f>
        <v>1435.4066985646139</v>
      </c>
      <c r="G49" s="99">
        <v>42.5</v>
      </c>
      <c r="H49" s="97">
        <f>IF(ISNUMBER(G49), (G49 - $B49) / $B49, "")</f>
        <v>1.6746411483253659E-2</v>
      </c>
      <c r="I49" s="100">
        <f>IF(ISNUMBER(G49), $B64 * H49, "")</f>
        <v>2511.961722488049</v>
      </c>
      <c r="J49" s="96">
        <v>42.5</v>
      </c>
      <c r="K49" s="97">
        <f>IF(ISNUMBER(J49), (J49 - $B49) / $B49, "")</f>
        <v>1.6746411483253659E-2</v>
      </c>
      <c r="L49" s="98">
        <f>IF(ISNUMBER(J49), $B64 * K49, "")</f>
        <v>2511.961722488049</v>
      </c>
      <c r="M49" s="99">
        <v>42.2</v>
      </c>
      <c r="N49" s="97">
        <f>IF(ISNUMBER(M49), (M49 - $B49) / $B49, "")</f>
        <v>9.5693779904307587E-3</v>
      </c>
      <c r="O49" s="98">
        <f>IF(ISNUMBER(M49), $B64 * N49, "")</f>
        <v>1435.4066985646139</v>
      </c>
      <c r="Q49" s="161"/>
      <c r="R49" s="161"/>
      <c r="S49" s="161"/>
    </row>
    <row r="50" spans="1:19" ht="17.25" customHeight="1" thickBot="1">
      <c r="A50" s="109" t="s">
        <v>240</v>
      </c>
      <c r="B50" s="110">
        <v>30.2</v>
      </c>
      <c r="C50" s="70">
        <v>1.6835016800000002E-2</v>
      </c>
      <c r="D50" s="15">
        <v>30.5</v>
      </c>
      <c r="E50" s="32">
        <f t="shared" ref="E50:E53" si="18">IF(ISNUMBER(D50), (D50 - $B50) / $B50, "")</f>
        <v>9.9337748344371091E-3</v>
      </c>
      <c r="F50" s="18">
        <f>IF(ISNUMBER(D50), $B64 * E50, "")</f>
        <v>1490.0662251655663</v>
      </c>
      <c r="G50" s="31">
        <v>30.5</v>
      </c>
      <c r="H50" s="32">
        <f t="shared" ref="H50:H53" si="19">IF(ISNUMBER(G50), (G50 - $B50) / $B50, "")</f>
        <v>9.9337748344371091E-3</v>
      </c>
      <c r="I50" s="91">
        <f>IF(ISNUMBER(G50), $B64 * H50, "")</f>
        <v>1490.0662251655663</v>
      </c>
      <c r="J50" s="15">
        <v>30.5</v>
      </c>
      <c r="K50" s="32">
        <f t="shared" ref="K50:K53" si="20">IF(ISNUMBER(J50), (J50 - $B50) / $B50, "")</f>
        <v>9.9337748344371091E-3</v>
      </c>
      <c r="L50" s="18">
        <f>IF(ISNUMBER(J50), $B64 * K50, "")</f>
        <v>1490.0662251655663</v>
      </c>
      <c r="M50" s="31">
        <v>30.3</v>
      </c>
      <c r="N50" s="32">
        <f t="shared" ref="N50:N53" si="21">IF(ISNUMBER(M50), (M50 - $B50) / $B50, "")</f>
        <v>3.3112582781457426E-3</v>
      </c>
      <c r="O50" s="18">
        <f>IF(ISNUMBER(M50), $B64 * N50, "")</f>
        <v>496.68874172186139</v>
      </c>
      <c r="Q50" s="161"/>
      <c r="R50" s="161"/>
      <c r="S50" s="161"/>
    </row>
    <row r="51" spans="1:19" ht="17.25" customHeight="1" thickBot="1">
      <c r="A51" s="109" t="s">
        <v>335</v>
      </c>
      <c r="B51" s="110">
        <v>3.8899999999999997E-2</v>
      </c>
      <c r="C51" s="70">
        <v>1.56657963E-2</v>
      </c>
      <c r="D51" s="15">
        <v>3.8699999999999998E-2</v>
      </c>
      <c r="E51" s="32">
        <f t="shared" si="18"/>
        <v>-5.1413881748071672E-3</v>
      </c>
      <c r="F51" s="18">
        <f>IF(ISNUMBER(D51), $B64 * E51, "")</f>
        <v>-771.20822622107505</v>
      </c>
      <c r="G51" s="31">
        <v>3.9E-2</v>
      </c>
      <c r="H51" s="32">
        <f t="shared" si="19"/>
        <v>2.5706940874036729E-3</v>
      </c>
      <c r="I51" s="91">
        <f>IF(ISNUMBER(G51), $B64 * H51, "")</f>
        <v>385.60411311055094</v>
      </c>
      <c r="J51" s="15">
        <v>3.9E-2</v>
      </c>
      <c r="K51" s="32">
        <f t="shared" si="20"/>
        <v>2.5706940874036729E-3</v>
      </c>
      <c r="L51" s="18">
        <f>IF(ISNUMBER(J51), $B64 * K51, "")</f>
        <v>385.60411311055094</v>
      </c>
      <c r="M51" s="31">
        <v>3.8800000000000001E-2</v>
      </c>
      <c r="N51" s="32">
        <f t="shared" si="21"/>
        <v>-2.5706940874034943E-3</v>
      </c>
      <c r="O51" s="18">
        <f>IF(ISNUMBER(M51), $B64 * N51, "")</f>
        <v>-385.60411311052417</v>
      </c>
      <c r="Q51" s="161"/>
      <c r="R51" s="161"/>
      <c r="S51" s="161"/>
    </row>
    <row r="52" spans="1:19" ht="17.25" customHeight="1" thickBot="1">
      <c r="A52" s="109" t="s">
        <v>143</v>
      </c>
      <c r="B52" s="110">
        <v>4.13</v>
      </c>
      <c r="C52" s="70">
        <v>9.7799510999999999E-3</v>
      </c>
      <c r="D52" s="15">
        <v>4.3</v>
      </c>
      <c r="E52" s="32">
        <f t="shared" si="18"/>
        <v>4.1162227602905554E-2</v>
      </c>
      <c r="F52" s="18">
        <f>IF(ISNUMBER(D52), $B64 * E52, "")</f>
        <v>6174.3341404358334</v>
      </c>
      <c r="G52" s="31">
        <v>4.41</v>
      </c>
      <c r="H52" s="32">
        <f t="shared" si="19"/>
        <v>6.7796610169491581E-2</v>
      </c>
      <c r="I52" s="91">
        <f>IF(ISNUMBER(G52), $B64 * H52, "")</f>
        <v>10169.491525423737</v>
      </c>
      <c r="J52" s="15">
        <v>4.41</v>
      </c>
      <c r="K52" s="32">
        <f t="shared" si="20"/>
        <v>6.7796610169491581E-2</v>
      </c>
      <c r="L52" s="18">
        <f>IF(ISNUMBER(J52), $B64 * K52, "")</f>
        <v>10169.491525423737</v>
      </c>
      <c r="M52" s="31">
        <v>4.5199999999999996</v>
      </c>
      <c r="N52" s="32">
        <f t="shared" si="21"/>
        <v>9.4430992736077413E-2</v>
      </c>
      <c r="O52" s="18">
        <f>IF(ISNUMBER(M52), $B64 * N52, "")</f>
        <v>14164.648910411612</v>
      </c>
      <c r="Q52" s="33"/>
      <c r="R52" s="33"/>
    </row>
    <row r="53" spans="1:19" ht="17.25" customHeight="1" thickBot="1">
      <c r="A53" s="114" t="s">
        <v>228</v>
      </c>
      <c r="B53" s="115">
        <v>64.400000000000006</v>
      </c>
      <c r="C53" s="72">
        <v>9.4043887000000003E-3</v>
      </c>
      <c r="D53" s="24">
        <v>64.400000000000006</v>
      </c>
      <c r="E53" s="25">
        <f t="shared" si="18"/>
        <v>0</v>
      </c>
      <c r="F53" s="94">
        <f>IF(ISNUMBER(D53), $B64 * E53, "")</f>
        <v>0</v>
      </c>
      <c r="G53" s="92">
        <v>65.099999999999994</v>
      </c>
      <c r="H53" s="25">
        <f t="shared" si="19"/>
        <v>1.0869565217391127E-2</v>
      </c>
      <c r="I53" s="93">
        <f>IF(ISNUMBER(G53), $B64 * H53, "")</f>
        <v>1630.4347826086691</v>
      </c>
      <c r="J53" s="24">
        <v>65.099999999999994</v>
      </c>
      <c r="K53" s="25">
        <f t="shared" si="20"/>
        <v>1.0869565217391127E-2</v>
      </c>
      <c r="L53" s="94">
        <f>IF(ISNUMBER(J53), $B64 * K53, "")</f>
        <v>1630.4347826086691</v>
      </c>
      <c r="M53" s="92">
        <v>65</v>
      </c>
      <c r="N53" s="25">
        <f t="shared" si="21"/>
        <v>9.3167701863353155E-3</v>
      </c>
      <c r="O53" s="94">
        <f>IF(ISNUMBER(M53), $B64 * N53, "")</f>
        <v>1397.5155279502974</v>
      </c>
      <c r="Q53" s="170"/>
      <c r="R53" s="171"/>
      <c r="S53" s="172"/>
    </row>
    <row r="54" spans="1:19" ht="17.25" customHeight="1">
      <c r="A54" s="107" t="s">
        <v>64</v>
      </c>
      <c r="B54" s="108">
        <v>11.2</v>
      </c>
      <c r="C54" s="69">
        <v>9.0090090000000001E-3</v>
      </c>
      <c r="D54" s="13">
        <v>11.3</v>
      </c>
      <c r="E54" s="14">
        <f>IF(ISNUMBER(D54), (D54 - $B54) / $B54, "")</f>
        <v>8.9285714285715564E-3</v>
      </c>
      <c r="F54" s="16">
        <f>IF(ISNUMBER(D54), $B64 * E54, "")</f>
        <v>1339.2857142857335</v>
      </c>
      <c r="G54" s="29">
        <v>11.3</v>
      </c>
      <c r="H54" s="14">
        <f>IF(ISNUMBER(G54), (G54 - $B54) / $B54, "")</f>
        <v>8.9285714285715564E-3</v>
      </c>
      <c r="I54" s="90">
        <f>IF(ISNUMBER(G54), $B64 * H54, "")</f>
        <v>1339.2857142857335</v>
      </c>
      <c r="J54" s="13">
        <v>11.3</v>
      </c>
      <c r="K54" s="14">
        <f>IF(ISNUMBER(J54), (J54 - $B54) / $B54, "")</f>
        <v>8.9285714285715564E-3</v>
      </c>
      <c r="L54" s="16">
        <f>IF(ISNUMBER(J54), $B64 * K54, "")</f>
        <v>1339.2857142857335</v>
      </c>
      <c r="M54" s="29">
        <v>11.4</v>
      </c>
      <c r="N54" s="14">
        <f>IF(ISNUMBER(M54), (M54 - $B54) / $B54, "")</f>
        <v>1.7857142857142953E-2</v>
      </c>
      <c r="O54" s="16">
        <f>IF(ISNUMBER(M54), $B64 * N54, "")</f>
        <v>2678.571428571443</v>
      </c>
      <c r="Q54" s="173"/>
      <c r="R54" s="174"/>
      <c r="S54" s="175"/>
    </row>
    <row r="55" spans="1:19" ht="17.25" customHeight="1" thickBot="1">
      <c r="A55" s="109" t="s">
        <v>141</v>
      </c>
      <c r="B55" s="110">
        <v>3.39</v>
      </c>
      <c r="C55" s="70">
        <v>8.9285713999999999E-3</v>
      </c>
      <c r="D55" s="15">
        <v>3.42</v>
      </c>
      <c r="E55" s="32">
        <f t="shared" ref="E55:E58" si="22">IF(ISNUMBER(D55), (D55 - $B55) / $B55, "")</f>
        <v>8.8495575221238364E-3</v>
      </c>
      <c r="F55" s="18">
        <f>IF(ISNUMBER(D55), $B64 * E55, "")</f>
        <v>1327.4336283185755</v>
      </c>
      <c r="G55" s="31">
        <v>3.53</v>
      </c>
      <c r="H55" s="32">
        <f t="shared" ref="H55:H58" si="23">IF(ISNUMBER(G55), (G55 - $B55) / $B55, "")</f>
        <v>4.129793510324474E-2</v>
      </c>
      <c r="I55" s="91">
        <f>IF(ISNUMBER(G55), $B64 * H55, "")</f>
        <v>6194.6902654867108</v>
      </c>
      <c r="J55" s="15">
        <v>3.53</v>
      </c>
      <c r="K55" s="32">
        <f t="shared" ref="K55:K58" si="24">IF(ISNUMBER(J55), (J55 - $B55) / $B55, "")</f>
        <v>4.129793510324474E-2</v>
      </c>
      <c r="L55" s="18">
        <f>IF(ISNUMBER(J55), $B64 * K55, "")</f>
        <v>6194.6902654867108</v>
      </c>
      <c r="M55" s="31">
        <v>3.49</v>
      </c>
      <c r="N55" s="32">
        <f t="shared" ref="N55:N58" si="25">IF(ISNUMBER(M55), (M55 - $B55) / $B55, "")</f>
        <v>2.9498525073746337E-2</v>
      </c>
      <c r="O55" s="18">
        <f>IF(ISNUMBER(M55), $B64 * N55, "")</f>
        <v>4424.7787610619507</v>
      </c>
      <c r="Q55" s="176"/>
      <c r="R55" s="177"/>
      <c r="S55" s="178"/>
    </row>
    <row r="56" spans="1:19" ht="17.25" customHeight="1" thickBot="1">
      <c r="A56" s="109" t="s">
        <v>71</v>
      </c>
      <c r="B56" s="110">
        <v>11.7</v>
      </c>
      <c r="C56" s="70">
        <v>8.6206896999999998E-3</v>
      </c>
      <c r="D56" s="15">
        <v>11.7</v>
      </c>
      <c r="E56" s="32">
        <f t="shared" si="22"/>
        <v>0</v>
      </c>
      <c r="F56" s="18">
        <f>IF(ISNUMBER(D56), $B64 * E56, "")</f>
        <v>0</v>
      </c>
      <c r="G56" s="31">
        <v>11.8</v>
      </c>
      <c r="H56" s="32">
        <f t="shared" si="23"/>
        <v>8.5470085470086693E-3</v>
      </c>
      <c r="I56" s="91">
        <f>IF(ISNUMBER(G56), $B64 * H56, "")</f>
        <v>1282.0512820513004</v>
      </c>
      <c r="J56" s="15">
        <v>11.8</v>
      </c>
      <c r="K56" s="32">
        <f t="shared" si="24"/>
        <v>8.5470085470086693E-3</v>
      </c>
      <c r="L56" s="18">
        <f>IF(ISNUMBER(J56), $B64 * K56, "")</f>
        <v>1282.0512820513004</v>
      </c>
      <c r="M56" s="31">
        <v>11.9</v>
      </c>
      <c r="N56" s="32">
        <f t="shared" si="25"/>
        <v>1.7094017094017186E-2</v>
      </c>
      <c r="O56" s="18">
        <f>IF(ISNUMBER(M56), $B64 * N56, "")</f>
        <v>2564.1025641025781</v>
      </c>
      <c r="Q56" s="161"/>
      <c r="R56" s="161"/>
      <c r="S56" s="161"/>
    </row>
    <row r="57" spans="1:19" ht="17.25" customHeight="1" thickBot="1">
      <c r="A57" s="109" t="s">
        <v>122</v>
      </c>
      <c r="B57" s="110">
        <v>25.2</v>
      </c>
      <c r="C57" s="70">
        <v>8.0000000000000002E-3</v>
      </c>
      <c r="D57" s="15">
        <v>25.2</v>
      </c>
      <c r="E57" s="32">
        <f t="shared" si="22"/>
        <v>0</v>
      </c>
      <c r="F57" s="18">
        <f>IF(ISNUMBER(D57), $B64 * E57, "")</f>
        <v>0</v>
      </c>
      <c r="G57" s="31">
        <v>25.4</v>
      </c>
      <c r="H57" s="32">
        <f t="shared" si="23"/>
        <v>7.9365079365079083E-3</v>
      </c>
      <c r="I57" s="91">
        <f>IF(ISNUMBER(G57), $B64 * H57, "")</f>
        <v>1190.4761904761863</v>
      </c>
      <c r="J57" s="15">
        <v>25.4</v>
      </c>
      <c r="K57" s="32">
        <f t="shared" si="24"/>
        <v>7.9365079365079083E-3</v>
      </c>
      <c r="L57" s="18">
        <f>IF(ISNUMBER(J57), $B64 * K57, "")</f>
        <v>1190.4761904761863</v>
      </c>
      <c r="M57" s="31">
        <v>25.4</v>
      </c>
      <c r="N57" s="32">
        <f t="shared" si="25"/>
        <v>7.9365079365079083E-3</v>
      </c>
      <c r="O57" s="18">
        <f>IF(ISNUMBER(M57), $B64 * N57, "")</f>
        <v>1190.4761904761863</v>
      </c>
      <c r="Q57" s="156"/>
      <c r="R57" s="156"/>
      <c r="S57" s="156"/>
    </row>
    <row r="58" spans="1:19" ht="17.25" customHeight="1" thickBot="1">
      <c r="A58" s="111" t="s">
        <v>333</v>
      </c>
      <c r="B58" s="112">
        <v>63.5</v>
      </c>
      <c r="C58" s="71">
        <v>7.9365079000000005E-3</v>
      </c>
      <c r="D58" s="20">
        <v>63.6</v>
      </c>
      <c r="E58" s="21">
        <f t="shared" si="22"/>
        <v>1.5748031496063215E-3</v>
      </c>
      <c r="F58" s="22">
        <f>IF(ISNUMBER(D58), $B64 * E58, "")</f>
        <v>236.22047244094824</v>
      </c>
      <c r="G58" s="30">
        <v>64.099999999999994</v>
      </c>
      <c r="H58" s="21">
        <f t="shared" si="23"/>
        <v>9.4488188976377049E-3</v>
      </c>
      <c r="I58" s="95">
        <f>IF(ISNUMBER(G58), $B64 * H58, "")</f>
        <v>1417.3228346456558</v>
      </c>
      <c r="J58" s="20">
        <v>64.099999999999994</v>
      </c>
      <c r="K58" s="21">
        <f t="shared" si="24"/>
        <v>9.4488188976377049E-3</v>
      </c>
      <c r="L58" s="22">
        <f>IF(ISNUMBER(J58), $B64 * K58, "")</f>
        <v>1417.3228346456558</v>
      </c>
      <c r="M58" s="30">
        <v>63.8</v>
      </c>
      <c r="N58" s="21">
        <f t="shared" si="25"/>
        <v>4.7244094488188525E-3</v>
      </c>
      <c r="O58" s="22">
        <f>IF(ISNUMBER(M58), $B64 * N58, "")</f>
        <v>708.6614173228279</v>
      </c>
      <c r="Q58" s="156"/>
      <c r="R58" s="156"/>
      <c r="S58" s="156"/>
    </row>
    <row r="59" spans="1:19" ht="17.25" customHeight="1" thickBot="1">
      <c r="A59" s="109" t="s">
        <v>138</v>
      </c>
      <c r="B59" s="113">
        <v>27.9</v>
      </c>
      <c r="C59" s="73">
        <v>7.2202166E-3</v>
      </c>
      <c r="D59" s="96">
        <v>28.1</v>
      </c>
      <c r="E59" s="97">
        <f>IF(ISNUMBER(D59), (D59 - $B59) / $B59, "")</f>
        <v>7.1684587813621095E-3</v>
      </c>
      <c r="F59" s="98">
        <f>IF(ISNUMBER(D59), $B64 * E59, "")</f>
        <v>1075.2688172043165</v>
      </c>
      <c r="G59" s="99">
        <v>28.2</v>
      </c>
      <c r="H59" s="97">
        <f>IF(ISNUMBER(G59), (G59 - $B59) / $B59, "")</f>
        <v>1.0752688172043038E-2</v>
      </c>
      <c r="I59" s="100">
        <f>IF(ISNUMBER(G59), $B64 * H59, "")</f>
        <v>1612.9032258064556</v>
      </c>
      <c r="J59" s="96">
        <v>28.2</v>
      </c>
      <c r="K59" s="97">
        <f>IF(ISNUMBER(J59), (J59 - $B59) / $B59, "")</f>
        <v>1.0752688172043038E-2</v>
      </c>
      <c r="L59" s="98">
        <f>IF(ISNUMBER(J59), $B64 * K59, "")</f>
        <v>1612.9032258064556</v>
      </c>
      <c r="M59" s="99">
        <v>27.9</v>
      </c>
      <c r="N59" s="97">
        <f>IF(ISNUMBER(M59), (M59 - $B59) / $B59, "")</f>
        <v>0</v>
      </c>
      <c r="O59" s="98">
        <f>IF(ISNUMBER(M59), $B64 * N59, "")</f>
        <v>0</v>
      </c>
      <c r="Q59" s="161"/>
      <c r="R59" s="161"/>
      <c r="S59" s="161"/>
    </row>
    <row r="60" spans="1:19" ht="17.25" customHeight="1" thickBot="1">
      <c r="A60" s="109" t="s">
        <v>195</v>
      </c>
      <c r="B60" s="110">
        <v>6.62</v>
      </c>
      <c r="C60" s="70">
        <v>6.0790274E-3</v>
      </c>
      <c r="D60" s="15">
        <v>6.74</v>
      </c>
      <c r="E60" s="32">
        <f t="shared" ref="E60:E63" si="26">IF(ISNUMBER(D60), (D60 - $B60) / $B60, "")</f>
        <v>1.8126888217522674E-2</v>
      </c>
      <c r="F60" s="18">
        <f>IF(ISNUMBER(D60), $B64 * E60, "")</f>
        <v>2719.033232628401</v>
      </c>
      <c r="G60" s="31">
        <v>6.95</v>
      </c>
      <c r="H60" s="32">
        <f t="shared" ref="H60:H63" si="27">IF(ISNUMBER(G60), (G60 - $B60) / $B60, "")</f>
        <v>4.9848942598187319E-2</v>
      </c>
      <c r="I60" s="91">
        <f>IF(ISNUMBER(G60), $B64 * H60, "")</f>
        <v>7477.341389728098</v>
      </c>
      <c r="J60" s="15">
        <v>6.95</v>
      </c>
      <c r="K60" s="32">
        <f t="shared" ref="K60:K63" si="28">IF(ISNUMBER(J60), (J60 - $B60) / $B60, "")</f>
        <v>4.9848942598187319E-2</v>
      </c>
      <c r="L60" s="18">
        <f>IF(ISNUMBER(J60), $B64 * K60, "")</f>
        <v>7477.341389728098</v>
      </c>
      <c r="M60" s="31">
        <v>6.9</v>
      </c>
      <c r="N60" s="32">
        <f t="shared" ref="N60:N63" si="29">IF(ISNUMBER(M60), (M60 - $B60) / $B60, "")</f>
        <v>4.2296072507552906E-2</v>
      </c>
      <c r="O60" s="18">
        <f>IF(ISNUMBER(M60), $B64 * N60, "")</f>
        <v>6344.4108761329362</v>
      </c>
      <c r="Q60" s="161"/>
      <c r="R60" s="161"/>
      <c r="S60" s="161"/>
    </row>
    <row r="61" spans="1:19" ht="17.25" customHeight="1" thickBot="1">
      <c r="A61" s="109" t="s">
        <v>200</v>
      </c>
      <c r="B61" s="110">
        <v>6.89</v>
      </c>
      <c r="C61" s="70">
        <v>4.3731778000000001E-3</v>
      </c>
      <c r="D61" s="15">
        <v>6.96</v>
      </c>
      <c r="E61" s="32">
        <f t="shared" si="26"/>
        <v>1.0159651669085673E-2</v>
      </c>
      <c r="F61" s="18">
        <f>IF(ISNUMBER(D61), $B64 * E61, "")</f>
        <v>1523.9477503628509</v>
      </c>
      <c r="G61" s="31">
        <v>7.25</v>
      </c>
      <c r="H61" s="32">
        <f t="shared" si="27"/>
        <v>5.2249637155297582E-2</v>
      </c>
      <c r="I61" s="91">
        <f>IF(ISNUMBER(G61), $B64 * H61, "")</f>
        <v>7837.4455732946371</v>
      </c>
      <c r="J61" s="15">
        <v>7.25</v>
      </c>
      <c r="K61" s="32">
        <f t="shared" si="28"/>
        <v>5.2249637155297582E-2</v>
      </c>
      <c r="L61" s="18">
        <f>IF(ISNUMBER(J61), $B64 * K61, "")</f>
        <v>7837.4455732946371</v>
      </c>
      <c r="M61" s="31">
        <v>7.18</v>
      </c>
      <c r="N61" s="32">
        <f t="shared" si="29"/>
        <v>4.2089985486211907E-2</v>
      </c>
      <c r="O61" s="18">
        <f>IF(ISNUMBER(M61), $B64 * N61, "")</f>
        <v>6313.4978229317858</v>
      </c>
      <c r="Q61" s="161"/>
      <c r="R61" s="161"/>
      <c r="S61" s="161"/>
    </row>
    <row r="62" spans="1:19" ht="17.25" customHeight="1">
      <c r="A62" s="109" t="s">
        <v>145</v>
      </c>
      <c r="B62" s="110">
        <v>71.5</v>
      </c>
      <c r="C62" s="70">
        <v>4.2134831000000001E-3</v>
      </c>
      <c r="D62" s="15">
        <v>72.099999999999994</v>
      </c>
      <c r="E62" s="32">
        <f t="shared" si="26"/>
        <v>8.3916083916083118E-3</v>
      </c>
      <c r="F62" s="18">
        <f>IF(ISNUMBER(D62), $B64 * E62, "")</f>
        <v>1258.7412587412468</v>
      </c>
      <c r="G62" s="31">
        <v>72.400000000000006</v>
      </c>
      <c r="H62" s="32">
        <f t="shared" si="27"/>
        <v>1.2587412587412666E-2</v>
      </c>
      <c r="I62" s="91">
        <f>IF(ISNUMBER(G62), $B64 * H62, "")</f>
        <v>1888.1118881119</v>
      </c>
      <c r="J62" s="15">
        <v>72.400000000000006</v>
      </c>
      <c r="K62" s="32">
        <f t="shared" si="28"/>
        <v>1.2587412587412666E-2</v>
      </c>
      <c r="L62" s="18">
        <f>IF(ISNUMBER(J62), $B64 * K62, "")</f>
        <v>1888.1118881119</v>
      </c>
      <c r="M62" s="31">
        <v>72.8</v>
      </c>
      <c r="N62" s="32">
        <f t="shared" si="29"/>
        <v>1.8181818181818143E-2</v>
      </c>
      <c r="O62" s="18">
        <f>IF(ISNUMBER(M62), $B64 * N62, "")</f>
        <v>2727.2727272727216</v>
      </c>
      <c r="Q62" s="183"/>
      <c r="R62" s="184"/>
      <c r="S62" s="185"/>
    </row>
    <row r="63" spans="1:19" ht="17.25" customHeight="1" thickBot="1">
      <c r="A63" s="114" t="s">
        <v>185</v>
      </c>
      <c r="B63" s="115">
        <v>31.8</v>
      </c>
      <c r="C63" s="72">
        <v>3.1545740999999999E-3</v>
      </c>
      <c r="D63" s="24">
        <v>32.200000000000003</v>
      </c>
      <c r="E63" s="25">
        <f t="shared" si="26"/>
        <v>1.2578616352201324E-2</v>
      </c>
      <c r="F63" s="94">
        <f>IF(ISNUMBER(D63), $B64 * E63, "")</f>
        <v>1886.7924528301987</v>
      </c>
      <c r="G63" s="92">
        <v>32.6</v>
      </c>
      <c r="H63" s="25">
        <f t="shared" si="27"/>
        <v>2.5157232704402538E-2</v>
      </c>
      <c r="I63" s="93">
        <f>IF(ISNUMBER(G63), $B64 * H63, "")</f>
        <v>3773.5849056603806</v>
      </c>
      <c r="J63" s="24">
        <v>32.6</v>
      </c>
      <c r="K63" s="25">
        <f t="shared" si="28"/>
        <v>2.5157232704402538E-2</v>
      </c>
      <c r="L63" s="94">
        <f>IF(ISNUMBER(J63), $B64 * K63, "")</f>
        <v>3773.5849056603806</v>
      </c>
      <c r="M63" s="92">
        <v>32.700000000000003</v>
      </c>
      <c r="N63" s="25">
        <f t="shared" si="29"/>
        <v>2.8301886792452897E-2</v>
      </c>
      <c r="O63" s="94">
        <f>IF(ISNUMBER(M63), $B64 * N63, "")</f>
        <v>4245.2830188679345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1.6447085635967314E-2</v>
      </c>
      <c r="F64" s="28">
        <f>SUM(F44:F63)</f>
        <v>49341.256907901945</v>
      </c>
      <c r="G64" s="26" t="s">
        <v>261</v>
      </c>
      <c r="H64" s="27">
        <f>IF(COUNT(H44:H63), SUM(H44:H63) / COUNT(H44:H63), 0)</f>
        <v>3.9647571678691457E-2</v>
      </c>
      <c r="I64" s="28">
        <f>SUM(I44:I63)</f>
        <v>118942.71503607438</v>
      </c>
      <c r="J64" s="26" t="s">
        <v>261</v>
      </c>
      <c r="K64" s="27">
        <f>IF(COUNT(K44:K63), SUM(K44:K63) / COUNT(K44:K63), 0)</f>
        <v>3.9647571678691457E-2</v>
      </c>
      <c r="L64" s="28">
        <f>SUM(L44:L63)</f>
        <v>118942.71503607438</v>
      </c>
      <c r="M64" s="26" t="s">
        <v>261</v>
      </c>
      <c r="N64" s="27">
        <f>IF(COUNT(N44:N63), SUM(N44:N63) / COUNT(N44:N63), 0)</f>
        <v>3.5676389973443148E-2</v>
      </c>
      <c r="O64" s="28">
        <f>SUM(O44:O63)</f>
        <v>107029.16992032944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2022-12-09(금) 오전 00:00</v>
      </c>
      <c r="C69" s="199"/>
      <c r="D69" s="158" t="str">
        <f>TEXT($G$1, "[$-ko-KR]yyyy-mm-dd(ddd) ") &amp; "오후 14:00"</f>
        <v>2022-12-09(금) 오후 14:00</v>
      </c>
      <c r="E69" s="159"/>
      <c r="F69" s="160"/>
      <c r="G69" s="158" t="str">
        <f>TEXT($G$1, "[$-ko-KR]yyyy-mm-dd(ddd) ") &amp; "오후 19:00"</f>
        <v>2022-12-09(금) 오후 19:00</v>
      </c>
      <c r="H69" s="159"/>
      <c r="I69" s="160"/>
      <c r="J69" s="158" t="str">
        <f>TEXT($G$1, "[$-ko-KR]yyyy-mm-dd(ddd) ") &amp; "오후 21:00"</f>
        <v>2022-12-09(금) 오후 21:00</v>
      </c>
      <c r="K69" s="159"/>
      <c r="L69" s="160"/>
      <c r="M69" s="158" t="str">
        <f>TEXT($G$1+1, "[$-ko-KR]yyyy-mm-dd(ddd) ") &amp; "오전 00:00"</f>
        <v>2022-12-10(토)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342</v>
      </c>
      <c r="B71" s="108">
        <v>138</v>
      </c>
      <c r="C71" s="69">
        <v>2.9850746300000001E-2</v>
      </c>
      <c r="D71" s="13">
        <v>143</v>
      </c>
      <c r="E71" s="14">
        <f>IF(ISNUMBER(D71), (D71 - $B71) / $B71, "")</f>
        <v>3.6231884057971016E-2</v>
      </c>
      <c r="F71" s="16">
        <f>IF(ISNUMBER(D71), $B91 * E71, "")</f>
        <v>5434.782608695652</v>
      </c>
      <c r="G71" s="29">
        <v>141</v>
      </c>
      <c r="H71" s="14">
        <f>IF(ISNUMBER(G71), (G71 - $B71) / $B71, "")</f>
        <v>2.1739130434782608E-2</v>
      </c>
      <c r="I71" s="90">
        <f>IF(ISNUMBER(G71), $B91 * H71, "")</f>
        <v>3260.869565217391</v>
      </c>
      <c r="J71" s="13">
        <v>141</v>
      </c>
      <c r="K71" s="14">
        <f>IF(ISNUMBER(J71), (J71 - $B71) / $B71, "")</f>
        <v>2.1739130434782608E-2</v>
      </c>
      <c r="L71" s="16">
        <f>IF(ISNUMBER(J71), $B91 * K71, "")</f>
        <v>3260.869565217391</v>
      </c>
      <c r="M71" s="29">
        <v>142</v>
      </c>
      <c r="N71" s="14">
        <f>IF(ISNUMBER(M71), (M71 - $B71) / $B71, "")</f>
        <v>2.8985507246376812E-2</v>
      </c>
      <c r="O71" s="16">
        <f>IF(ISNUMBER(M71), $B91 * N71, "")</f>
        <v>4347.826086956522</v>
      </c>
      <c r="Q71" s="156"/>
      <c r="R71" s="156"/>
      <c r="S71" s="156"/>
    </row>
    <row r="72" spans="1:19" ht="17.25" thickBot="1">
      <c r="A72" s="109" t="s">
        <v>244</v>
      </c>
      <c r="B72" s="110">
        <v>101</v>
      </c>
      <c r="C72" s="70">
        <v>2.2267206500000001E-2</v>
      </c>
      <c r="D72" s="15">
        <v>101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101</v>
      </c>
      <c r="H72" s="32">
        <f t="shared" ref="H72:H75" si="31">IF(ISNUMBER(G72), (G72 - $B72) / $B72, "")</f>
        <v>0</v>
      </c>
      <c r="I72" s="91">
        <f>IF(ISNUMBER(G72), $B91 * H72, "")</f>
        <v>0</v>
      </c>
      <c r="J72" s="15">
        <v>101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102</v>
      </c>
      <c r="N72" s="32">
        <f t="shared" ref="N72:N75" si="33">IF(ISNUMBER(M72), (M72 - $B72) / $B72, "")</f>
        <v>9.9009900990099011E-3</v>
      </c>
      <c r="O72" s="18">
        <f>IF(ISNUMBER(M72), $B91 * N72, "")</f>
        <v>1485.1485148514851</v>
      </c>
      <c r="Q72" s="156"/>
      <c r="R72" s="156"/>
      <c r="S72" s="156"/>
    </row>
    <row r="73" spans="1:19" ht="17.25" thickBot="1">
      <c r="A73" s="109" t="s">
        <v>161</v>
      </c>
      <c r="B73" s="110">
        <v>343</v>
      </c>
      <c r="C73" s="70">
        <v>1.78041543E-2</v>
      </c>
      <c r="D73" s="15">
        <v>354</v>
      </c>
      <c r="E73" s="32">
        <f t="shared" si="30"/>
        <v>3.2069970845481049E-2</v>
      </c>
      <c r="F73" s="18">
        <f>IF(ISNUMBER(D73), $B91 * E73, "")</f>
        <v>4810.4956268221576</v>
      </c>
      <c r="G73" s="31">
        <v>362</v>
      </c>
      <c r="H73" s="32">
        <f t="shared" si="31"/>
        <v>5.5393586005830907E-2</v>
      </c>
      <c r="I73" s="91">
        <f>IF(ISNUMBER(G73), $B91 * H73, "")</f>
        <v>8309.0379008746368</v>
      </c>
      <c r="J73" s="15">
        <v>362</v>
      </c>
      <c r="K73" s="32">
        <f t="shared" si="32"/>
        <v>5.5393586005830907E-2</v>
      </c>
      <c r="L73" s="18">
        <f>IF(ISNUMBER(J73), $B91 * K73, "")</f>
        <v>8309.0379008746368</v>
      </c>
      <c r="M73" s="31">
        <v>355</v>
      </c>
      <c r="N73" s="32">
        <f t="shared" si="33"/>
        <v>3.4985422740524783E-2</v>
      </c>
      <c r="O73" s="18">
        <f>IF(ISNUMBER(M73), $B91 * N73, "")</f>
        <v>5247.8134110787178</v>
      </c>
      <c r="Q73" s="161"/>
      <c r="R73" s="161"/>
      <c r="S73" s="161"/>
    </row>
    <row r="74" spans="1:19" ht="17.25" thickBot="1">
      <c r="A74" s="109" t="s">
        <v>103</v>
      </c>
      <c r="B74" s="110">
        <v>249</v>
      </c>
      <c r="C74" s="70">
        <v>1.2195121999999999E-2</v>
      </c>
      <c r="D74" s="15">
        <v>253</v>
      </c>
      <c r="E74" s="32">
        <f t="shared" si="30"/>
        <v>1.6064257028112448E-2</v>
      </c>
      <c r="F74" s="18">
        <f>IF(ISNUMBER(D74), $B91 * E74, "")</f>
        <v>2409.6385542168673</v>
      </c>
      <c r="G74" s="31">
        <v>253</v>
      </c>
      <c r="H74" s="32">
        <f t="shared" si="31"/>
        <v>1.6064257028112448E-2</v>
      </c>
      <c r="I74" s="91">
        <f>IF(ISNUMBER(G74), $B91 * H74, "")</f>
        <v>2409.6385542168673</v>
      </c>
      <c r="J74" s="15">
        <v>253</v>
      </c>
      <c r="K74" s="32">
        <f t="shared" si="32"/>
        <v>1.6064257028112448E-2</v>
      </c>
      <c r="L74" s="18">
        <f>IF(ISNUMBER(J74), $B91 * K74, "")</f>
        <v>2409.6385542168673</v>
      </c>
      <c r="M74" s="31">
        <v>252</v>
      </c>
      <c r="N74" s="32">
        <f t="shared" si="33"/>
        <v>1.2048192771084338E-2</v>
      </c>
      <c r="O74" s="18">
        <f>IF(ISNUMBER(M74), $B91 * N74, "")</f>
        <v>1807.2289156626507</v>
      </c>
      <c r="Q74" s="161"/>
      <c r="R74" s="161"/>
      <c r="S74" s="161"/>
    </row>
    <row r="75" spans="1:19" ht="17.25" thickBot="1">
      <c r="A75" s="111" t="s">
        <v>89</v>
      </c>
      <c r="B75" s="112">
        <v>520</v>
      </c>
      <c r="C75" s="71">
        <v>1.16731518E-2</v>
      </c>
      <c r="D75" s="20">
        <v>518</v>
      </c>
      <c r="E75" s="21">
        <f t="shared" si="30"/>
        <v>-3.8461538461538464E-3</v>
      </c>
      <c r="F75" s="22">
        <f>IF(ISNUMBER(D75), $B91 * E75, "")</f>
        <v>-576.92307692307691</v>
      </c>
      <c r="G75" s="30">
        <v>519</v>
      </c>
      <c r="H75" s="21">
        <f t="shared" si="31"/>
        <v>-1.9230769230769232E-3</v>
      </c>
      <c r="I75" s="95">
        <f>IF(ISNUMBER(G75), $B91 * H75, "")</f>
        <v>-288.46153846153845</v>
      </c>
      <c r="J75" s="20">
        <v>519</v>
      </c>
      <c r="K75" s="21">
        <f t="shared" si="32"/>
        <v>-1.9230769230769232E-3</v>
      </c>
      <c r="L75" s="22">
        <f>IF(ISNUMBER(J75), $B91 * K75, "")</f>
        <v>-288.46153846153845</v>
      </c>
      <c r="M75" s="30">
        <v>517</v>
      </c>
      <c r="N75" s="21">
        <f t="shared" si="33"/>
        <v>-5.7692307692307696E-3</v>
      </c>
      <c r="O75" s="22">
        <f>IF(ISNUMBER(M75), $B91 * N75, "")</f>
        <v>-865.38461538461547</v>
      </c>
      <c r="Q75" s="161"/>
      <c r="R75" s="161"/>
      <c r="S75" s="161"/>
    </row>
    <row r="76" spans="1:19" ht="17.25" thickBot="1">
      <c r="A76" s="109" t="s">
        <v>216</v>
      </c>
      <c r="B76" s="113">
        <v>512</v>
      </c>
      <c r="C76" s="73">
        <v>9.8619329000000002E-3</v>
      </c>
      <c r="D76" s="96">
        <v>518</v>
      </c>
      <c r="E76" s="97">
        <f>IF(ISNUMBER(D76), (D76 - $B76) / $B76, "")</f>
        <v>1.171875E-2</v>
      </c>
      <c r="F76" s="98">
        <f>IF(ISNUMBER(D76), $B91 * E76, "")</f>
        <v>1757.8125</v>
      </c>
      <c r="G76" s="99">
        <v>520</v>
      </c>
      <c r="H76" s="97">
        <f>IF(ISNUMBER(G76), (G76 - $B76) / $B76, "")</f>
        <v>1.5625E-2</v>
      </c>
      <c r="I76" s="100">
        <f>IF(ISNUMBER(G76), $B91 * H76, "")</f>
        <v>2343.75</v>
      </c>
      <c r="J76" s="96">
        <v>520</v>
      </c>
      <c r="K76" s="97">
        <f>IF(ISNUMBER(J76), (J76 - $B76) / $B76, "")</f>
        <v>1.5625E-2</v>
      </c>
      <c r="L76" s="98">
        <f>IF(ISNUMBER(J76), $B91 * K76, "")</f>
        <v>2343.75</v>
      </c>
      <c r="M76" s="99">
        <v>519</v>
      </c>
      <c r="N76" s="97">
        <f>IF(ISNUMBER(M76), (M76 - $B76) / $B76, "")</f>
        <v>1.3671875E-2</v>
      </c>
      <c r="O76" s="98">
        <f>IF(ISNUMBER(M76), $B91 * N76, "")</f>
        <v>2050.78125</v>
      </c>
      <c r="Q76" s="161"/>
      <c r="R76" s="161"/>
      <c r="S76" s="161"/>
    </row>
    <row r="77" spans="1:19" ht="17.25" thickBot="1">
      <c r="A77" s="109" t="s">
        <v>165</v>
      </c>
      <c r="B77" s="110">
        <v>969</v>
      </c>
      <c r="C77" s="70">
        <v>9.3749999999999997E-3</v>
      </c>
      <c r="D77" s="15">
        <v>991</v>
      </c>
      <c r="E77" s="32">
        <f t="shared" ref="E77:E80" si="34">IF(ISNUMBER(D77), (D77 - $B77) / $B77, "")</f>
        <v>2.2703818369453045E-2</v>
      </c>
      <c r="F77" s="18">
        <f>IF(ISNUMBER(D77), $B91 * E77, "")</f>
        <v>3405.5727554179566</v>
      </c>
      <c r="G77" s="31">
        <v>1010</v>
      </c>
      <c r="H77" s="32">
        <f t="shared" ref="H77:H80" si="35">IF(ISNUMBER(G77), (G77 - $B77) / $B77, "")</f>
        <v>4.2311661506707947E-2</v>
      </c>
      <c r="I77" s="91">
        <f>IF(ISNUMBER(G77), $B91 * H77, "")</f>
        <v>6346.7492260061917</v>
      </c>
      <c r="J77" s="15">
        <v>1010</v>
      </c>
      <c r="K77" s="32">
        <f t="shared" ref="K77:K80" si="36">IF(ISNUMBER(J77), (J77 - $B77) / $B77, "")</f>
        <v>4.2311661506707947E-2</v>
      </c>
      <c r="L77" s="18">
        <f>IF(ISNUMBER(J77), $B91 * K77, "")</f>
        <v>6346.7492260061917</v>
      </c>
      <c r="M77" s="31">
        <v>996</v>
      </c>
      <c r="N77" s="32">
        <f t="shared" ref="N77:N80" si="37">IF(ISNUMBER(M77), (M77 - $B77) / $B77, "")</f>
        <v>2.7863777089783281E-2</v>
      </c>
      <c r="O77" s="18">
        <f>IF(ISNUMBER(M77), $B91 * N77, "")</f>
        <v>4179.5665634674924</v>
      </c>
      <c r="Q77" s="161"/>
      <c r="R77" s="161"/>
      <c r="S77" s="161"/>
    </row>
    <row r="78" spans="1:19" ht="17.25" thickBot="1">
      <c r="A78" s="109" t="s">
        <v>256</v>
      </c>
      <c r="B78" s="110">
        <v>130</v>
      </c>
      <c r="C78" s="70">
        <v>7.7519379999999999E-3</v>
      </c>
      <c r="D78" s="15">
        <v>130</v>
      </c>
      <c r="E78" s="32">
        <f t="shared" si="34"/>
        <v>0</v>
      </c>
      <c r="F78" s="18">
        <f>IF(ISNUMBER(D78), $B91 * E78, "")</f>
        <v>0</v>
      </c>
      <c r="G78" s="31">
        <v>131</v>
      </c>
      <c r="H78" s="32">
        <f t="shared" si="35"/>
        <v>7.6923076923076927E-3</v>
      </c>
      <c r="I78" s="91">
        <f>IF(ISNUMBER(G78), $B91 * H78, "")</f>
        <v>1153.8461538461538</v>
      </c>
      <c r="J78" s="15">
        <v>131</v>
      </c>
      <c r="K78" s="32">
        <f t="shared" si="36"/>
        <v>7.6923076923076927E-3</v>
      </c>
      <c r="L78" s="18">
        <f>IF(ISNUMBER(J78), $B91 * K78, "")</f>
        <v>1153.8461538461538</v>
      </c>
      <c r="M78" s="31">
        <v>129</v>
      </c>
      <c r="N78" s="32">
        <f t="shared" si="37"/>
        <v>-7.6923076923076927E-3</v>
      </c>
      <c r="O78" s="18">
        <f>IF(ISNUMBER(M78), $B91 * N78, "")</f>
        <v>-1153.8461538461538</v>
      </c>
      <c r="Q78" s="161"/>
      <c r="R78" s="161"/>
      <c r="S78" s="161"/>
    </row>
    <row r="79" spans="1:19" ht="17.25" thickBot="1">
      <c r="A79" s="109" t="s">
        <v>153</v>
      </c>
      <c r="B79" s="110">
        <v>423</v>
      </c>
      <c r="C79" s="70">
        <v>7.1428571000000003E-3</v>
      </c>
      <c r="D79" s="15">
        <v>427</v>
      </c>
      <c r="E79" s="32">
        <f t="shared" si="34"/>
        <v>9.4562647754137114E-3</v>
      </c>
      <c r="F79" s="18">
        <f>IF(ISNUMBER(D79), $B91 * E79, "")</f>
        <v>1418.4397163120568</v>
      </c>
      <c r="G79" s="31">
        <v>429</v>
      </c>
      <c r="H79" s="32">
        <f t="shared" si="35"/>
        <v>1.4184397163120567E-2</v>
      </c>
      <c r="I79" s="91">
        <f>IF(ISNUMBER(G79), $B91 * H79, "")</f>
        <v>2127.6595744680849</v>
      </c>
      <c r="J79" s="15">
        <v>429</v>
      </c>
      <c r="K79" s="32">
        <f t="shared" si="36"/>
        <v>1.4184397163120567E-2</v>
      </c>
      <c r="L79" s="18">
        <f>IF(ISNUMBER(J79), $B91 * K79, "")</f>
        <v>2127.6595744680849</v>
      </c>
      <c r="M79" s="31">
        <v>426</v>
      </c>
      <c r="N79" s="32">
        <f t="shared" si="37"/>
        <v>7.0921985815602835E-3</v>
      </c>
      <c r="O79" s="18">
        <f>IF(ISNUMBER(M79), $B91 * N79, "")</f>
        <v>1063.8297872340424</v>
      </c>
      <c r="Q79" s="33"/>
      <c r="R79" s="33"/>
    </row>
    <row r="80" spans="1:19" ht="17.25" thickBot="1">
      <c r="A80" s="114" t="s">
        <v>157</v>
      </c>
      <c r="B80" s="115">
        <v>173</v>
      </c>
      <c r="C80" s="72">
        <v>5.8139534999999999E-3</v>
      </c>
      <c r="D80" s="24">
        <v>173</v>
      </c>
      <c r="E80" s="25">
        <f t="shared" si="34"/>
        <v>0</v>
      </c>
      <c r="F80" s="94">
        <f>IF(ISNUMBER(D80), $B91 * E80, "")</f>
        <v>0</v>
      </c>
      <c r="G80" s="92">
        <v>173</v>
      </c>
      <c r="H80" s="25">
        <f t="shared" si="35"/>
        <v>0</v>
      </c>
      <c r="I80" s="93">
        <f>IF(ISNUMBER(G80), $B91 * H80, "")</f>
        <v>0</v>
      </c>
      <c r="J80" s="24">
        <v>173</v>
      </c>
      <c r="K80" s="25">
        <f t="shared" si="36"/>
        <v>0</v>
      </c>
      <c r="L80" s="94">
        <f>IF(ISNUMBER(J80), $B91 * K80, "")</f>
        <v>0</v>
      </c>
      <c r="M80" s="92">
        <v>174</v>
      </c>
      <c r="N80" s="25">
        <f t="shared" si="37"/>
        <v>5.7803468208092483E-3</v>
      </c>
      <c r="O80" s="94">
        <f>IF(ISNUMBER(M80), $B91 * N80, "")</f>
        <v>867.05202312138726</v>
      </c>
      <c r="Q80" s="170"/>
      <c r="R80" s="171"/>
      <c r="S80" s="172"/>
    </row>
    <row r="81" spans="1:19">
      <c r="A81" s="107" t="s">
        <v>68</v>
      </c>
      <c r="B81" s="108">
        <v>375</v>
      </c>
      <c r="C81" s="69">
        <v>5.3619302999999997E-3</v>
      </c>
      <c r="D81" s="13">
        <v>374</v>
      </c>
      <c r="E81" s="14">
        <f>IF(ISNUMBER(D81), (D81 - $B81) / $B81, "")</f>
        <v>-2.6666666666666666E-3</v>
      </c>
      <c r="F81" s="16">
        <f>IF(ISNUMBER(D81), $B91 * E81, "")</f>
        <v>-400</v>
      </c>
      <c r="G81" s="29">
        <v>376</v>
      </c>
      <c r="H81" s="14">
        <f>IF(ISNUMBER(G81), (G81 - $B81) / $B81, "")</f>
        <v>2.6666666666666666E-3</v>
      </c>
      <c r="I81" s="90">
        <f>IF(ISNUMBER(G81), $B91 * H81, "")</f>
        <v>400</v>
      </c>
      <c r="J81" s="13">
        <v>376</v>
      </c>
      <c r="K81" s="14">
        <f>IF(ISNUMBER(J81), (J81 - $B81) / $B81, "")</f>
        <v>2.6666666666666666E-3</v>
      </c>
      <c r="L81" s="16">
        <f>IF(ISNUMBER(J81), $B91 * K81, "")</f>
        <v>400</v>
      </c>
      <c r="M81" s="29">
        <v>374</v>
      </c>
      <c r="N81" s="14">
        <f>IF(ISNUMBER(M81), (M81 - $B81) / $B81, "")</f>
        <v>-2.6666666666666666E-3</v>
      </c>
      <c r="O81" s="16">
        <f>IF(ISNUMBER(M81), $B91 * N81, "")</f>
        <v>-400</v>
      </c>
      <c r="Q81" s="173"/>
      <c r="R81" s="174"/>
      <c r="S81" s="175"/>
    </row>
    <row r="82" spans="1:19" ht="17.25" thickBot="1">
      <c r="A82" s="109" t="s">
        <v>105</v>
      </c>
      <c r="B82" s="110">
        <v>235</v>
      </c>
      <c r="C82" s="70">
        <v>4.2735042999999997E-3</v>
      </c>
      <c r="D82" s="15">
        <v>238</v>
      </c>
      <c r="E82" s="32">
        <f t="shared" ref="E82:E85" si="38">IF(ISNUMBER(D82), (D82 - $B82) / $B82, "")</f>
        <v>1.276595744680851E-2</v>
      </c>
      <c r="F82" s="18">
        <f>IF(ISNUMBER(D82), $B91 * E82, "")</f>
        <v>1914.8936170212764</v>
      </c>
      <c r="G82" s="31">
        <v>240</v>
      </c>
      <c r="H82" s="32">
        <f t="shared" ref="H82:H85" si="39">IF(ISNUMBER(G82), (G82 - $B82) / $B82, "")</f>
        <v>2.1276595744680851E-2</v>
      </c>
      <c r="I82" s="91">
        <f>IF(ISNUMBER(G82), $B91 * H82, "")</f>
        <v>3191.4893617021276</v>
      </c>
      <c r="J82" s="15">
        <v>240</v>
      </c>
      <c r="K82" s="32">
        <f t="shared" ref="K82:K85" si="40">IF(ISNUMBER(J82), (J82 - $B82) / $B82, "")</f>
        <v>2.1276595744680851E-2</v>
      </c>
      <c r="L82" s="18">
        <f>IF(ISNUMBER(J82), $B91 * K82, "")</f>
        <v>3191.4893617021276</v>
      </c>
      <c r="M82" s="31">
        <v>239</v>
      </c>
      <c r="N82" s="32">
        <f t="shared" ref="N82:N85" si="41">IF(ISNUMBER(M82), (M82 - $B82) / $B82, "")</f>
        <v>1.7021276595744681E-2</v>
      </c>
      <c r="O82" s="18">
        <f>IF(ISNUMBER(M82), $B91 * N82, "")</f>
        <v>2553.1914893617022</v>
      </c>
      <c r="Q82" s="176"/>
      <c r="R82" s="177"/>
      <c r="S82" s="178"/>
    </row>
    <row r="83" spans="1:19" ht="17.25" thickBot="1">
      <c r="A83" s="109" t="s">
        <v>101</v>
      </c>
      <c r="B83" s="110">
        <v>239</v>
      </c>
      <c r="C83" s="70">
        <v>4.2016807E-3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243</v>
      </c>
      <c r="H83" s="32">
        <f t="shared" si="39"/>
        <v>1.6736401673640166E-2</v>
      </c>
      <c r="I83" s="91">
        <f>IF(ISNUMBER(G83), $B91 * H83, "")</f>
        <v>2510.460251046025</v>
      </c>
      <c r="J83" s="15">
        <v>243</v>
      </c>
      <c r="K83" s="32">
        <f t="shared" si="40"/>
        <v>1.6736401673640166E-2</v>
      </c>
      <c r="L83" s="18">
        <f>IF(ISNUMBER(J83), $B91 * K83, "")</f>
        <v>2510.460251046025</v>
      </c>
      <c r="M83" s="31">
        <v>242</v>
      </c>
      <c r="N83" s="32">
        <f t="shared" si="41"/>
        <v>1.2552301255230125E-2</v>
      </c>
      <c r="O83" s="18">
        <f>IF(ISNUMBER(M83), $B91 * N83, "")</f>
        <v>1882.8451882845188</v>
      </c>
      <c r="Q83" s="161"/>
      <c r="R83" s="161"/>
      <c r="S83" s="161"/>
    </row>
    <row r="84" spans="1:19" ht="17.25" thickBot="1">
      <c r="A84" s="109" t="s">
        <v>232</v>
      </c>
      <c r="B84" s="110">
        <v>294</v>
      </c>
      <c r="C84" s="70">
        <v>3.4129693000000002E-3</v>
      </c>
      <c r="D84" s="15">
        <v>296</v>
      </c>
      <c r="E84" s="32">
        <f t="shared" si="38"/>
        <v>6.8027210884353739E-3</v>
      </c>
      <c r="F84" s="18">
        <f>IF(ISNUMBER(D84), $B91 * E84, "")</f>
        <v>1020.408163265306</v>
      </c>
      <c r="G84" s="31">
        <v>295</v>
      </c>
      <c r="H84" s="32">
        <f t="shared" si="39"/>
        <v>3.4013605442176869E-3</v>
      </c>
      <c r="I84" s="91">
        <f>IF(ISNUMBER(G84), $B91 * H84, "")</f>
        <v>510.20408163265301</v>
      </c>
      <c r="J84" s="15">
        <v>295</v>
      </c>
      <c r="K84" s="32">
        <f t="shared" si="40"/>
        <v>3.4013605442176869E-3</v>
      </c>
      <c r="L84" s="18">
        <f>IF(ISNUMBER(J84), $B91 * K84, "")</f>
        <v>510.20408163265301</v>
      </c>
      <c r="M84" s="31">
        <v>297</v>
      </c>
      <c r="N84" s="32">
        <f t="shared" si="41"/>
        <v>1.020408163265306E-2</v>
      </c>
      <c r="O84" s="18">
        <f>IF(ISNUMBER(M84), $B91 * N84, "")</f>
        <v>1530.612244897959</v>
      </c>
      <c r="Q84" s="156"/>
      <c r="R84" s="156"/>
      <c r="S84" s="156"/>
    </row>
    <row r="85" spans="1:19" ht="17.25" thickBot="1">
      <c r="A85" s="111" t="s">
        <v>79</v>
      </c>
      <c r="B85" s="112">
        <v>299</v>
      </c>
      <c r="C85" s="71">
        <v>3.3557047E-3</v>
      </c>
      <c r="D85" s="20">
        <v>299</v>
      </c>
      <c r="E85" s="21">
        <f t="shared" si="38"/>
        <v>0</v>
      </c>
      <c r="F85" s="22">
        <f>IF(ISNUMBER(D85), $B91 * E85, "")</f>
        <v>0</v>
      </c>
      <c r="G85" s="30">
        <v>300</v>
      </c>
      <c r="H85" s="21">
        <f t="shared" si="39"/>
        <v>3.3444816053511705E-3</v>
      </c>
      <c r="I85" s="95">
        <f>IF(ISNUMBER(G85), $B91 * H85, "")</f>
        <v>501.67224080267556</v>
      </c>
      <c r="J85" s="20">
        <v>300</v>
      </c>
      <c r="K85" s="21">
        <f t="shared" si="40"/>
        <v>3.3444816053511705E-3</v>
      </c>
      <c r="L85" s="22">
        <f>IF(ISNUMBER(J85), $B91 * K85, "")</f>
        <v>501.67224080267556</v>
      </c>
      <c r="M85" s="30">
        <v>299</v>
      </c>
      <c r="N85" s="21">
        <f t="shared" si="41"/>
        <v>0</v>
      </c>
      <c r="O85" s="22">
        <f>IF(ISNUMBER(M85), $B91 * N85, "")</f>
        <v>0</v>
      </c>
      <c r="Q85" s="156"/>
      <c r="R85" s="156"/>
      <c r="S85" s="156"/>
    </row>
    <row r="86" spans="1:19" ht="17.25" thickBot="1">
      <c r="A86" s="109" t="s">
        <v>218</v>
      </c>
      <c r="B86" s="113">
        <v>344</v>
      </c>
      <c r="C86" s="73">
        <v>2.9154519000000002E-3</v>
      </c>
      <c r="D86" s="96">
        <v>347</v>
      </c>
      <c r="E86" s="97">
        <f>IF(ISNUMBER(D86), (D86 - $B86) / $B86, "")</f>
        <v>8.7209302325581394E-3</v>
      </c>
      <c r="F86" s="98">
        <f>IF(ISNUMBER(D86), $B91 * E86, "")</f>
        <v>1308.1395348837209</v>
      </c>
      <c r="G86" s="99">
        <v>351</v>
      </c>
      <c r="H86" s="97">
        <f>IF(ISNUMBER(G86), (G86 - $B86) / $B86, "")</f>
        <v>2.0348837209302327E-2</v>
      </c>
      <c r="I86" s="100">
        <f>IF(ISNUMBER(G86), $B91 * H86, "")</f>
        <v>3052.3255813953492</v>
      </c>
      <c r="J86" s="96">
        <v>351</v>
      </c>
      <c r="K86" s="97">
        <f>IF(ISNUMBER(J86), (J86 - $B86) / $B86, "")</f>
        <v>2.0348837209302327E-2</v>
      </c>
      <c r="L86" s="98">
        <f>IF(ISNUMBER(J86), $B91 * K86, "")</f>
        <v>3052.3255813953492</v>
      </c>
      <c r="M86" s="99">
        <v>351</v>
      </c>
      <c r="N86" s="97">
        <f>IF(ISNUMBER(M86), (M86 - $B86) / $B86, "")</f>
        <v>2.0348837209302327E-2</v>
      </c>
      <c r="O86" s="98">
        <f>IF(ISNUMBER(M86), $B91 * N86, "")</f>
        <v>3052.3255813953492</v>
      </c>
      <c r="Q86" s="161"/>
      <c r="R86" s="161"/>
      <c r="S86" s="161"/>
    </row>
    <row r="87" spans="1:19" ht="17.25" thickBot="1">
      <c r="A87" s="109" t="s">
        <v>81</v>
      </c>
      <c r="B87" s="110">
        <v>417</v>
      </c>
      <c r="C87" s="70">
        <v>2.4038461999999999E-3</v>
      </c>
      <c r="D87" s="15">
        <v>416</v>
      </c>
      <c r="E87" s="32">
        <f t="shared" ref="E87:E90" si="42">IF(ISNUMBER(D87), (D87 - $B87) / $B87, "")</f>
        <v>-2.3980815347721821E-3</v>
      </c>
      <c r="F87" s="18">
        <f>IF(ISNUMBER(D87), $B91 * E87, "")</f>
        <v>-359.71223021582733</v>
      </c>
      <c r="G87" s="31">
        <v>417</v>
      </c>
      <c r="H87" s="32">
        <f t="shared" ref="H87:H90" si="43">IF(ISNUMBER(G87), (G87 - $B87) / $B87, "")</f>
        <v>0</v>
      </c>
      <c r="I87" s="91">
        <f>IF(ISNUMBER(G87), $B91 * H87, "")</f>
        <v>0</v>
      </c>
      <c r="J87" s="15">
        <v>417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415</v>
      </c>
      <c r="N87" s="32">
        <f t="shared" ref="N87:N90" si="45">IF(ISNUMBER(M87), (M87 - $B87) / $B87, "")</f>
        <v>-4.7961630695443642E-3</v>
      </c>
      <c r="O87" s="18">
        <f>IF(ISNUMBER(M87), $B91 * N87, "")</f>
        <v>-719.42446043165467</v>
      </c>
      <c r="Q87" s="161"/>
      <c r="R87" s="161"/>
      <c r="S87" s="161"/>
    </row>
    <row r="88" spans="1:19" ht="17.25" thickBot="1">
      <c r="A88" s="109" t="s">
        <v>60</v>
      </c>
      <c r="B88" s="110">
        <v>528</v>
      </c>
      <c r="C88" s="70">
        <v>1.8975331999999999E-3</v>
      </c>
      <c r="D88" s="15">
        <v>529</v>
      </c>
      <c r="E88" s="32">
        <f t="shared" si="42"/>
        <v>1.893939393939394E-3</v>
      </c>
      <c r="F88" s="18">
        <f>IF(ISNUMBER(D88), $B91 * E88, "")</f>
        <v>284.09090909090912</v>
      </c>
      <c r="G88" s="31">
        <v>532</v>
      </c>
      <c r="H88" s="32">
        <f t="shared" si="43"/>
        <v>7.575757575757576E-3</v>
      </c>
      <c r="I88" s="91">
        <f>IF(ISNUMBER(G88), $B91 * H88, "")</f>
        <v>1136.3636363636365</v>
      </c>
      <c r="J88" s="15">
        <v>532</v>
      </c>
      <c r="K88" s="32">
        <f t="shared" si="44"/>
        <v>7.575757575757576E-3</v>
      </c>
      <c r="L88" s="18">
        <f>IF(ISNUMBER(J88), $B91 * K88, "")</f>
        <v>1136.3636363636365</v>
      </c>
      <c r="M88" s="31">
        <v>529</v>
      </c>
      <c r="N88" s="32">
        <f t="shared" si="45"/>
        <v>1.893939393939394E-3</v>
      </c>
      <c r="O88" s="18">
        <f>IF(ISNUMBER(M88), $B91 * N88, "")</f>
        <v>284.09090909090912</v>
      </c>
      <c r="Q88" s="161"/>
      <c r="R88" s="161"/>
      <c r="S88" s="161"/>
    </row>
    <row r="89" spans="1:19">
      <c r="A89" s="109" t="s">
        <v>167</v>
      </c>
      <c r="B89" s="110">
        <v>195</v>
      </c>
      <c r="C89" s="70">
        <v>0</v>
      </c>
      <c r="D89" s="15">
        <v>198</v>
      </c>
      <c r="E89" s="32">
        <f t="shared" si="42"/>
        <v>1.5384615384615385E-2</v>
      </c>
      <c r="F89" s="18">
        <f>IF(ISNUMBER(D89), $B91 * E89, "")</f>
        <v>2307.6923076923076</v>
      </c>
      <c r="G89" s="31">
        <v>199</v>
      </c>
      <c r="H89" s="32">
        <f t="shared" si="43"/>
        <v>2.0512820512820513E-2</v>
      </c>
      <c r="I89" s="91">
        <f>IF(ISNUMBER(G89), $B91 * H89, "")</f>
        <v>3076.9230769230771</v>
      </c>
      <c r="J89" s="15">
        <v>199</v>
      </c>
      <c r="K89" s="32">
        <f t="shared" si="44"/>
        <v>2.0512820512820513E-2</v>
      </c>
      <c r="L89" s="18">
        <f>IF(ISNUMBER(J89), $B91 * K89, "")</f>
        <v>3076.9230769230771</v>
      </c>
      <c r="M89" s="31">
        <v>200</v>
      </c>
      <c r="N89" s="32">
        <f t="shared" si="45"/>
        <v>2.564102564102564E-2</v>
      </c>
      <c r="O89" s="18">
        <f>IF(ISNUMBER(M89), $B91 * N89, "")</f>
        <v>3846.1538461538462</v>
      </c>
      <c r="Q89" s="183"/>
      <c r="R89" s="184"/>
      <c r="S89" s="185"/>
    </row>
    <row r="90" spans="1:19" ht="17.25" thickBot="1">
      <c r="A90" s="114" t="s">
        <v>149</v>
      </c>
      <c r="B90" s="115">
        <v>401</v>
      </c>
      <c r="C90" s="72">
        <v>0</v>
      </c>
      <c r="D90" s="24">
        <v>403</v>
      </c>
      <c r="E90" s="25">
        <f t="shared" si="42"/>
        <v>4.9875311720698253E-3</v>
      </c>
      <c r="F90" s="94">
        <f>IF(ISNUMBER(D90), $B91 * E90, "")</f>
        <v>748.12967581047383</v>
      </c>
      <c r="G90" s="92">
        <v>405</v>
      </c>
      <c r="H90" s="25">
        <f t="shared" si="43"/>
        <v>9.9750623441396506E-3</v>
      </c>
      <c r="I90" s="93">
        <f>IF(ISNUMBER(G90), $B91 * H90, "")</f>
        <v>1496.2593516209477</v>
      </c>
      <c r="J90" s="24">
        <v>405</v>
      </c>
      <c r="K90" s="25">
        <f t="shared" si="44"/>
        <v>9.9750623441396506E-3</v>
      </c>
      <c r="L90" s="94">
        <f>IF(ISNUMBER(J90), $B91 * K90, "")</f>
        <v>1496.2593516209477</v>
      </c>
      <c r="M90" s="92">
        <v>405</v>
      </c>
      <c r="N90" s="25">
        <f t="shared" si="45"/>
        <v>9.9750623441396506E-3</v>
      </c>
      <c r="O90" s="94">
        <f>IF(ISNUMBER(M90), $B91 * N90, "")</f>
        <v>1496.2593516209477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9.1221019501247658E-3</v>
      </c>
      <c r="F91" s="28">
        <f>SUM(F71:F90)</f>
        <v>27366.305850374298</v>
      </c>
      <c r="G91" s="26" t="s">
        <v>261</v>
      </c>
      <c r="H91" s="27">
        <f>IF(COUNT(H71:H90), SUM(H71:H90) / COUNT(H71:H90), 0)</f>
        <v>1.3846262339218093E-2</v>
      </c>
      <c r="I91" s="28">
        <f>SUM(I71:I90)</f>
        <v>41538.787017654278</v>
      </c>
      <c r="J91" s="26" t="s">
        <v>261</v>
      </c>
      <c r="K91" s="27">
        <f>IF(COUNT(K71:K90), SUM(K71:K90) / COUNT(K71:K90), 0)</f>
        <v>1.3846262339218093E-2</v>
      </c>
      <c r="L91" s="28">
        <f>SUM(L71:L90)</f>
        <v>41538.787017654278</v>
      </c>
      <c r="M91" s="26" t="s">
        <v>261</v>
      </c>
      <c r="N91" s="27">
        <f>IF(COUNT(N71:N90), SUM(N71:N90) / COUNT(N71:N90), 0)</f>
        <v>1.0852023311171702E-2</v>
      </c>
      <c r="O91" s="28">
        <f>SUM(O71:O90)</f>
        <v>32556.069933515111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2022-12-09(금) 오전 00:00</v>
      </c>
      <c r="C96" s="199"/>
      <c r="D96" s="158" t="str">
        <f>TEXT($G$1, "[$-ko-KR]yyyy-mm-dd(ddd) ") &amp; "오후 14:00"</f>
        <v>2022-12-09(금) 오후 14:00</v>
      </c>
      <c r="E96" s="159"/>
      <c r="F96" s="160"/>
      <c r="G96" s="158" t="str">
        <f>TEXT($G$1, "[$-ko-KR]yyyy-mm-dd(ddd) ") &amp; "오후 19:00"</f>
        <v>2022-12-09(금) 오후 19:00</v>
      </c>
      <c r="H96" s="159"/>
      <c r="I96" s="160"/>
      <c r="J96" s="158" t="str">
        <f>TEXT($G$1, "[$-ko-KR]yyyy-mm-dd(ddd) ") &amp; "오후 21:00"</f>
        <v>2022-12-09(금) 오후 21:00</v>
      </c>
      <c r="K96" s="159"/>
      <c r="L96" s="160"/>
      <c r="M96" s="158" t="str">
        <f>TEXT($G$1+1, "[$-ko-KR]yyyy-mm-dd(ddd) ") &amp; "오전 00:00"</f>
        <v>2022-12-10(토)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113</v>
      </c>
      <c r="B98" s="108">
        <v>1585</v>
      </c>
      <c r="C98" s="69">
        <v>0.2007575758</v>
      </c>
      <c r="D98" s="13">
        <v>1685</v>
      </c>
      <c r="E98" s="14">
        <f>IF(ISNUMBER(D98), (D98 - $B98) / $B98, "")</f>
        <v>6.3091482649842268E-2</v>
      </c>
      <c r="F98" s="16">
        <f>IF(ISNUMBER(D98), $B118 * E98, "")</f>
        <v>9463.7223974763401</v>
      </c>
      <c r="G98" s="29">
        <v>1645</v>
      </c>
      <c r="H98" s="14">
        <f>IF(ISNUMBER(G98), (G98 - $B98) / $B98, "")</f>
        <v>3.7854889589905363E-2</v>
      </c>
      <c r="I98" s="90">
        <f>IF(ISNUMBER(G98), $B118 * H98, "")</f>
        <v>5678.2334384858041</v>
      </c>
      <c r="J98" s="13">
        <v>1645</v>
      </c>
      <c r="K98" s="14">
        <f>IF(ISNUMBER(J98), (J98 - $B98) / $B98, "")</f>
        <v>3.7854889589905363E-2</v>
      </c>
      <c r="L98" s="16">
        <f>IF(ISNUMBER(J98), $B118 * K98, "")</f>
        <v>5678.2334384858041</v>
      </c>
      <c r="M98" s="29">
        <v>1605</v>
      </c>
      <c r="N98" s="14">
        <f>IF(ISNUMBER(M98), (M98 - $B98) / $B98, "")</f>
        <v>1.2618296529968454E-2</v>
      </c>
      <c r="O98" s="16">
        <f>IF(ISNUMBER(M98), $B118 * N98, "")</f>
        <v>1892.744479495268</v>
      </c>
      <c r="Q98" s="156"/>
      <c r="R98" s="156"/>
      <c r="S98" s="156"/>
    </row>
    <row r="99" spans="1:19" ht="17.25" thickBot="1">
      <c r="A99" s="109" t="s">
        <v>198</v>
      </c>
      <c r="B99" s="110">
        <v>9.2200000000000006</v>
      </c>
      <c r="C99" s="70">
        <v>0.11084337349999999</v>
      </c>
      <c r="D99" s="15">
        <v>10</v>
      </c>
      <c r="E99" s="32">
        <f t="shared" ref="E99:E102" si="46">IF(ISNUMBER(D99), (D99 - $B99) / $B99, "")</f>
        <v>8.4598698481561749E-2</v>
      </c>
      <c r="F99" s="18">
        <f>IF(ISNUMBER(D99), $B118 * E99, "")</f>
        <v>12689.804772234262</v>
      </c>
      <c r="G99" s="31">
        <v>9.76</v>
      </c>
      <c r="H99" s="32">
        <f t="shared" ref="H99:H102" si="47">IF(ISNUMBER(G99), (G99 - $B99) / $B99, "")</f>
        <v>5.8568329718004242E-2</v>
      </c>
      <c r="I99" s="91">
        <f>IF(ISNUMBER(G99), $B118 * H99, "")</f>
        <v>8785.2494577006364</v>
      </c>
      <c r="J99" s="15">
        <v>9.76</v>
      </c>
      <c r="K99" s="32">
        <f t="shared" ref="K99:K102" si="48">IF(ISNUMBER(J99), (J99 - $B99) / $B99, "")</f>
        <v>5.8568329718004242E-2</v>
      </c>
      <c r="L99" s="18">
        <f>IF(ISNUMBER(J99), $B118 * K99, "")</f>
        <v>8785.2494577006364</v>
      </c>
      <c r="M99" s="31">
        <v>9.82</v>
      </c>
      <c r="N99" s="32">
        <f t="shared" ref="N99:N102" si="49">IF(ISNUMBER(M99), (M99 - $B99) / $B99, "")</f>
        <v>6.5075921908893664E-2</v>
      </c>
      <c r="O99" s="18">
        <f>IF(ISNUMBER(M99), $B118 * N99, "")</f>
        <v>9761.3882863340496</v>
      </c>
      <c r="Q99" s="156"/>
      <c r="R99" s="156"/>
      <c r="S99" s="156"/>
    </row>
    <row r="100" spans="1:19" ht="17.25" thickBot="1">
      <c r="A100" s="109" t="s">
        <v>87</v>
      </c>
      <c r="B100" s="110">
        <v>59010</v>
      </c>
      <c r="C100" s="70">
        <v>7.74146431E-2</v>
      </c>
      <c r="D100" s="15">
        <v>57320</v>
      </c>
      <c r="E100" s="32">
        <f t="shared" si="46"/>
        <v>-2.8639213692594475E-2</v>
      </c>
      <c r="F100" s="18">
        <f>IF(ISNUMBER(D100), $B118 * E100, "")</f>
        <v>-4295.8820538891714</v>
      </c>
      <c r="G100" s="31">
        <v>57230</v>
      </c>
      <c r="H100" s="32">
        <f t="shared" si="47"/>
        <v>-3.0164378918827318E-2</v>
      </c>
      <c r="I100" s="91">
        <f>IF(ISNUMBER(G100), $B118 * H100, "")</f>
        <v>-4524.6568378240981</v>
      </c>
      <c r="J100" s="15">
        <v>57230</v>
      </c>
      <c r="K100" s="32">
        <f t="shared" si="48"/>
        <v>-3.0164378918827318E-2</v>
      </c>
      <c r="L100" s="18">
        <f>IF(ISNUMBER(J100), $B118 * K100, "")</f>
        <v>-4524.6568378240981</v>
      </c>
      <c r="M100" s="31">
        <v>57700</v>
      </c>
      <c r="N100" s="32">
        <f t="shared" si="49"/>
        <v>-2.2199627181833586E-2</v>
      </c>
      <c r="O100" s="18">
        <f>IF(ISNUMBER(M100), $B118 * N100, "")</f>
        <v>-3329.9440772750377</v>
      </c>
      <c r="Q100" s="161"/>
      <c r="R100" s="161"/>
      <c r="S100" s="161"/>
    </row>
    <row r="101" spans="1:19" ht="17.25" thickBot="1">
      <c r="A101" s="109" t="s">
        <v>181</v>
      </c>
      <c r="B101" s="110">
        <v>4.67</v>
      </c>
      <c r="C101" s="70">
        <v>4.9438202200000003E-2</v>
      </c>
      <c r="D101" s="15">
        <v>4.97</v>
      </c>
      <c r="E101" s="32">
        <f t="shared" si="46"/>
        <v>6.4239828693790108E-2</v>
      </c>
      <c r="F101" s="18">
        <f>IF(ISNUMBER(D101), $B118 * E101, "")</f>
        <v>9635.9743040685153</v>
      </c>
      <c r="G101" s="31">
        <v>5.87</v>
      </c>
      <c r="H101" s="32">
        <f t="shared" si="47"/>
        <v>0.25695931477516065</v>
      </c>
      <c r="I101" s="91">
        <f>IF(ISNUMBER(G101), $B118 * H101, "")</f>
        <v>38543.897216274097</v>
      </c>
      <c r="J101" s="15">
        <v>5.87</v>
      </c>
      <c r="K101" s="32">
        <f t="shared" si="48"/>
        <v>0.25695931477516065</v>
      </c>
      <c r="L101" s="18">
        <f>IF(ISNUMBER(J101), $B118 * K101, "")</f>
        <v>38543.897216274097</v>
      </c>
      <c r="M101" s="31">
        <v>5.7</v>
      </c>
      <c r="N101" s="32">
        <f t="shared" si="49"/>
        <v>0.2205567451820129</v>
      </c>
      <c r="O101" s="18">
        <f>IF(ISNUMBER(M101), $B118 * N101, "")</f>
        <v>33083.511777301937</v>
      </c>
      <c r="Q101" s="161"/>
      <c r="R101" s="161"/>
      <c r="S101" s="161"/>
    </row>
    <row r="102" spans="1:19" ht="17.25" thickBot="1">
      <c r="A102" s="111" t="s">
        <v>342</v>
      </c>
      <c r="B102" s="112">
        <v>138</v>
      </c>
      <c r="C102" s="71">
        <v>2.9850746300000001E-2</v>
      </c>
      <c r="D102" s="20">
        <v>143</v>
      </c>
      <c r="E102" s="21">
        <f t="shared" si="46"/>
        <v>3.6231884057971016E-2</v>
      </c>
      <c r="F102" s="22">
        <f>IF(ISNUMBER(D102), $B118 * E102, "")</f>
        <v>5434.782608695652</v>
      </c>
      <c r="G102" s="30">
        <v>141</v>
      </c>
      <c r="H102" s="21">
        <f t="shared" si="47"/>
        <v>2.1739130434782608E-2</v>
      </c>
      <c r="I102" s="95">
        <f>IF(ISNUMBER(G102), $B118 * H102, "")</f>
        <v>3260.869565217391</v>
      </c>
      <c r="J102" s="20">
        <v>141</v>
      </c>
      <c r="K102" s="21">
        <f t="shared" si="48"/>
        <v>2.1739130434782608E-2</v>
      </c>
      <c r="L102" s="22">
        <f>IF(ISNUMBER(J102), $B118 * K102, "")</f>
        <v>3260.869565217391</v>
      </c>
      <c r="M102" s="30">
        <v>142</v>
      </c>
      <c r="N102" s="21">
        <f t="shared" si="49"/>
        <v>2.8985507246376812E-2</v>
      </c>
      <c r="O102" s="22">
        <f>IF(ISNUMBER(M102), $B118 * N102, "")</f>
        <v>4347.826086956522</v>
      </c>
      <c r="Q102" s="161"/>
      <c r="R102" s="161"/>
      <c r="S102" s="161"/>
    </row>
    <row r="103" spans="1:19" ht="17.25" thickBot="1">
      <c r="A103" s="109" t="s">
        <v>350</v>
      </c>
      <c r="B103" s="113">
        <v>7.96</v>
      </c>
      <c r="C103" s="73">
        <v>2.70967742E-2</v>
      </c>
      <c r="D103" s="96">
        <v>8.1300000000000008</v>
      </c>
      <c r="E103" s="97">
        <f>IF(ISNUMBER(D103), (D103 - $B103) / $B103, "")</f>
        <v>2.1356783919598093E-2</v>
      </c>
      <c r="F103" s="98">
        <f>IF(ISNUMBER(D103), $B118 * E103, "")</f>
        <v>3203.5175879397138</v>
      </c>
      <c r="G103" s="99">
        <v>8.17</v>
      </c>
      <c r="H103" s="97">
        <f>IF(ISNUMBER(G103), (G103 - $B103) / $B103, "")</f>
        <v>2.638190954773869E-2</v>
      </c>
      <c r="I103" s="100">
        <f>IF(ISNUMBER(G103), $B118 * H103, "")</f>
        <v>3957.2864321608035</v>
      </c>
      <c r="J103" s="96">
        <v>8.17</v>
      </c>
      <c r="K103" s="97">
        <f>IF(ISNUMBER(J103), (J103 - $B103) / $B103, "")</f>
        <v>2.638190954773869E-2</v>
      </c>
      <c r="L103" s="98">
        <f>IF(ISNUMBER(J103), $B118 * K103, "")</f>
        <v>3957.2864321608035</v>
      </c>
      <c r="M103" s="99">
        <v>8.14</v>
      </c>
      <c r="N103" s="97">
        <f>IF(ISNUMBER(M103), (M103 - $B103) / $B103, "")</f>
        <v>2.2613065326633243E-2</v>
      </c>
      <c r="O103" s="98">
        <f>IF(ISNUMBER(M103), $B118 * N103, "")</f>
        <v>3391.9597989949866</v>
      </c>
      <c r="Q103" s="161"/>
      <c r="R103" s="161"/>
      <c r="S103" s="161"/>
    </row>
    <row r="104" spans="1:19" ht="17.25" thickBot="1">
      <c r="A104" s="109" t="s">
        <v>77</v>
      </c>
      <c r="B104" s="110">
        <v>150300</v>
      </c>
      <c r="C104" s="70">
        <v>2.6990092199999999E-2</v>
      </c>
      <c r="D104" s="15">
        <v>148650</v>
      </c>
      <c r="E104" s="32">
        <f t="shared" ref="E104:E107" si="50">IF(ISNUMBER(D104), (D104 - $B104) / $B104, "")</f>
        <v>-1.0978043912175649E-2</v>
      </c>
      <c r="F104" s="18">
        <f>IF(ISNUMBER(D104), $B118 * E104, "")</f>
        <v>-1646.7065868263473</v>
      </c>
      <c r="G104" s="31">
        <v>148000</v>
      </c>
      <c r="H104" s="32">
        <f t="shared" ref="H104:H107" si="51">IF(ISNUMBER(G104), (G104 - $B104) / $B104, "")</f>
        <v>-1.5302727877578177E-2</v>
      </c>
      <c r="I104" s="91">
        <f>IF(ISNUMBER(G104), $B118 * H104, "")</f>
        <v>-2295.4091816367268</v>
      </c>
      <c r="J104" s="15">
        <v>148000</v>
      </c>
      <c r="K104" s="32">
        <f t="shared" ref="K104:K107" si="52">IF(ISNUMBER(J104), (J104 - $B104) / $B104, "")</f>
        <v>-1.5302727877578177E-2</v>
      </c>
      <c r="L104" s="18">
        <f>IF(ISNUMBER(J104), $B118 * K104, "")</f>
        <v>-2295.4091816367268</v>
      </c>
      <c r="M104" s="31">
        <v>147050</v>
      </c>
      <c r="N104" s="32">
        <f t="shared" ref="N104:N107" si="53">IF(ISNUMBER(M104), (M104 - $B104) / $B104, "")</f>
        <v>-2.162341982701264E-2</v>
      </c>
      <c r="O104" s="18">
        <f>IF(ISNUMBER(M104), $B118 * N104, "")</f>
        <v>-3243.512974051896</v>
      </c>
      <c r="Q104" s="161"/>
      <c r="R104" s="161"/>
      <c r="S104" s="161"/>
    </row>
    <row r="105" spans="1:19" ht="17.25" thickBot="1">
      <c r="A105" s="109" t="s">
        <v>244</v>
      </c>
      <c r="B105" s="110">
        <v>101</v>
      </c>
      <c r="C105" s="70">
        <v>2.2267206500000001E-2</v>
      </c>
      <c r="D105" s="15">
        <v>101</v>
      </c>
      <c r="E105" s="32">
        <f t="shared" si="50"/>
        <v>0</v>
      </c>
      <c r="F105" s="18">
        <f>IF(ISNUMBER(D105), $B118 * E105, "")</f>
        <v>0</v>
      </c>
      <c r="G105" s="31">
        <v>101</v>
      </c>
      <c r="H105" s="32">
        <f t="shared" si="51"/>
        <v>0</v>
      </c>
      <c r="I105" s="91">
        <f>IF(ISNUMBER(G105), $B118 * H105, "")</f>
        <v>0</v>
      </c>
      <c r="J105" s="15">
        <v>101</v>
      </c>
      <c r="K105" s="32">
        <f t="shared" si="52"/>
        <v>0</v>
      </c>
      <c r="L105" s="18">
        <f>IF(ISNUMBER(J105), $B118 * K105, "")</f>
        <v>0</v>
      </c>
      <c r="M105" s="31">
        <v>102</v>
      </c>
      <c r="N105" s="32">
        <f t="shared" si="53"/>
        <v>9.9009900990099011E-3</v>
      </c>
      <c r="O105" s="18">
        <f>IF(ISNUMBER(M105), $B118 * N105, "")</f>
        <v>1485.1485148514851</v>
      </c>
      <c r="Q105" s="161"/>
      <c r="R105" s="161"/>
      <c r="S105" s="161"/>
    </row>
    <row r="106" spans="1:19" ht="17.25" thickBot="1">
      <c r="A106" s="109" t="s">
        <v>206</v>
      </c>
      <c r="B106" s="110">
        <v>3.52</v>
      </c>
      <c r="C106" s="70">
        <v>2.02898551E-2</v>
      </c>
      <c r="D106" s="15">
        <v>3.6</v>
      </c>
      <c r="E106" s="32">
        <f t="shared" si="50"/>
        <v>2.2727272727272749E-2</v>
      </c>
      <c r="F106" s="18">
        <f>IF(ISNUMBER(D106), $B118 * E106, "")</f>
        <v>3409.0909090909122</v>
      </c>
      <c r="G106" s="31">
        <v>3.83</v>
      </c>
      <c r="H106" s="32">
        <f t="shared" si="51"/>
        <v>8.8068181818181837E-2</v>
      </c>
      <c r="I106" s="91">
        <f>IF(ISNUMBER(G106), $B118 * H106, "")</f>
        <v>13210.227272727276</v>
      </c>
      <c r="J106" s="15">
        <v>3.83</v>
      </c>
      <c r="K106" s="32">
        <f t="shared" si="52"/>
        <v>8.8068181818181837E-2</v>
      </c>
      <c r="L106" s="18">
        <f>IF(ISNUMBER(J106), $B118 * K106, "")</f>
        <v>13210.227272727276</v>
      </c>
      <c r="M106" s="31">
        <v>3.73</v>
      </c>
      <c r="N106" s="32">
        <f t="shared" si="53"/>
        <v>5.9659090909090898E-2</v>
      </c>
      <c r="O106" s="18">
        <f>IF(ISNUMBER(M106), $B118 * N106, "")</f>
        <v>8948.8636363636342</v>
      </c>
      <c r="Q106" s="33"/>
      <c r="R106" s="33"/>
    </row>
    <row r="107" spans="1:19" ht="17.25" thickBot="1">
      <c r="A107" s="114" t="s">
        <v>224</v>
      </c>
      <c r="B107" s="115">
        <v>21.2</v>
      </c>
      <c r="C107" s="72">
        <v>1.9230769200000001E-2</v>
      </c>
      <c r="D107" s="24">
        <v>21.3</v>
      </c>
      <c r="E107" s="25">
        <f t="shared" si="50"/>
        <v>4.7169811320755392E-3</v>
      </c>
      <c r="F107" s="94">
        <f>IF(ISNUMBER(D107), $B118 * E107, "")</f>
        <v>707.54716981133083</v>
      </c>
      <c r="G107" s="92">
        <v>21.8</v>
      </c>
      <c r="H107" s="25">
        <f t="shared" si="51"/>
        <v>2.8301886792452897E-2</v>
      </c>
      <c r="I107" s="93">
        <f>IF(ISNUMBER(G107), $B118 * H107, "")</f>
        <v>4245.2830188679345</v>
      </c>
      <c r="J107" s="24">
        <v>21.8</v>
      </c>
      <c r="K107" s="25">
        <f t="shared" si="52"/>
        <v>2.8301886792452897E-2</v>
      </c>
      <c r="L107" s="94">
        <f>IF(ISNUMBER(J107), $B118 * K107, "")</f>
        <v>4245.2830188679345</v>
      </c>
      <c r="M107" s="92">
        <v>21.7</v>
      </c>
      <c r="N107" s="25">
        <f t="shared" si="53"/>
        <v>2.358490566037736E-2</v>
      </c>
      <c r="O107" s="94">
        <f>IF(ISNUMBER(M107), $B118 * N107, "")</f>
        <v>3537.7358490566039</v>
      </c>
      <c r="Q107" s="170"/>
      <c r="R107" s="171"/>
      <c r="S107" s="172"/>
    </row>
    <row r="108" spans="1:19">
      <c r="A108" s="107" t="s">
        <v>161</v>
      </c>
      <c r="B108" s="108">
        <v>343</v>
      </c>
      <c r="C108" s="69">
        <v>1.78041543E-2</v>
      </c>
      <c r="D108" s="13">
        <v>354</v>
      </c>
      <c r="E108" s="14">
        <f>IF(ISNUMBER(D108), (D108 - $B108) / $B108, "")</f>
        <v>3.2069970845481049E-2</v>
      </c>
      <c r="F108" s="16">
        <f>IF(ISNUMBER(D108), $B118 * E108, "")</f>
        <v>4810.4956268221576</v>
      </c>
      <c r="G108" s="29">
        <v>362</v>
      </c>
      <c r="H108" s="14">
        <f>IF(ISNUMBER(G108), (G108 - $B108) / $B108, "")</f>
        <v>5.5393586005830907E-2</v>
      </c>
      <c r="I108" s="90">
        <f>IF(ISNUMBER(G108), $B118 * H108, "")</f>
        <v>8309.0379008746368</v>
      </c>
      <c r="J108" s="13">
        <v>362</v>
      </c>
      <c r="K108" s="14">
        <f>IF(ISNUMBER(J108), (J108 - $B108) / $B108, "")</f>
        <v>5.5393586005830907E-2</v>
      </c>
      <c r="L108" s="16">
        <f>IF(ISNUMBER(J108), $B118 * K108, "")</f>
        <v>8309.0379008746368</v>
      </c>
      <c r="M108" s="29">
        <v>355</v>
      </c>
      <c r="N108" s="14">
        <f>IF(ISNUMBER(M108), (M108 - $B108) / $B108, "")</f>
        <v>3.4985422740524783E-2</v>
      </c>
      <c r="O108" s="16">
        <f>IF(ISNUMBER(M108), $B118 * N108, "")</f>
        <v>5247.8134110787178</v>
      </c>
      <c r="Q108" s="173"/>
      <c r="R108" s="174"/>
      <c r="S108" s="175"/>
    </row>
    <row r="109" spans="1:19" ht="17.25" thickBot="1">
      <c r="A109" s="109" t="s">
        <v>107</v>
      </c>
      <c r="B109" s="110">
        <v>41.8</v>
      </c>
      <c r="C109" s="70">
        <v>1.7031630200000002E-2</v>
      </c>
      <c r="D109" s="15">
        <v>42.2</v>
      </c>
      <c r="E109" s="32">
        <f t="shared" ref="E109:E112" si="54">IF(ISNUMBER(D109), (D109 - $B109) / $B109, "")</f>
        <v>9.5693779904307587E-3</v>
      </c>
      <c r="F109" s="18">
        <f>IF(ISNUMBER(D109), $B118 * E109, "")</f>
        <v>1435.4066985646139</v>
      </c>
      <c r="G109" s="31">
        <v>42.5</v>
      </c>
      <c r="H109" s="32">
        <f t="shared" ref="H109:H112" si="55">IF(ISNUMBER(G109), (G109 - $B109) / $B109, "")</f>
        <v>1.6746411483253659E-2</v>
      </c>
      <c r="I109" s="91">
        <f>IF(ISNUMBER(G109), $B118 * H109, "")</f>
        <v>2511.961722488049</v>
      </c>
      <c r="J109" s="15">
        <v>42.5</v>
      </c>
      <c r="K109" s="32">
        <f t="shared" ref="K109:K112" si="56">IF(ISNUMBER(J109), (J109 - $B109) / $B109, "")</f>
        <v>1.6746411483253659E-2</v>
      </c>
      <c r="L109" s="18">
        <f>IF(ISNUMBER(J109), $B118 * K109, "")</f>
        <v>2511.961722488049</v>
      </c>
      <c r="M109" s="31">
        <v>42.2</v>
      </c>
      <c r="N109" s="32">
        <f t="shared" ref="N109:N112" si="57">IF(ISNUMBER(M109), (M109 - $B109) / $B109, "")</f>
        <v>9.5693779904307587E-3</v>
      </c>
      <c r="O109" s="18">
        <f>IF(ISNUMBER(M109), $B118 * N109, "")</f>
        <v>1435.4066985646139</v>
      </c>
      <c r="Q109" s="176"/>
      <c r="R109" s="177"/>
      <c r="S109" s="178"/>
    </row>
    <row r="110" spans="1:19" ht="17.25" thickBot="1">
      <c r="A110" s="109" t="s">
        <v>240</v>
      </c>
      <c r="B110" s="110">
        <v>30.2</v>
      </c>
      <c r="C110" s="70">
        <v>1.6835016800000002E-2</v>
      </c>
      <c r="D110" s="15">
        <v>30.5</v>
      </c>
      <c r="E110" s="32">
        <f t="shared" si="54"/>
        <v>9.9337748344371091E-3</v>
      </c>
      <c r="F110" s="18">
        <f>IF(ISNUMBER(D110), $B118 * E110, "")</f>
        <v>1490.0662251655663</v>
      </c>
      <c r="G110" s="31">
        <v>30.5</v>
      </c>
      <c r="H110" s="32">
        <f t="shared" si="55"/>
        <v>9.9337748344371091E-3</v>
      </c>
      <c r="I110" s="91">
        <f>IF(ISNUMBER(G110), $B118 * H110, "")</f>
        <v>1490.0662251655663</v>
      </c>
      <c r="J110" s="15">
        <v>30.5</v>
      </c>
      <c r="K110" s="32">
        <f t="shared" si="56"/>
        <v>9.9337748344371091E-3</v>
      </c>
      <c r="L110" s="18">
        <f>IF(ISNUMBER(J110), $B118 * K110, "")</f>
        <v>1490.0662251655663</v>
      </c>
      <c r="M110" s="31">
        <v>30.3</v>
      </c>
      <c r="N110" s="32">
        <f t="shared" si="57"/>
        <v>3.3112582781457426E-3</v>
      </c>
      <c r="O110" s="18">
        <f>IF(ISNUMBER(M110), $B118 * N110, "")</f>
        <v>496.68874172186139</v>
      </c>
      <c r="Q110" s="161"/>
      <c r="R110" s="161"/>
      <c r="S110" s="161"/>
    </row>
    <row r="111" spans="1:19" ht="17.25" thickBot="1">
      <c r="A111" s="109" t="s">
        <v>335</v>
      </c>
      <c r="B111" s="110">
        <v>3.8899999999999997E-2</v>
      </c>
      <c r="C111" s="70">
        <v>1.56657963E-2</v>
      </c>
      <c r="D111" s="15">
        <v>3.8699999999999998E-2</v>
      </c>
      <c r="E111" s="32">
        <f t="shared" si="54"/>
        <v>-5.1413881748071672E-3</v>
      </c>
      <c r="F111" s="18">
        <f>IF(ISNUMBER(D111), $B118 * E111, "")</f>
        <v>-771.20822622107505</v>
      </c>
      <c r="G111" s="31">
        <v>3.9E-2</v>
      </c>
      <c r="H111" s="32">
        <f t="shared" si="55"/>
        <v>2.5706940874036729E-3</v>
      </c>
      <c r="I111" s="91">
        <f>IF(ISNUMBER(G111), $B118 * H111, "")</f>
        <v>385.60411311055094</v>
      </c>
      <c r="J111" s="15">
        <v>3.9E-2</v>
      </c>
      <c r="K111" s="32">
        <f t="shared" si="56"/>
        <v>2.5706940874036729E-3</v>
      </c>
      <c r="L111" s="18">
        <f>IF(ISNUMBER(J111), $B118 * K111, "")</f>
        <v>385.60411311055094</v>
      </c>
      <c r="M111" s="31">
        <v>3.8800000000000001E-2</v>
      </c>
      <c r="N111" s="32">
        <f t="shared" si="57"/>
        <v>-2.5706940874034943E-3</v>
      </c>
      <c r="O111" s="18">
        <f>IF(ISNUMBER(M111), $B118 * N111, "")</f>
        <v>-385.60411311052417</v>
      </c>
      <c r="Q111" s="156"/>
      <c r="R111" s="156"/>
      <c r="S111" s="156"/>
    </row>
    <row r="112" spans="1:19" ht="17.25" thickBot="1">
      <c r="A112" s="111" t="s">
        <v>62</v>
      </c>
      <c r="B112" s="112">
        <v>9325</v>
      </c>
      <c r="C112" s="71">
        <v>1.4689880299999999E-2</v>
      </c>
      <c r="D112" s="20">
        <v>9445</v>
      </c>
      <c r="E112" s="21">
        <f t="shared" si="54"/>
        <v>1.2868632707774798E-2</v>
      </c>
      <c r="F112" s="22">
        <f>IF(ISNUMBER(D112), $B118 * E112, "")</f>
        <v>1930.2949061662198</v>
      </c>
      <c r="G112" s="30">
        <v>9445</v>
      </c>
      <c r="H112" s="21">
        <f t="shared" si="55"/>
        <v>1.2868632707774798E-2</v>
      </c>
      <c r="I112" s="95">
        <f>IF(ISNUMBER(G112), $B118 * H112, "")</f>
        <v>1930.2949061662198</v>
      </c>
      <c r="J112" s="20">
        <v>9445</v>
      </c>
      <c r="K112" s="21">
        <f t="shared" si="56"/>
        <v>1.2868632707774798E-2</v>
      </c>
      <c r="L112" s="22">
        <f>IF(ISNUMBER(J112), $B118 * K112, "")</f>
        <v>1930.2949061662198</v>
      </c>
      <c r="M112" s="30">
        <v>9375</v>
      </c>
      <c r="N112" s="21">
        <f t="shared" si="57"/>
        <v>5.3619302949061663E-3</v>
      </c>
      <c r="O112" s="22">
        <f>IF(ISNUMBER(M112), $B118 * N112, "")</f>
        <v>804.28954423592495</v>
      </c>
      <c r="Q112" s="156"/>
      <c r="R112" s="156"/>
      <c r="S112" s="156"/>
    </row>
    <row r="113" spans="1:19" ht="17.25" thickBot="1">
      <c r="A113" s="109" t="s">
        <v>116</v>
      </c>
      <c r="B113" s="113">
        <v>1115</v>
      </c>
      <c r="C113" s="73">
        <v>1.36363636E-2</v>
      </c>
      <c r="D113" s="96">
        <v>1125</v>
      </c>
      <c r="E113" s="97">
        <f>IF(ISNUMBER(D113), (D113 - $B113) / $B113, "")</f>
        <v>8.9686098654708519E-3</v>
      </c>
      <c r="F113" s="98">
        <f>IF(ISNUMBER(D113), $B118 * E113, "")</f>
        <v>1345.2914798206277</v>
      </c>
      <c r="G113" s="99">
        <v>1155</v>
      </c>
      <c r="H113" s="97">
        <f>IF(ISNUMBER(G113), (G113 - $B113) / $B113, "")</f>
        <v>3.5874439461883408E-2</v>
      </c>
      <c r="I113" s="100">
        <f>IF(ISNUMBER(G113), $B118 * H113, "")</f>
        <v>5381.1659192825109</v>
      </c>
      <c r="J113" s="96">
        <v>1155</v>
      </c>
      <c r="K113" s="97">
        <f>IF(ISNUMBER(J113), (J113 - $B113) / $B113, "")</f>
        <v>3.5874439461883408E-2</v>
      </c>
      <c r="L113" s="98">
        <f>IF(ISNUMBER(J113), $B118 * K113, "")</f>
        <v>5381.1659192825109</v>
      </c>
      <c r="M113" s="99">
        <v>1165</v>
      </c>
      <c r="N113" s="97">
        <f>IF(ISNUMBER(M113), (M113 - $B113) / $B113, "")</f>
        <v>4.4843049327354258E-2</v>
      </c>
      <c r="O113" s="98">
        <f>IF(ISNUMBER(M113), $B118 * N113, "")</f>
        <v>6726.4573991031384</v>
      </c>
      <c r="Q113" s="161"/>
      <c r="R113" s="161"/>
      <c r="S113" s="161"/>
    </row>
    <row r="114" spans="1:19" ht="17.25" thickBot="1">
      <c r="A114" s="109" t="s">
        <v>324</v>
      </c>
      <c r="B114" s="110">
        <v>1220</v>
      </c>
      <c r="C114" s="70">
        <v>1.2448132799999999E-2</v>
      </c>
      <c r="D114" s="15">
        <v>1230</v>
      </c>
      <c r="E114" s="32">
        <f t="shared" ref="E114:E117" si="58">IF(ISNUMBER(D114), (D114 - $B114) / $B114, "")</f>
        <v>8.1967213114754103E-3</v>
      </c>
      <c r="F114" s="18">
        <f>IF(ISNUMBER(D114), $B118 * E114, "")</f>
        <v>1229.5081967213116</v>
      </c>
      <c r="G114" s="31">
        <v>1225</v>
      </c>
      <c r="H114" s="32">
        <f t="shared" ref="H114:H117" si="59">IF(ISNUMBER(G114), (G114 - $B114) / $B114, "")</f>
        <v>4.0983606557377051E-3</v>
      </c>
      <c r="I114" s="91">
        <f>IF(ISNUMBER(G114), $B118 * H114, "")</f>
        <v>614.7540983606558</v>
      </c>
      <c r="J114" s="15">
        <v>1225</v>
      </c>
      <c r="K114" s="32">
        <f t="shared" ref="K114:K117" si="60">IF(ISNUMBER(J114), (J114 - $B114) / $B114, "")</f>
        <v>4.0983606557377051E-3</v>
      </c>
      <c r="L114" s="18">
        <f>IF(ISNUMBER(J114), $B118 * K114, "")</f>
        <v>614.7540983606558</v>
      </c>
      <c r="M114" s="31">
        <v>1220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161"/>
      <c r="R114" s="161"/>
      <c r="S114" s="161"/>
    </row>
    <row r="115" spans="1:19" ht="17.25" thickBot="1">
      <c r="A115" s="109" t="s">
        <v>103</v>
      </c>
      <c r="B115" s="110">
        <v>249</v>
      </c>
      <c r="C115" s="70">
        <v>1.2195121999999999E-2</v>
      </c>
      <c r="D115" s="15">
        <v>253</v>
      </c>
      <c r="E115" s="32">
        <f t="shared" si="58"/>
        <v>1.6064257028112448E-2</v>
      </c>
      <c r="F115" s="18">
        <f>IF(ISNUMBER(D115), $B118 * E115, "")</f>
        <v>2409.6385542168673</v>
      </c>
      <c r="G115" s="31">
        <v>253</v>
      </c>
      <c r="H115" s="32">
        <f t="shared" si="59"/>
        <v>1.6064257028112448E-2</v>
      </c>
      <c r="I115" s="91">
        <f>IF(ISNUMBER(G115), $B118 * H115, "")</f>
        <v>2409.6385542168673</v>
      </c>
      <c r="J115" s="15">
        <v>253</v>
      </c>
      <c r="K115" s="32">
        <f t="shared" si="60"/>
        <v>1.6064257028112448E-2</v>
      </c>
      <c r="L115" s="18">
        <f>IF(ISNUMBER(J115), $B118 * K115, "")</f>
        <v>2409.6385542168673</v>
      </c>
      <c r="M115" s="31">
        <v>252</v>
      </c>
      <c r="N115" s="32">
        <f t="shared" si="61"/>
        <v>1.2048192771084338E-2</v>
      </c>
      <c r="O115" s="18">
        <f>IF(ISNUMBER(M115), $B118 * N115, "")</f>
        <v>1807.2289156626507</v>
      </c>
      <c r="Q115" s="161"/>
      <c r="R115" s="161"/>
      <c r="S115" s="161"/>
    </row>
    <row r="116" spans="1:19">
      <c r="A116" s="109" t="s">
        <v>89</v>
      </c>
      <c r="B116" s="110">
        <v>520</v>
      </c>
      <c r="C116" s="70">
        <v>1.16731518E-2</v>
      </c>
      <c r="D116" s="15">
        <v>518</v>
      </c>
      <c r="E116" s="32">
        <f t="shared" si="58"/>
        <v>-3.8461538461538464E-3</v>
      </c>
      <c r="F116" s="18">
        <f>IF(ISNUMBER(D116), $B118 * E116, "")</f>
        <v>-576.92307692307691</v>
      </c>
      <c r="G116" s="31">
        <v>519</v>
      </c>
      <c r="H116" s="32">
        <f t="shared" si="59"/>
        <v>-1.9230769230769232E-3</v>
      </c>
      <c r="I116" s="91">
        <f>IF(ISNUMBER(G116), $B118 * H116, "")</f>
        <v>-288.46153846153845</v>
      </c>
      <c r="J116" s="15">
        <v>519</v>
      </c>
      <c r="K116" s="32">
        <f t="shared" si="60"/>
        <v>-1.9230769230769232E-3</v>
      </c>
      <c r="L116" s="18">
        <f>IF(ISNUMBER(J116), $B118 * K116, "")</f>
        <v>-288.46153846153845</v>
      </c>
      <c r="M116" s="31">
        <v>517</v>
      </c>
      <c r="N116" s="32">
        <f t="shared" si="61"/>
        <v>-5.7692307692307696E-3</v>
      </c>
      <c r="O116" s="18">
        <f>IF(ISNUMBER(M116), $B118 * N116, "")</f>
        <v>-865.38461538461547</v>
      </c>
      <c r="Q116" s="183"/>
      <c r="R116" s="184"/>
      <c r="S116" s="185"/>
    </row>
    <row r="117" spans="1:19" ht="17.25" thickBot="1">
      <c r="A117" s="114" t="s">
        <v>93</v>
      </c>
      <c r="B117" s="115">
        <v>1670000</v>
      </c>
      <c r="C117" s="72">
        <v>1.15081769E-2</v>
      </c>
      <c r="D117" s="24">
        <v>1701000</v>
      </c>
      <c r="E117" s="25">
        <f t="shared" si="58"/>
        <v>1.8562874251497007E-2</v>
      </c>
      <c r="F117" s="94">
        <f>IF(ISNUMBER(D117), $B118 * E117, "")</f>
        <v>2784.4311377245513</v>
      </c>
      <c r="G117" s="92">
        <v>1699500</v>
      </c>
      <c r="H117" s="25">
        <f t="shared" si="59"/>
        <v>1.7664670658682633E-2</v>
      </c>
      <c r="I117" s="93">
        <f>IF(ISNUMBER(G117), $B118 * H117, "")</f>
        <v>2649.7005988023948</v>
      </c>
      <c r="J117" s="24">
        <v>1699500</v>
      </c>
      <c r="K117" s="25">
        <f t="shared" si="60"/>
        <v>1.7664670658682633E-2</v>
      </c>
      <c r="L117" s="94">
        <f>IF(ISNUMBER(J117), $B118 * K117, "")</f>
        <v>2649.7005988023948</v>
      </c>
      <c r="M117" s="92">
        <v>1694500</v>
      </c>
      <c r="N117" s="25">
        <f t="shared" si="61"/>
        <v>1.4670658682634731E-2</v>
      </c>
      <c r="O117" s="94">
        <f>IF(ISNUMBER(M117), $B118 * N117, "")</f>
        <v>2200.5988023952095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1.8229617543552991E-2</v>
      </c>
      <c r="F118" s="28">
        <f>SUM(F98:F117)</f>
        <v>54688.85263065897</v>
      </c>
      <c r="G118" s="26" t="s">
        <v>261</v>
      </c>
      <c r="H118" s="27">
        <f>IF(COUNT(H98:H117), SUM(H98:H117) / COUNT(H98:H117), 0)</f>
        <v>3.2084914293993003E-2</v>
      </c>
      <c r="I118" s="28">
        <f>SUM(I98:I117)</f>
        <v>96254.742881979037</v>
      </c>
      <c r="J118" s="26" t="s">
        <v>261</v>
      </c>
      <c r="K118" s="27">
        <f>IF(COUNT(K98:K117), SUM(K98:K117) / COUNT(K98:K117), 0)</f>
        <v>3.2084914293993003E-2</v>
      </c>
      <c r="L118" s="28">
        <f>SUM(L98:L117)</f>
        <v>96254.742881979037</v>
      </c>
      <c r="M118" s="26" t="s">
        <v>261</v>
      </c>
      <c r="N118" s="27">
        <f>IF(COUNT(N98:N117), SUM(N98:N117) / COUNT(N98:N117), 0)</f>
        <v>2.5781072054098179E-2</v>
      </c>
      <c r="O118" s="28">
        <f>SUM(O98:O117)</f>
        <v>77343.216162294542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2022-12-09(금) 오전 00:00</v>
      </c>
      <c r="C123" s="199"/>
      <c r="D123" s="158" t="str">
        <f>TEXT($G$1, "[$-ko-KR]yyyy-mm-dd(ddd) ") &amp; "오후 14:00"</f>
        <v>2022-12-09(금) 오후 14:00</v>
      </c>
      <c r="E123" s="159"/>
      <c r="F123" s="160"/>
      <c r="G123" s="158" t="str">
        <f>TEXT($G$1, "[$-ko-KR]yyyy-mm-dd(ddd) ") &amp; "오후 19:00"</f>
        <v>2022-12-09(금) 오후 19:00</v>
      </c>
      <c r="H123" s="159"/>
      <c r="I123" s="160"/>
      <c r="J123" s="158" t="str">
        <f>TEXT($G$1, "[$-ko-KR]yyyy-mm-dd(ddd) ") &amp; "오후 21:00"</f>
        <v>2022-12-09(금) 오후 21:00</v>
      </c>
      <c r="K123" s="159"/>
      <c r="L123" s="160"/>
      <c r="M123" s="158" t="str">
        <f>TEXT($G$1+1, "[$-ko-KR]yyyy-mm-dd(ddd) ") &amp; "오전 00:00"</f>
        <v>2022-12-10(토)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195</v>
      </c>
      <c r="B125" s="108">
        <v>6.62</v>
      </c>
      <c r="C125" s="69">
        <v>6.0790274E-3</v>
      </c>
      <c r="D125" s="13">
        <v>6.74</v>
      </c>
      <c r="E125" s="14">
        <f>IF(ISNUMBER(D125), (D125 - $B125) / $B125, "")</f>
        <v>1.8126888217522674E-2</v>
      </c>
      <c r="F125" s="16">
        <f>IF(ISNUMBER(D125), $B145 * E125, "")</f>
        <v>2719.033232628401</v>
      </c>
      <c r="G125" s="29">
        <v>6.95</v>
      </c>
      <c r="H125" s="14">
        <f>IF(ISNUMBER(G125), (G125 - $B125) / $B125, "")</f>
        <v>4.9848942598187319E-2</v>
      </c>
      <c r="I125" s="90">
        <f>IF(ISNUMBER(G125), $B145 * H125, "")</f>
        <v>7477.341389728098</v>
      </c>
      <c r="J125" s="13">
        <v>6.95</v>
      </c>
      <c r="K125" s="14">
        <f>IF(ISNUMBER(J125), (J125 - $B125) / $B125, "")</f>
        <v>4.9848942598187319E-2</v>
      </c>
      <c r="L125" s="16">
        <f>IF(ISNUMBER(J125), $B145 * K125, "")</f>
        <v>7477.341389728098</v>
      </c>
      <c r="M125" s="29">
        <v>6.9</v>
      </c>
      <c r="N125" s="14">
        <f>IF(ISNUMBER(M125), (M125 - $B125) / $B125, "")</f>
        <v>4.2296072507552906E-2</v>
      </c>
      <c r="O125" s="16">
        <f>IF(ISNUMBER(M125), $B145 * N125, "")</f>
        <v>6344.4108761329362</v>
      </c>
      <c r="Q125" s="156"/>
      <c r="R125" s="156"/>
      <c r="S125" s="156"/>
    </row>
    <row r="126" spans="1:19" ht="17.25" thickBot="1">
      <c r="A126" s="109" t="s">
        <v>200</v>
      </c>
      <c r="B126" s="110">
        <v>6.89</v>
      </c>
      <c r="C126" s="70">
        <v>4.3731778000000001E-3</v>
      </c>
      <c r="D126" s="15">
        <v>6.96</v>
      </c>
      <c r="E126" s="32">
        <f t="shared" ref="E126:E129" si="62">IF(ISNUMBER(D126), (D126 - $B126) / $B126, "")</f>
        <v>1.0159651669085673E-2</v>
      </c>
      <c r="F126" s="18">
        <f>IF(ISNUMBER(D126), $B145 * E126, "")</f>
        <v>1523.9477503628509</v>
      </c>
      <c r="G126" s="31">
        <v>7.25</v>
      </c>
      <c r="H126" s="32">
        <f t="shared" ref="H126:H129" si="63">IF(ISNUMBER(G126), (G126 - $B126) / $B126, "")</f>
        <v>5.2249637155297582E-2</v>
      </c>
      <c r="I126" s="91">
        <f>IF(ISNUMBER(G126), $B145 * H126, "")</f>
        <v>7837.4455732946371</v>
      </c>
      <c r="J126" s="15">
        <v>7.25</v>
      </c>
      <c r="K126" s="32">
        <f t="shared" ref="K126:K129" si="64">IF(ISNUMBER(J126), (J126 - $B126) / $B126, "")</f>
        <v>5.2249637155297582E-2</v>
      </c>
      <c r="L126" s="18">
        <f>IF(ISNUMBER(J126), $B145 * K126, "")</f>
        <v>7837.4455732946371</v>
      </c>
      <c r="M126" s="31">
        <v>7.18</v>
      </c>
      <c r="N126" s="32">
        <f t="shared" ref="N126:N129" si="65">IF(ISNUMBER(M126), (M126 - $B126) / $B126, "")</f>
        <v>4.2089985486211907E-2</v>
      </c>
      <c r="O126" s="18">
        <f>IF(ISNUMBER(M126), $B145 * N126, "")</f>
        <v>6313.4978229317858</v>
      </c>
      <c r="Q126" s="156"/>
      <c r="R126" s="156"/>
      <c r="S126" s="156"/>
    </row>
    <row r="127" spans="1:19" ht="17.25" thickBot="1">
      <c r="A127" s="109" t="s">
        <v>145</v>
      </c>
      <c r="B127" s="110">
        <v>71.5</v>
      </c>
      <c r="C127" s="70">
        <v>4.2134831000000001E-3</v>
      </c>
      <c r="D127" s="15">
        <v>72.099999999999994</v>
      </c>
      <c r="E127" s="32">
        <f t="shared" si="62"/>
        <v>8.3916083916083118E-3</v>
      </c>
      <c r="F127" s="18">
        <f>IF(ISNUMBER(D127), $B145 * E127, "")</f>
        <v>1258.7412587412468</v>
      </c>
      <c r="G127" s="31">
        <v>72.400000000000006</v>
      </c>
      <c r="H127" s="32">
        <f t="shared" si="63"/>
        <v>1.2587412587412666E-2</v>
      </c>
      <c r="I127" s="91">
        <f>IF(ISNUMBER(G127), $B145 * H127, "")</f>
        <v>1888.1118881119</v>
      </c>
      <c r="J127" s="15">
        <v>72.400000000000006</v>
      </c>
      <c r="K127" s="32">
        <f t="shared" si="64"/>
        <v>1.2587412587412666E-2</v>
      </c>
      <c r="L127" s="18">
        <f>IF(ISNUMBER(J127), $B145 * K127, "")</f>
        <v>1888.1118881119</v>
      </c>
      <c r="M127" s="31">
        <v>72.8</v>
      </c>
      <c r="N127" s="32">
        <f t="shared" si="65"/>
        <v>1.8181818181818143E-2</v>
      </c>
      <c r="O127" s="18">
        <f>IF(ISNUMBER(M127), $B145 * N127, "")</f>
        <v>2727.2727272727216</v>
      </c>
      <c r="Q127" s="161"/>
      <c r="R127" s="161"/>
      <c r="S127" s="161"/>
    </row>
    <row r="128" spans="1:19" ht="17.25" thickBot="1">
      <c r="A128" s="109" t="s">
        <v>185</v>
      </c>
      <c r="B128" s="110">
        <v>31.8</v>
      </c>
      <c r="C128" s="70">
        <v>3.1545740999999999E-3</v>
      </c>
      <c r="D128" s="15">
        <v>32.200000000000003</v>
      </c>
      <c r="E128" s="32">
        <f t="shared" si="62"/>
        <v>1.2578616352201324E-2</v>
      </c>
      <c r="F128" s="18">
        <f>IF(ISNUMBER(D128), $B145 * E128, "")</f>
        <v>1886.7924528301987</v>
      </c>
      <c r="G128" s="31">
        <v>32.6</v>
      </c>
      <c r="H128" s="32">
        <f t="shared" si="63"/>
        <v>2.5157232704402538E-2</v>
      </c>
      <c r="I128" s="91">
        <f>IF(ISNUMBER(G128), $B145 * H128, "")</f>
        <v>3773.5849056603806</v>
      </c>
      <c r="J128" s="15">
        <v>32.6</v>
      </c>
      <c r="K128" s="32">
        <f t="shared" si="64"/>
        <v>2.5157232704402538E-2</v>
      </c>
      <c r="L128" s="18">
        <f>IF(ISNUMBER(J128), $B145 * K128, "")</f>
        <v>3773.5849056603806</v>
      </c>
      <c r="M128" s="31">
        <v>32.700000000000003</v>
      </c>
      <c r="N128" s="32">
        <f t="shared" si="65"/>
        <v>2.8301886792452897E-2</v>
      </c>
      <c r="O128" s="18">
        <f>IF(ISNUMBER(M128), $B145 * N128, "")</f>
        <v>4245.2830188679345</v>
      </c>
      <c r="Q128" s="161"/>
      <c r="R128" s="161"/>
      <c r="S128" s="161"/>
    </row>
    <row r="129" spans="1:19" ht="17.25" thickBot="1">
      <c r="A129" s="111" t="s">
        <v>56</v>
      </c>
      <c r="B129" s="112">
        <v>43.1</v>
      </c>
      <c r="C129" s="71">
        <v>2.3255813999999999E-3</v>
      </c>
      <c r="D129" s="20">
        <v>43.8</v>
      </c>
      <c r="E129" s="21">
        <f t="shared" si="62"/>
        <v>1.6241299303944218E-2</v>
      </c>
      <c r="F129" s="22">
        <f>IF(ISNUMBER(D129), $B145 * E129, "")</f>
        <v>2436.1948955916328</v>
      </c>
      <c r="G129" s="30">
        <v>44.3</v>
      </c>
      <c r="H129" s="21">
        <f t="shared" si="63"/>
        <v>2.7842227378190157E-2</v>
      </c>
      <c r="I129" s="95">
        <f>IF(ISNUMBER(G129), $B145 * H129, "")</f>
        <v>4176.3341067285237</v>
      </c>
      <c r="J129" s="20">
        <v>44.3</v>
      </c>
      <c r="K129" s="21">
        <f t="shared" si="64"/>
        <v>2.7842227378190157E-2</v>
      </c>
      <c r="L129" s="22">
        <f>IF(ISNUMBER(J129), $B145 * K129, "")</f>
        <v>4176.3341067285237</v>
      </c>
      <c r="M129" s="30">
        <v>43.9</v>
      </c>
      <c r="N129" s="21">
        <f t="shared" si="65"/>
        <v>1.8561484918793437E-2</v>
      </c>
      <c r="O129" s="22">
        <f>IF(ISNUMBER(M129), $B145 * N129, "")</f>
        <v>2784.2227378190155</v>
      </c>
      <c r="Q129" s="161"/>
      <c r="R129" s="161"/>
      <c r="S129" s="161"/>
    </row>
    <row r="130" spans="1:19" ht="17.25" thickBot="1">
      <c r="A130" s="109" t="s">
        <v>210</v>
      </c>
      <c r="B130" s="113">
        <v>64.2</v>
      </c>
      <c r="C130" s="73">
        <v>0</v>
      </c>
      <c r="D130" s="96">
        <v>64.7</v>
      </c>
      <c r="E130" s="97">
        <f>IF(ISNUMBER(D130), (D130 - $B130) / $B130, "")</f>
        <v>7.7881619937694704E-3</v>
      </c>
      <c r="F130" s="98">
        <f>IF(ISNUMBER(D130), $B145 * E130, "")</f>
        <v>1168.2242990654206</v>
      </c>
      <c r="G130" s="99">
        <v>65.900000000000006</v>
      </c>
      <c r="H130" s="97">
        <f>IF(ISNUMBER(G130), (G130 - $B130) / $B130, "")</f>
        <v>2.6479750778816244E-2</v>
      </c>
      <c r="I130" s="100">
        <f>IF(ISNUMBER(G130), $B145 * H130, "")</f>
        <v>3971.9626168224368</v>
      </c>
      <c r="J130" s="96">
        <v>65.900000000000006</v>
      </c>
      <c r="K130" s="97">
        <f>IF(ISNUMBER(J130), (J130 - $B130) / $B130, "")</f>
        <v>2.6479750778816244E-2</v>
      </c>
      <c r="L130" s="98">
        <f>IF(ISNUMBER(J130), $B145 * K130, "")</f>
        <v>3971.9626168224368</v>
      </c>
      <c r="M130" s="99">
        <v>66.3</v>
      </c>
      <c r="N130" s="97">
        <f>IF(ISNUMBER(M130), (M130 - $B130) / $B130, "")</f>
        <v>3.2710280373831689E-2</v>
      </c>
      <c r="O130" s="98">
        <f>IF(ISNUMBER(M130), $B145 * N130, "")</f>
        <v>4906.5420560747534</v>
      </c>
      <c r="Q130" s="161"/>
      <c r="R130" s="161"/>
      <c r="S130" s="161"/>
    </row>
    <row r="131" spans="1:19" ht="17.25" thickBot="1">
      <c r="A131" s="109" t="s">
        <v>97</v>
      </c>
      <c r="B131" s="110">
        <v>8.9999999999999998E-4</v>
      </c>
      <c r="C131" s="70">
        <v>0</v>
      </c>
      <c r="D131" s="15">
        <v>8.9999999999999998E-4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8.9999999999999998E-4</v>
      </c>
      <c r="H131" s="32">
        <f t="shared" ref="H131:H134" si="67">IF(ISNUMBER(G131), (G131 - $B131) / $B131, "")</f>
        <v>0</v>
      </c>
      <c r="I131" s="91">
        <f>IF(ISNUMBER(G131), $B145 * H131, "")</f>
        <v>0</v>
      </c>
      <c r="J131" s="15">
        <v>8.9999999999999998E-4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8.9999999999999998E-4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161"/>
      <c r="R131" s="161"/>
      <c r="S131" s="161"/>
    </row>
    <row r="132" spans="1:19" ht="17.25" thickBot="1">
      <c r="A132" s="109" t="s">
        <v>230</v>
      </c>
      <c r="B132" s="110">
        <v>40.4</v>
      </c>
      <c r="C132" s="70">
        <v>0</v>
      </c>
      <c r="D132" s="15">
        <v>41.4</v>
      </c>
      <c r="E132" s="32">
        <f t="shared" si="66"/>
        <v>2.4752475247524754E-2</v>
      </c>
      <c r="F132" s="18">
        <f>IF(ISNUMBER(D132), $B145 * E132, "")</f>
        <v>3712.871287128713</v>
      </c>
      <c r="G132" s="31">
        <v>42</v>
      </c>
      <c r="H132" s="32">
        <f t="shared" si="67"/>
        <v>3.9603960396039639E-2</v>
      </c>
      <c r="I132" s="91">
        <f>IF(ISNUMBER(G132), $B145 * H132, "")</f>
        <v>5940.5940594059457</v>
      </c>
      <c r="J132" s="15">
        <v>42</v>
      </c>
      <c r="K132" s="32">
        <f t="shared" si="68"/>
        <v>3.9603960396039639E-2</v>
      </c>
      <c r="L132" s="18">
        <f>IF(ISNUMBER(J132), $B145 * K132, "")</f>
        <v>5940.5940594059457</v>
      </c>
      <c r="M132" s="31">
        <v>42.4</v>
      </c>
      <c r="N132" s="32">
        <f t="shared" si="69"/>
        <v>4.9504950495049507E-2</v>
      </c>
      <c r="O132" s="18">
        <f>IF(ISNUMBER(M132), $B145 * N132, "")</f>
        <v>7425.742574257426</v>
      </c>
      <c r="Q132" s="161"/>
      <c r="R132" s="161"/>
      <c r="S132" s="161"/>
    </row>
    <row r="133" spans="1:19" ht="17.25" thickBot="1">
      <c r="A133" s="109" t="s">
        <v>124</v>
      </c>
      <c r="B133" s="110">
        <v>32.799999999999997</v>
      </c>
      <c r="C133" s="70">
        <v>0</v>
      </c>
      <c r="D133" s="15">
        <v>33.1</v>
      </c>
      <c r="E133" s="32">
        <f t="shared" si="66"/>
        <v>9.1463414634147654E-3</v>
      </c>
      <c r="F133" s="18">
        <f>IF(ISNUMBER(D133), $B145 * E133, "")</f>
        <v>1371.9512195122147</v>
      </c>
      <c r="G133" s="31">
        <v>33.4</v>
      </c>
      <c r="H133" s="32">
        <f t="shared" si="67"/>
        <v>1.8292682926829312E-2</v>
      </c>
      <c r="I133" s="91">
        <f>IF(ISNUMBER(G133), $B145 * H133, "")</f>
        <v>2743.9024390243967</v>
      </c>
      <c r="J133" s="15">
        <v>33.4</v>
      </c>
      <c r="K133" s="32">
        <f t="shared" si="68"/>
        <v>1.8292682926829312E-2</v>
      </c>
      <c r="L133" s="18">
        <f>IF(ISNUMBER(J133), $B145 * K133, "")</f>
        <v>2743.9024390243967</v>
      </c>
      <c r="M133" s="31">
        <v>33.6</v>
      </c>
      <c r="N133" s="32">
        <f t="shared" si="69"/>
        <v>2.4390243902439157E-2</v>
      </c>
      <c r="O133" s="18">
        <f>IF(ISNUMBER(M133), $B145 * N133, "")</f>
        <v>3658.5365853658736</v>
      </c>
      <c r="Q133" s="33"/>
      <c r="R133" s="33"/>
    </row>
    <row r="134" spans="1:19" ht="17.25" thickBot="1">
      <c r="A134" s="114" t="s">
        <v>155</v>
      </c>
      <c r="B134" s="115">
        <v>29.8</v>
      </c>
      <c r="C134" s="72">
        <v>-3.3444816E-3</v>
      </c>
      <c r="D134" s="24">
        <v>30.5</v>
      </c>
      <c r="E134" s="25">
        <f t="shared" si="66"/>
        <v>2.3489932885906017E-2</v>
      </c>
      <c r="F134" s="94">
        <f>IF(ISNUMBER(D134), $B145 * E134, "")</f>
        <v>3523.4899328859024</v>
      </c>
      <c r="G134" s="92">
        <v>30.9</v>
      </c>
      <c r="H134" s="25">
        <f t="shared" si="67"/>
        <v>3.6912751677852275E-2</v>
      </c>
      <c r="I134" s="93">
        <f>IF(ISNUMBER(G134), $B145 * H134, "")</f>
        <v>5536.9127516778408</v>
      </c>
      <c r="J134" s="24">
        <v>30.9</v>
      </c>
      <c r="K134" s="25">
        <f t="shared" si="68"/>
        <v>3.6912751677852275E-2</v>
      </c>
      <c r="L134" s="94">
        <f>IF(ISNUMBER(J134), $B145 * K134, "")</f>
        <v>5536.9127516778408</v>
      </c>
      <c r="M134" s="92">
        <v>30.7</v>
      </c>
      <c r="N134" s="25">
        <f t="shared" si="69"/>
        <v>3.0201342281879148E-2</v>
      </c>
      <c r="O134" s="94">
        <f>IF(ISNUMBER(M134), $B145 * N134, "")</f>
        <v>4530.2013422818718</v>
      </c>
      <c r="Q134" s="170"/>
      <c r="R134" s="171"/>
      <c r="S134" s="172"/>
    </row>
    <row r="135" spans="1:19">
      <c r="A135" s="107" t="s">
        <v>126</v>
      </c>
      <c r="B135" s="108">
        <v>29.2</v>
      </c>
      <c r="C135" s="69">
        <v>-3.4129693000000002E-3</v>
      </c>
      <c r="D135" s="13">
        <v>29.5</v>
      </c>
      <c r="E135" s="14">
        <f>IF(ISNUMBER(D135), (D135 - $B135) / $B135, "")</f>
        <v>1.0273972602739751E-2</v>
      </c>
      <c r="F135" s="16">
        <f>IF(ISNUMBER(D135), $B145 * E135, "")</f>
        <v>1541.0958904109627</v>
      </c>
      <c r="G135" s="29">
        <v>29.8</v>
      </c>
      <c r="H135" s="14">
        <f>IF(ISNUMBER(G135), (G135 - $B135) / $B135, "")</f>
        <v>2.0547945205479503E-2</v>
      </c>
      <c r="I135" s="90">
        <f>IF(ISNUMBER(G135), $B145 * H135, "")</f>
        <v>3082.1917808219255</v>
      </c>
      <c r="J135" s="13">
        <v>29.8</v>
      </c>
      <c r="K135" s="14">
        <f>IF(ISNUMBER(J135), (J135 - $B135) / $B135, "")</f>
        <v>2.0547945205479503E-2</v>
      </c>
      <c r="L135" s="16">
        <f>IF(ISNUMBER(J135), $B145 * K135, "")</f>
        <v>3082.1917808219255</v>
      </c>
      <c r="M135" s="29">
        <v>29.5</v>
      </c>
      <c r="N135" s="14">
        <f>IF(ISNUMBER(M135), (M135 - $B135) / $B135, "")</f>
        <v>1.0273972602739751E-2</v>
      </c>
      <c r="O135" s="16">
        <f>IF(ISNUMBER(M135), $B145 * N135, "")</f>
        <v>1541.0958904109627</v>
      </c>
      <c r="Q135" s="173"/>
      <c r="R135" s="174"/>
      <c r="S135" s="175"/>
    </row>
    <row r="136" spans="1:19" ht="17.25" thickBot="1">
      <c r="A136" s="109" t="s">
        <v>326</v>
      </c>
      <c r="B136" s="110">
        <v>23.6</v>
      </c>
      <c r="C136" s="70">
        <v>-4.2194093E-3</v>
      </c>
      <c r="D136" s="15">
        <v>27.6</v>
      </c>
      <c r="E136" s="32">
        <f t="shared" ref="E136:E139" si="70">IF(ISNUMBER(D136), (D136 - $B136) / $B136, "")</f>
        <v>0.16949152542372881</v>
      </c>
      <c r="F136" s="18">
        <f>IF(ISNUMBER(D136), $B145 * E136, "")</f>
        <v>25423.728813559323</v>
      </c>
      <c r="G136" s="31">
        <v>26.8</v>
      </c>
      <c r="H136" s="32">
        <f t="shared" ref="H136:H139" si="71">IF(ISNUMBER(G136), (G136 - $B136) / $B136, "")</f>
        <v>0.13559322033898302</v>
      </c>
      <c r="I136" s="91">
        <f>IF(ISNUMBER(G136), $B145 * H136, "")</f>
        <v>20338.983050847455</v>
      </c>
      <c r="J136" s="15">
        <v>26.8</v>
      </c>
      <c r="K136" s="32">
        <f t="shared" ref="K136:K139" si="72">IF(ISNUMBER(J136), (J136 - $B136) / $B136, "")</f>
        <v>0.13559322033898302</v>
      </c>
      <c r="L136" s="18">
        <f>IF(ISNUMBER(J136), $B145 * K136, "")</f>
        <v>20338.983050847455</v>
      </c>
      <c r="M136" s="31">
        <v>26.7</v>
      </c>
      <c r="N136" s="32">
        <f t="shared" ref="N136:N139" si="73">IF(ISNUMBER(M136), (M136 - $B136) / $B136, "")</f>
        <v>0.13135593220338973</v>
      </c>
      <c r="O136" s="18">
        <f>IF(ISNUMBER(M136), $B145 * N136, "")</f>
        <v>19703.389830508459</v>
      </c>
      <c r="Q136" s="176"/>
      <c r="R136" s="177"/>
      <c r="S136" s="178"/>
    </row>
    <row r="137" spans="1:19" ht="17.25" thickBot="1">
      <c r="A137" s="109" t="s">
        <v>193</v>
      </c>
      <c r="B137" s="110">
        <v>19.5</v>
      </c>
      <c r="C137" s="70">
        <v>-5.1020407999999998E-3</v>
      </c>
      <c r="D137" s="15">
        <v>19.600000000000001</v>
      </c>
      <c r="E137" s="32">
        <f t="shared" si="70"/>
        <v>5.1282051282052011E-3</v>
      </c>
      <c r="F137" s="18">
        <f>IF(ISNUMBER(D137), $B145 * E137, "")</f>
        <v>769.2307692307802</v>
      </c>
      <c r="G137" s="31">
        <v>19.8</v>
      </c>
      <c r="H137" s="32">
        <f t="shared" si="71"/>
        <v>1.5384615384615422E-2</v>
      </c>
      <c r="I137" s="91">
        <f>IF(ISNUMBER(G137), $B145 * H137, "")</f>
        <v>2307.6923076923131</v>
      </c>
      <c r="J137" s="15">
        <v>19.8</v>
      </c>
      <c r="K137" s="32">
        <f t="shared" si="72"/>
        <v>1.5384615384615422E-2</v>
      </c>
      <c r="L137" s="18">
        <f>IF(ISNUMBER(J137), $B145 * K137, "")</f>
        <v>2307.6923076923131</v>
      </c>
      <c r="M137" s="31">
        <v>19.7</v>
      </c>
      <c r="N137" s="32">
        <f t="shared" si="73"/>
        <v>1.025641025641022E-2</v>
      </c>
      <c r="O137" s="18">
        <f>IF(ISNUMBER(M137), $B145 * N137, "")</f>
        <v>1538.4615384615331</v>
      </c>
      <c r="Q137" s="161"/>
      <c r="R137" s="161"/>
      <c r="S137" s="161"/>
    </row>
    <row r="138" spans="1:19" ht="17.25" thickBot="1">
      <c r="A138" s="109" t="s">
        <v>212</v>
      </c>
      <c r="B138" s="110">
        <v>85</v>
      </c>
      <c r="C138" s="70">
        <v>-5.8479532000000004E-3</v>
      </c>
      <c r="D138" s="15">
        <v>85.3</v>
      </c>
      <c r="E138" s="32">
        <f t="shared" si="70"/>
        <v>3.5294117647058491E-3</v>
      </c>
      <c r="F138" s="18">
        <f>IF(ISNUMBER(D138), $B145 * E138, "")</f>
        <v>529.41176470587732</v>
      </c>
      <c r="G138" s="31">
        <v>86.3</v>
      </c>
      <c r="H138" s="32">
        <f t="shared" si="71"/>
        <v>1.529411764705879E-2</v>
      </c>
      <c r="I138" s="91">
        <f>IF(ISNUMBER(G138), $B145 * H138, "")</f>
        <v>2294.1176470588184</v>
      </c>
      <c r="J138" s="15">
        <v>86.3</v>
      </c>
      <c r="K138" s="32">
        <f t="shared" si="72"/>
        <v>1.529411764705879E-2</v>
      </c>
      <c r="L138" s="18">
        <f>IF(ISNUMBER(J138), $B145 * K138, "")</f>
        <v>2294.1176470588184</v>
      </c>
      <c r="M138" s="31">
        <v>86.3</v>
      </c>
      <c r="N138" s="32">
        <f t="shared" si="73"/>
        <v>1.529411764705879E-2</v>
      </c>
      <c r="O138" s="18">
        <f>IF(ISNUMBER(M138), $B145 * N138, "")</f>
        <v>2294.1176470588184</v>
      </c>
      <c r="Q138" s="156"/>
      <c r="R138" s="156"/>
      <c r="S138" s="156"/>
    </row>
    <row r="139" spans="1:19" ht="17.25" thickBot="1">
      <c r="A139" s="111" t="s">
        <v>220</v>
      </c>
      <c r="B139" s="112">
        <v>75.3</v>
      </c>
      <c r="C139" s="71">
        <v>-6.5963061000000002E-3</v>
      </c>
      <c r="D139" s="20">
        <v>76.3</v>
      </c>
      <c r="E139" s="21">
        <f t="shared" si="70"/>
        <v>1.3280212483399735E-2</v>
      </c>
      <c r="F139" s="22">
        <f>IF(ISNUMBER(D139), $B145 * E139, "")</f>
        <v>1992.0318725099603</v>
      </c>
      <c r="G139" s="30">
        <v>76.7</v>
      </c>
      <c r="H139" s="21">
        <f t="shared" si="71"/>
        <v>1.8592297476759705E-2</v>
      </c>
      <c r="I139" s="95">
        <f>IF(ISNUMBER(G139), $B145 * H139, "")</f>
        <v>2788.8446215139556</v>
      </c>
      <c r="J139" s="20">
        <v>76.7</v>
      </c>
      <c r="K139" s="21">
        <f t="shared" si="72"/>
        <v>1.8592297476759705E-2</v>
      </c>
      <c r="L139" s="22">
        <f>IF(ISNUMBER(J139), $B145 * K139, "")</f>
        <v>2788.8446215139556</v>
      </c>
      <c r="M139" s="30">
        <v>76.599999999999994</v>
      </c>
      <c r="N139" s="21">
        <f t="shared" si="73"/>
        <v>1.7264276228419619E-2</v>
      </c>
      <c r="O139" s="22">
        <f>IF(ISNUMBER(M139), $B145 * N139, "")</f>
        <v>2589.6414342629428</v>
      </c>
      <c r="Q139" s="156"/>
      <c r="R139" s="156"/>
      <c r="S139" s="156"/>
    </row>
    <row r="140" spans="1:19" ht="17.25" thickBot="1">
      <c r="A140" s="109" t="s">
        <v>118</v>
      </c>
      <c r="B140" s="113">
        <v>6.66</v>
      </c>
      <c r="C140" s="73">
        <v>-7.4515648000000002E-3</v>
      </c>
      <c r="D140" s="96">
        <v>6.73</v>
      </c>
      <c r="E140" s="97">
        <f>IF(ISNUMBER(D140), (D140 - $B140) / $B140, "")</f>
        <v>1.0510510510510553E-2</v>
      </c>
      <c r="F140" s="98">
        <f>IF(ISNUMBER(D140), $B145 * E140, "")</f>
        <v>1576.576576576583</v>
      </c>
      <c r="G140" s="99">
        <v>6.87</v>
      </c>
      <c r="H140" s="97">
        <f>IF(ISNUMBER(G140), (G140 - $B140) / $B140, "")</f>
        <v>3.1531531531531529E-2</v>
      </c>
      <c r="I140" s="100">
        <f>IF(ISNUMBER(G140), $B145 * H140, "")</f>
        <v>4729.7297297297291</v>
      </c>
      <c r="J140" s="96">
        <v>6.87</v>
      </c>
      <c r="K140" s="97">
        <f>IF(ISNUMBER(J140), (J140 - $B140) / $B140, "")</f>
        <v>3.1531531531531529E-2</v>
      </c>
      <c r="L140" s="98">
        <f>IF(ISNUMBER(J140), $B145 * K140, "")</f>
        <v>4729.7297297297291</v>
      </c>
      <c r="M140" s="99">
        <v>6.84</v>
      </c>
      <c r="N140" s="97">
        <f>IF(ISNUMBER(M140), (M140 - $B140) / $B140, "")</f>
        <v>2.7027027027026983E-2</v>
      </c>
      <c r="O140" s="98">
        <f>IF(ISNUMBER(M140), $B145 * N140, "")</f>
        <v>4054.0540540540474</v>
      </c>
      <c r="Q140" s="161"/>
      <c r="R140" s="161"/>
      <c r="S140" s="161"/>
    </row>
    <row r="141" spans="1:19" ht="17.25" thickBot="1">
      <c r="A141" s="109" t="s">
        <v>132</v>
      </c>
      <c r="B141" s="110">
        <v>57.9</v>
      </c>
      <c r="C141" s="70">
        <v>-8.5616437999999993E-3</v>
      </c>
      <c r="D141" s="15">
        <v>58.3</v>
      </c>
      <c r="E141" s="32">
        <f t="shared" ref="E141:E144" si="74">IF(ISNUMBER(D141), (D141 - $B141) / $B141, "")</f>
        <v>6.9084628670120652E-3</v>
      </c>
      <c r="F141" s="18">
        <f>IF(ISNUMBER(D141), $B145 * E141, "")</f>
        <v>1036.2694300518099</v>
      </c>
      <c r="G141" s="31">
        <v>58.6</v>
      </c>
      <c r="H141" s="32">
        <f t="shared" ref="H141:H144" si="75">IF(ISNUMBER(G141), (G141 - $B141) / $B141, "")</f>
        <v>1.2089810017271206E-2</v>
      </c>
      <c r="I141" s="91">
        <f>IF(ISNUMBER(G141), $B145 * H141, "")</f>
        <v>1813.471502590681</v>
      </c>
      <c r="J141" s="15">
        <v>58.6</v>
      </c>
      <c r="K141" s="32">
        <f t="shared" ref="K141:K144" si="76">IF(ISNUMBER(J141), (J141 - $B141) / $B141, "")</f>
        <v>1.2089810017271206E-2</v>
      </c>
      <c r="L141" s="18">
        <f>IF(ISNUMBER(J141), $B145 * K141, "")</f>
        <v>1813.471502590681</v>
      </c>
      <c r="M141" s="31">
        <v>58.6</v>
      </c>
      <c r="N141" s="32">
        <f t="shared" ref="N141:N144" si="77">IF(ISNUMBER(M141), (M141 - $B141) / $B141, "")</f>
        <v>1.2089810017271206E-2</v>
      </c>
      <c r="O141" s="18">
        <f>IF(ISNUMBER(M141), $B145 * N141, "")</f>
        <v>1813.471502590681</v>
      </c>
      <c r="Q141" s="161"/>
      <c r="R141" s="161"/>
      <c r="S141" s="161"/>
    </row>
    <row r="142" spans="1:19" ht="17.25" thickBot="1">
      <c r="A142" s="109" t="s">
        <v>336</v>
      </c>
      <c r="B142" s="110">
        <v>84.7</v>
      </c>
      <c r="C142" s="70">
        <v>-9.3567250999999994E-3</v>
      </c>
      <c r="D142" s="15">
        <v>85.3</v>
      </c>
      <c r="E142" s="32">
        <f t="shared" si="74"/>
        <v>7.0838252656433799E-3</v>
      </c>
      <c r="F142" s="18">
        <f>IF(ISNUMBER(D142), $B145 * E142, "")</f>
        <v>1062.573789846507</v>
      </c>
      <c r="G142" s="31">
        <v>84.8</v>
      </c>
      <c r="H142" s="32">
        <f t="shared" si="75"/>
        <v>1.1806375442738408E-3</v>
      </c>
      <c r="I142" s="91">
        <f>IF(ISNUMBER(G142), $B145 * H142, "")</f>
        <v>177.09563164107612</v>
      </c>
      <c r="J142" s="15">
        <v>84.8</v>
      </c>
      <c r="K142" s="32">
        <f t="shared" si="76"/>
        <v>1.1806375442738408E-3</v>
      </c>
      <c r="L142" s="18">
        <f>IF(ISNUMBER(J142), $B145 * K142, "")</f>
        <v>177.09563164107612</v>
      </c>
      <c r="M142" s="31">
        <v>85</v>
      </c>
      <c r="N142" s="32">
        <f t="shared" si="77"/>
        <v>3.5419126328216899E-3</v>
      </c>
      <c r="O142" s="18">
        <f>IF(ISNUMBER(M142), $B145 * N142, "")</f>
        <v>531.2868949232535</v>
      </c>
      <c r="Q142" s="161"/>
      <c r="R142" s="161"/>
      <c r="S142" s="161"/>
    </row>
    <row r="143" spans="1:19">
      <c r="A143" s="109" t="s">
        <v>338</v>
      </c>
      <c r="B143" s="110">
        <v>5</v>
      </c>
      <c r="C143" s="70">
        <v>-1.18577075E-2</v>
      </c>
      <c r="D143" s="15">
        <v>5.05</v>
      </c>
      <c r="E143" s="32">
        <f t="shared" si="74"/>
        <v>9.9999999999999638E-3</v>
      </c>
      <c r="F143" s="18">
        <f>IF(ISNUMBER(D143), $B145 * E143, "")</f>
        <v>1499.9999999999945</v>
      </c>
      <c r="G143" s="31">
        <v>5.22</v>
      </c>
      <c r="H143" s="32">
        <f t="shared" si="75"/>
        <v>4.3999999999999949E-2</v>
      </c>
      <c r="I143" s="91">
        <f>IF(ISNUMBER(G143), $B145 * H143, "")</f>
        <v>6599.9999999999927</v>
      </c>
      <c r="J143" s="15">
        <v>5.22</v>
      </c>
      <c r="K143" s="32">
        <f t="shared" si="76"/>
        <v>4.3999999999999949E-2</v>
      </c>
      <c r="L143" s="18">
        <f>IF(ISNUMBER(J143), $B145 * K143, "")</f>
        <v>6599.9999999999927</v>
      </c>
      <c r="M143" s="31">
        <v>5.19</v>
      </c>
      <c r="N143" s="32">
        <f t="shared" si="77"/>
        <v>3.8000000000000075E-2</v>
      </c>
      <c r="O143" s="18">
        <f>IF(ISNUMBER(M143), $B145 * N143, "")</f>
        <v>5700.0000000000109</v>
      </c>
      <c r="Q143" s="183"/>
      <c r="R143" s="184"/>
      <c r="S143" s="185"/>
    </row>
    <row r="144" spans="1:19" ht="17.25" thickBot="1">
      <c r="A144" s="114" t="s">
        <v>191</v>
      </c>
      <c r="B144" s="115">
        <v>52.4</v>
      </c>
      <c r="C144" s="72">
        <v>-3.1423290200000002E-2</v>
      </c>
      <c r="D144" s="24">
        <v>52.6</v>
      </c>
      <c r="E144" s="25">
        <f t="shared" si="74"/>
        <v>3.8167938931298255E-3</v>
      </c>
      <c r="F144" s="94">
        <f>IF(ISNUMBER(D144), $B145 * E144, "")</f>
        <v>572.51908396947385</v>
      </c>
      <c r="G144" s="92">
        <v>53.4</v>
      </c>
      <c r="H144" s="25">
        <f t="shared" si="75"/>
        <v>1.9083969465648856E-2</v>
      </c>
      <c r="I144" s="93">
        <f>IF(ISNUMBER(G144), $B145 * H144, "")</f>
        <v>2862.5954198473282</v>
      </c>
      <c r="J144" s="24">
        <v>53.4</v>
      </c>
      <c r="K144" s="25">
        <f t="shared" si="76"/>
        <v>1.9083969465648856E-2</v>
      </c>
      <c r="L144" s="94">
        <f>IF(ISNUMBER(J144), $B145 * K144, "")</f>
        <v>2862.5954198473282</v>
      </c>
      <c r="M144" s="92">
        <v>53.3</v>
      </c>
      <c r="N144" s="25">
        <f t="shared" si="77"/>
        <v>1.7175572519083943E-2</v>
      </c>
      <c r="O144" s="94">
        <f>IF(ISNUMBER(M144), $B145 * N144, "")</f>
        <v>2576.3358778625916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1.8534894773202616E-2</v>
      </c>
      <c r="F145" s="28">
        <f>SUM(F125:F144)</f>
        <v>55604.684319607848</v>
      </c>
      <c r="G145" s="26" t="s">
        <v>261</v>
      </c>
      <c r="H145" s="27">
        <f>IF(COUNT(H125:H144), SUM(H125:H144) / COUNT(H125:H144), 0)</f>
        <v>3.011363714073248E-2</v>
      </c>
      <c r="I145" s="28">
        <f>SUM(I125:I144)</f>
        <v>90340.911422197431</v>
      </c>
      <c r="J145" s="26" t="s">
        <v>261</v>
      </c>
      <c r="K145" s="27">
        <f>IF(COUNT(K125:K144), SUM(K125:K144) / COUNT(K125:K144), 0)</f>
        <v>3.011363714073248E-2</v>
      </c>
      <c r="L145" s="28">
        <f>SUM(L125:L144)</f>
        <v>90340.911422197431</v>
      </c>
      <c r="M145" s="26" t="s">
        <v>261</v>
      </c>
      <c r="N145" s="27">
        <f>IF(COUNT(N125:N144), SUM(N125:N144) / COUNT(N125:N144), 0)</f>
        <v>2.8425854803712534E-2</v>
      </c>
      <c r="O145" s="28">
        <f>SUM(O125:O144)</f>
        <v>85277.564411137631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2022-12-09(금) 오전 00:00</v>
      </c>
      <c r="C150" s="199"/>
      <c r="D150" s="158" t="str">
        <f>TEXT($G$1, "[$-ko-KR]yyyy-mm-dd(ddd) ") &amp; "오후 14:00"</f>
        <v>2022-12-09(금) 오후 14:00</v>
      </c>
      <c r="E150" s="159"/>
      <c r="F150" s="160"/>
      <c r="G150" s="158" t="str">
        <f>TEXT($G$1, "[$-ko-KR]yyyy-mm-dd(ddd) ") &amp; "오후 19:00"</f>
        <v>2022-12-09(금) 오후 19:00</v>
      </c>
      <c r="H150" s="159"/>
      <c r="I150" s="160"/>
      <c r="J150" s="158" t="str">
        <f>TEXT($G$1, "[$-ko-KR]yyyy-mm-dd(ddd) ") &amp; "오후 21:00"</f>
        <v>2022-12-09(금) 오후 21:00</v>
      </c>
      <c r="K150" s="159"/>
      <c r="L150" s="160"/>
      <c r="M150" s="158" t="str">
        <f>TEXT($G$1+1, "[$-ko-KR]yyyy-mm-dd(ddd) ") &amp; "오전 00:00"</f>
        <v>2022-12-10(토)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204</v>
      </c>
      <c r="B152" s="108">
        <v>267</v>
      </c>
      <c r="C152" s="69">
        <v>-3.7313432999999999E-3</v>
      </c>
      <c r="D152" s="13">
        <v>270</v>
      </c>
      <c r="E152" s="14">
        <f>IF(ISNUMBER(D152), (D152 - $B152) / $B152, "")</f>
        <v>1.1235955056179775E-2</v>
      </c>
      <c r="F152" s="16">
        <f>IF(ISNUMBER(D152), $B172 * E152, "")</f>
        <v>1685.3932584269662</v>
      </c>
      <c r="G152" s="29">
        <v>272</v>
      </c>
      <c r="H152" s="14">
        <f>IF(ISNUMBER(G152), (G152 - $B152) / $B152, "")</f>
        <v>1.8726591760299626E-2</v>
      </c>
      <c r="I152" s="90">
        <f>IF(ISNUMBER(G152), $B172 * H152, "")</f>
        <v>2808.9887640449438</v>
      </c>
      <c r="J152" s="13">
        <v>272</v>
      </c>
      <c r="K152" s="14">
        <f>IF(ISNUMBER(J152), (J152 - $B152) / $B152, "")</f>
        <v>1.8726591760299626E-2</v>
      </c>
      <c r="L152" s="16">
        <f>IF(ISNUMBER(J152), $B172 * K152, "")</f>
        <v>2808.9887640449438</v>
      </c>
      <c r="M152" s="29">
        <v>270</v>
      </c>
      <c r="N152" s="14">
        <f>IF(ISNUMBER(M152), (M152 - $B152) / $B152, "")</f>
        <v>1.1235955056179775E-2</v>
      </c>
      <c r="O152" s="16">
        <f>IF(ISNUMBER(M152), $B172 * N152, "")</f>
        <v>1685.3932584269662</v>
      </c>
      <c r="Q152" s="156"/>
      <c r="R152" s="156"/>
      <c r="S152" s="156"/>
    </row>
    <row r="153" spans="1:19" ht="17.25" thickBot="1">
      <c r="A153" s="109" t="s">
        <v>159</v>
      </c>
      <c r="B153" s="110">
        <v>202</v>
      </c>
      <c r="C153" s="70">
        <v>-4.9261084000000004E-3</v>
      </c>
      <c r="D153" s="15">
        <v>204</v>
      </c>
      <c r="E153" s="32">
        <f t="shared" ref="E153:E156" si="78">IF(ISNUMBER(D153), (D153 - $B153) / $B153, "")</f>
        <v>9.9009900990099011E-3</v>
      </c>
      <c r="F153" s="18">
        <f>IF(ISNUMBER(D153), $B172 * E153, "")</f>
        <v>1485.1485148514851</v>
      </c>
      <c r="G153" s="31">
        <v>203</v>
      </c>
      <c r="H153" s="32">
        <f t="shared" ref="H153:H156" si="79">IF(ISNUMBER(G153), (G153 - $B153) / $B153, "")</f>
        <v>4.9504950495049506E-3</v>
      </c>
      <c r="I153" s="91">
        <f>IF(ISNUMBER(G153), $B172 * H153, "")</f>
        <v>742.57425742574253</v>
      </c>
      <c r="J153" s="15">
        <v>203</v>
      </c>
      <c r="K153" s="32">
        <f t="shared" ref="K153:K156" si="80">IF(ISNUMBER(J153), (J153 - $B153) / $B153, "")</f>
        <v>4.9504950495049506E-3</v>
      </c>
      <c r="L153" s="18">
        <f>IF(ISNUMBER(J153), $B172 * K153, "")</f>
        <v>742.57425742574253</v>
      </c>
      <c r="M153" s="31">
        <v>202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156"/>
      <c r="R153" s="156"/>
      <c r="S153" s="156"/>
    </row>
    <row r="154" spans="1:19" ht="17.25" thickBot="1">
      <c r="A154" s="109" t="s">
        <v>202</v>
      </c>
      <c r="B154" s="110">
        <v>349</v>
      </c>
      <c r="C154" s="70">
        <v>-5.6980056999999997E-3</v>
      </c>
      <c r="D154" s="15">
        <v>350</v>
      </c>
      <c r="E154" s="32">
        <f t="shared" si="78"/>
        <v>2.8653295128939827E-3</v>
      </c>
      <c r="F154" s="18">
        <f>IF(ISNUMBER(D154), $B172 * E154, "")</f>
        <v>429.79942693409743</v>
      </c>
      <c r="G154" s="31">
        <v>353</v>
      </c>
      <c r="H154" s="32">
        <f t="shared" si="79"/>
        <v>1.1461318051575931E-2</v>
      </c>
      <c r="I154" s="91">
        <f>IF(ISNUMBER(G154), $B172 * H154, "")</f>
        <v>1719.1977077363897</v>
      </c>
      <c r="J154" s="15">
        <v>353</v>
      </c>
      <c r="K154" s="32">
        <f t="shared" si="80"/>
        <v>1.1461318051575931E-2</v>
      </c>
      <c r="L154" s="18">
        <f>IF(ISNUMBER(J154), $B172 * K154, "")</f>
        <v>1719.1977077363897</v>
      </c>
      <c r="M154" s="31">
        <v>352</v>
      </c>
      <c r="N154" s="32">
        <f t="shared" si="81"/>
        <v>8.5959885386819486E-3</v>
      </c>
      <c r="O154" s="18">
        <f>IF(ISNUMBER(M154), $B172 * N154, "")</f>
        <v>1289.3982808022922</v>
      </c>
      <c r="Q154" s="161"/>
      <c r="R154" s="161"/>
      <c r="S154" s="161"/>
    </row>
    <row r="155" spans="1:19" ht="17.25" thickBot="1">
      <c r="A155" s="109" t="s">
        <v>130</v>
      </c>
      <c r="B155" s="110">
        <v>832</v>
      </c>
      <c r="C155" s="70">
        <v>-5.9737156999999999E-3</v>
      </c>
      <c r="D155" s="15">
        <v>839</v>
      </c>
      <c r="E155" s="32">
        <f t="shared" si="78"/>
        <v>8.4134615384615381E-3</v>
      </c>
      <c r="F155" s="18">
        <f>IF(ISNUMBER(D155), $B172 * E155, "")</f>
        <v>1262.0192307692307</v>
      </c>
      <c r="G155" s="31">
        <v>840</v>
      </c>
      <c r="H155" s="32">
        <f t="shared" si="79"/>
        <v>9.6153846153846159E-3</v>
      </c>
      <c r="I155" s="91">
        <f>IF(ISNUMBER(G155), $B172 * H155, "")</f>
        <v>1442.3076923076924</v>
      </c>
      <c r="J155" s="15">
        <v>840</v>
      </c>
      <c r="K155" s="32">
        <f t="shared" si="80"/>
        <v>9.6153846153846159E-3</v>
      </c>
      <c r="L155" s="18">
        <f>IF(ISNUMBER(J155), $B172 * K155, "")</f>
        <v>1442.3076923076924</v>
      </c>
      <c r="M155" s="31">
        <v>833</v>
      </c>
      <c r="N155" s="32">
        <f t="shared" si="81"/>
        <v>1.201923076923077E-3</v>
      </c>
      <c r="O155" s="18">
        <f>IF(ISNUMBER(M155), $B172 * N155, "")</f>
        <v>180.28846153846155</v>
      </c>
      <c r="Q155" s="161"/>
      <c r="R155" s="161"/>
      <c r="S155" s="161"/>
    </row>
    <row r="156" spans="1:19" ht="17.25" thickBot="1">
      <c r="A156" s="111" t="s">
        <v>337</v>
      </c>
      <c r="B156" s="112">
        <v>322</v>
      </c>
      <c r="C156" s="71">
        <v>-6.1728395E-3</v>
      </c>
      <c r="D156" s="20">
        <v>324</v>
      </c>
      <c r="E156" s="21">
        <f t="shared" si="78"/>
        <v>6.2111801242236021E-3</v>
      </c>
      <c r="F156" s="22">
        <f>IF(ISNUMBER(D156), $B172 * E156, "")</f>
        <v>931.67701863354034</v>
      </c>
      <c r="G156" s="30">
        <v>325</v>
      </c>
      <c r="H156" s="21">
        <f t="shared" si="79"/>
        <v>9.316770186335404E-3</v>
      </c>
      <c r="I156" s="95">
        <f>IF(ISNUMBER(G156), $B172 * H156, "")</f>
        <v>1397.5155279503106</v>
      </c>
      <c r="J156" s="20">
        <v>325</v>
      </c>
      <c r="K156" s="21">
        <f t="shared" si="80"/>
        <v>9.316770186335404E-3</v>
      </c>
      <c r="L156" s="22">
        <f>IF(ISNUMBER(J156), $B172 * K156, "")</f>
        <v>1397.5155279503106</v>
      </c>
      <c r="M156" s="30">
        <v>323</v>
      </c>
      <c r="N156" s="21">
        <f t="shared" si="81"/>
        <v>3.105590062111801E-3</v>
      </c>
      <c r="O156" s="22">
        <f>IF(ISNUMBER(M156), $B172 * N156, "")</f>
        <v>465.83850931677017</v>
      </c>
      <c r="Q156" s="161"/>
      <c r="R156" s="161"/>
      <c r="S156" s="161"/>
    </row>
    <row r="157" spans="1:19" ht="17.25" thickBot="1">
      <c r="A157" s="109" t="s">
        <v>332</v>
      </c>
      <c r="B157" s="113">
        <v>295</v>
      </c>
      <c r="C157" s="73">
        <v>-6.7340066999999997E-3</v>
      </c>
      <c r="D157" s="96">
        <v>296</v>
      </c>
      <c r="E157" s="97">
        <f>IF(ISNUMBER(D157), (D157 - $B157) / $B157, "")</f>
        <v>3.3898305084745762E-3</v>
      </c>
      <c r="F157" s="98">
        <f>IF(ISNUMBER(D157), $B172 * E157, "")</f>
        <v>508.47457627118644</v>
      </c>
      <c r="G157" s="99">
        <v>299</v>
      </c>
      <c r="H157" s="97">
        <f>IF(ISNUMBER(G157), (G157 - $B157) / $B157, "")</f>
        <v>1.3559322033898305E-2</v>
      </c>
      <c r="I157" s="100">
        <f>IF(ISNUMBER(G157), $B172 * H157, "")</f>
        <v>2033.8983050847457</v>
      </c>
      <c r="J157" s="96">
        <v>299</v>
      </c>
      <c r="K157" s="97">
        <f>IF(ISNUMBER(J157), (J157 - $B157) / $B157, "")</f>
        <v>1.3559322033898305E-2</v>
      </c>
      <c r="L157" s="98">
        <f>IF(ISNUMBER(J157), $B172 * K157, "")</f>
        <v>2033.8983050847457</v>
      </c>
      <c r="M157" s="99">
        <v>299</v>
      </c>
      <c r="N157" s="97">
        <f>IF(ISNUMBER(M157), (M157 - $B157) / $B157, "")</f>
        <v>1.3559322033898305E-2</v>
      </c>
      <c r="O157" s="98">
        <f>IF(ISNUMBER(M157), $B172 * N157, "")</f>
        <v>2033.8983050847457</v>
      </c>
      <c r="Q157" s="161"/>
      <c r="R157" s="161"/>
      <c r="S157" s="161"/>
    </row>
    <row r="158" spans="1:19" ht="17.25" thickBot="1">
      <c r="A158" s="109" t="s">
        <v>120</v>
      </c>
      <c r="B158" s="110">
        <v>129</v>
      </c>
      <c r="C158" s="70">
        <v>-7.6923076999999996E-3</v>
      </c>
      <c r="D158" s="15">
        <v>130</v>
      </c>
      <c r="E158" s="32">
        <f t="shared" ref="E158:E161" si="82">IF(ISNUMBER(D158), (D158 - $B158) / $B158, "")</f>
        <v>7.7519379844961239E-3</v>
      </c>
      <c r="F158" s="18">
        <f>IF(ISNUMBER(D158), $B172 * E158, "")</f>
        <v>1162.7906976744187</v>
      </c>
      <c r="G158" s="31">
        <v>130</v>
      </c>
      <c r="H158" s="32">
        <f t="shared" ref="H158:H161" si="83">IF(ISNUMBER(G158), (G158 - $B158) / $B158, "")</f>
        <v>7.7519379844961239E-3</v>
      </c>
      <c r="I158" s="91">
        <f>IF(ISNUMBER(G158), $B172 * H158, "")</f>
        <v>1162.7906976744187</v>
      </c>
      <c r="J158" s="15">
        <v>130</v>
      </c>
      <c r="K158" s="32">
        <f t="shared" ref="K158:K161" si="84">IF(ISNUMBER(J158), (J158 - $B158) / $B158, "")</f>
        <v>7.7519379844961239E-3</v>
      </c>
      <c r="L158" s="18">
        <f>IF(ISNUMBER(J158), $B172 * K158, "")</f>
        <v>1162.7906976744187</v>
      </c>
      <c r="M158" s="31">
        <v>129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61"/>
      <c r="R158" s="161"/>
      <c r="S158" s="161"/>
    </row>
    <row r="159" spans="1:19" ht="17.25" thickBot="1">
      <c r="A159" s="109" t="s">
        <v>66</v>
      </c>
      <c r="B159" s="110">
        <v>728</v>
      </c>
      <c r="C159" s="70">
        <v>-8.1743869000000004E-3</v>
      </c>
      <c r="D159" s="15">
        <v>732</v>
      </c>
      <c r="E159" s="32">
        <f t="shared" si="82"/>
        <v>5.4945054945054949E-3</v>
      </c>
      <c r="F159" s="18">
        <f>IF(ISNUMBER(D159), $B172 * E159, "")</f>
        <v>824.17582417582423</v>
      </c>
      <c r="G159" s="31">
        <v>740</v>
      </c>
      <c r="H159" s="32">
        <f t="shared" si="83"/>
        <v>1.6483516483516484E-2</v>
      </c>
      <c r="I159" s="91">
        <f>IF(ISNUMBER(G159), $B172 * H159, "")</f>
        <v>2472.5274725274726</v>
      </c>
      <c r="J159" s="15">
        <v>740</v>
      </c>
      <c r="K159" s="32">
        <f t="shared" si="84"/>
        <v>1.6483516483516484E-2</v>
      </c>
      <c r="L159" s="18">
        <f>IF(ISNUMBER(J159), $B172 * K159, "")</f>
        <v>2472.5274725274726</v>
      </c>
      <c r="M159" s="31">
        <v>739</v>
      </c>
      <c r="N159" s="32">
        <f t="shared" si="85"/>
        <v>1.510989010989011E-2</v>
      </c>
      <c r="O159" s="18">
        <f>IF(ISNUMBER(M159), $B172 * N159, "")</f>
        <v>2266.4835164835167</v>
      </c>
      <c r="Q159" s="161"/>
      <c r="R159" s="161"/>
      <c r="S159" s="161"/>
    </row>
    <row r="160" spans="1:19" ht="17.25" thickBot="1">
      <c r="A160" s="109" t="s">
        <v>222</v>
      </c>
      <c r="B160" s="110">
        <v>458</v>
      </c>
      <c r="C160" s="70">
        <v>-8.6580087000000007E-3</v>
      </c>
      <c r="D160" s="15">
        <v>463</v>
      </c>
      <c r="E160" s="32">
        <f t="shared" si="82"/>
        <v>1.0917030567685589E-2</v>
      </c>
      <c r="F160" s="18">
        <f>IF(ISNUMBER(D160), $B172 * E160, "")</f>
        <v>1637.5545851528384</v>
      </c>
      <c r="G160" s="31">
        <v>470</v>
      </c>
      <c r="H160" s="32">
        <f t="shared" si="83"/>
        <v>2.6200873362445413E-2</v>
      </c>
      <c r="I160" s="91">
        <f>IF(ISNUMBER(G160), $B172 * H160, "")</f>
        <v>3930.1310043668122</v>
      </c>
      <c r="J160" s="15">
        <v>470</v>
      </c>
      <c r="K160" s="32">
        <f t="shared" si="84"/>
        <v>2.6200873362445413E-2</v>
      </c>
      <c r="L160" s="18">
        <f>IF(ISNUMBER(J160), $B172 * K160, "")</f>
        <v>3930.1310043668122</v>
      </c>
      <c r="M160" s="31">
        <v>467</v>
      </c>
      <c r="N160" s="32">
        <f t="shared" si="85"/>
        <v>1.9650655021834062E-2</v>
      </c>
      <c r="O160" s="18">
        <f>IF(ISNUMBER(M160), $B172 * N160, "")</f>
        <v>2947.5982532751091</v>
      </c>
      <c r="Q160" s="33"/>
      <c r="R160" s="33"/>
    </row>
    <row r="161" spans="1:19" ht="17.25" thickBot="1">
      <c r="A161" s="114" t="s">
        <v>51</v>
      </c>
      <c r="B161" s="115">
        <v>113</v>
      </c>
      <c r="C161" s="72">
        <v>-8.7719297999999998E-3</v>
      </c>
      <c r="D161" s="24">
        <v>113</v>
      </c>
      <c r="E161" s="25">
        <f t="shared" si="82"/>
        <v>0</v>
      </c>
      <c r="F161" s="94">
        <f>IF(ISNUMBER(D161), $B172 * E161, "")</f>
        <v>0</v>
      </c>
      <c r="G161" s="92">
        <v>114</v>
      </c>
      <c r="H161" s="25">
        <f t="shared" si="83"/>
        <v>8.8495575221238937E-3</v>
      </c>
      <c r="I161" s="93">
        <f>IF(ISNUMBER(G161), $B172 * H161, "")</f>
        <v>1327.4336283185839</v>
      </c>
      <c r="J161" s="24">
        <v>114</v>
      </c>
      <c r="K161" s="25">
        <f t="shared" si="84"/>
        <v>8.8495575221238937E-3</v>
      </c>
      <c r="L161" s="94">
        <f>IF(ISNUMBER(J161), $B172 * K161, "")</f>
        <v>1327.4336283185839</v>
      </c>
      <c r="M161" s="92">
        <v>113</v>
      </c>
      <c r="N161" s="25">
        <f t="shared" si="85"/>
        <v>0</v>
      </c>
      <c r="O161" s="94">
        <f>IF(ISNUMBER(M161), $B172 * N161, "")</f>
        <v>0</v>
      </c>
      <c r="Q161" s="170"/>
      <c r="R161" s="171"/>
      <c r="S161" s="172"/>
    </row>
    <row r="162" spans="1:19">
      <c r="A162" s="107" t="s">
        <v>208</v>
      </c>
      <c r="B162" s="108">
        <v>106</v>
      </c>
      <c r="C162" s="69">
        <v>-9.3457943999999994E-3</v>
      </c>
      <c r="D162" s="13">
        <v>107</v>
      </c>
      <c r="E162" s="14">
        <f>IF(ISNUMBER(D162), (D162 - $B162) / $B162, "")</f>
        <v>9.433962264150943E-3</v>
      </c>
      <c r="F162" s="16">
        <f>IF(ISNUMBER(D162), $B172 * E162, "")</f>
        <v>1415.0943396226414</v>
      </c>
      <c r="G162" s="29">
        <v>107</v>
      </c>
      <c r="H162" s="14">
        <f>IF(ISNUMBER(G162), (G162 - $B162) / $B162, "")</f>
        <v>9.433962264150943E-3</v>
      </c>
      <c r="I162" s="90">
        <f>IF(ISNUMBER(G162), $B172 * H162, "")</f>
        <v>1415.0943396226414</v>
      </c>
      <c r="J162" s="13">
        <v>107</v>
      </c>
      <c r="K162" s="14">
        <f>IF(ISNUMBER(J162), (J162 - $B162) / $B162, "")</f>
        <v>9.433962264150943E-3</v>
      </c>
      <c r="L162" s="16">
        <f>IF(ISNUMBER(J162), $B172 * K162, "")</f>
        <v>1415.0943396226414</v>
      </c>
      <c r="M162" s="29">
        <v>107</v>
      </c>
      <c r="N162" s="14">
        <f>IF(ISNUMBER(M162), (M162 - $B162) / $B162, "")</f>
        <v>9.433962264150943E-3</v>
      </c>
      <c r="O162" s="16">
        <f>IF(ISNUMBER(M162), $B172 * N162, "")</f>
        <v>1415.0943396226414</v>
      </c>
      <c r="Q162" s="173"/>
      <c r="R162" s="174"/>
      <c r="S162" s="175"/>
    </row>
    <row r="163" spans="1:19" ht="17.25" thickBot="1">
      <c r="A163" s="109" t="s">
        <v>85</v>
      </c>
      <c r="B163" s="110">
        <v>201</v>
      </c>
      <c r="C163" s="70">
        <v>-9.8522166999999994E-3</v>
      </c>
      <c r="D163" s="15">
        <v>202</v>
      </c>
      <c r="E163" s="32">
        <f t="shared" ref="E163:E166" si="86">IF(ISNUMBER(D163), (D163 - $B163) / $B163, "")</f>
        <v>4.9751243781094526E-3</v>
      </c>
      <c r="F163" s="18">
        <f>IF(ISNUMBER(D163), $B172 * E163, "")</f>
        <v>746.26865671641792</v>
      </c>
      <c r="G163" s="31">
        <v>204</v>
      </c>
      <c r="H163" s="32">
        <f t="shared" ref="H163:H166" si="87">IF(ISNUMBER(G163), (G163 - $B163) / $B163, "")</f>
        <v>1.4925373134328358E-2</v>
      </c>
      <c r="I163" s="91">
        <f>IF(ISNUMBER(G163), $B172 * H163, "")</f>
        <v>2238.8059701492539</v>
      </c>
      <c r="J163" s="15">
        <v>204</v>
      </c>
      <c r="K163" s="32">
        <f t="shared" ref="K163:K166" si="88">IF(ISNUMBER(J163), (J163 - $B163) / $B163, "")</f>
        <v>1.4925373134328358E-2</v>
      </c>
      <c r="L163" s="18">
        <f>IF(ISNUMBER(J163), $B172 * K163, "")</f>
        <v>2238.8059701492539</v>
      </c>
      <c r="M163" s="31">
        <v>201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76"/>
      <c r="R163" s="177"/>
      <c r="S163" s="178"/>
    </row>
    <row r="164" spans="1:19" ht="17.25" thickBot="1">
      <c r="A164" s="109" t="s">
        <v>349</v>
      </c>
      <c r="B164" s="110">
        <v>783</v>
      </c>
      <c r="C164" s="70">
        <v>-1.13636364E-2</v>
      </c>
      <c r="D164" s="15">
        <v>795</v>
      </c>
      <c r="E164" s="32">
        <f t="shared" si="86"/>
        <v>1.532567049808429E-2</v>
      </c>
      <c r="F164" s="18">
        <f>IF(ISNUMBER(D164), $B172 * E164, "")</f>
        <v>2298.8505747126437</v>
      </c>
      <c r="G164" s="31">
        <v>794</v>
      </c>
      <c r="H164" s="32">
        <f t="shared" si="87"/>
        <v>1.40485312899106E-2</v>
      </c>
      <c r="I164" s="91">
        <f>IF(ISNUMBER(G164), $B172 * H164, "")</f>
        <v>2107.2796934865901</v>
      </c>
      <c r="J164" s="15">
        <v>794</v>
      </c>
      <c r="K164" s="32">
        <f t="shared" si="88"/>
        <v>1.40485312899106E-2</v>
      </c>
      <c r="L164" s="18">
        <f>IF(ISNUMBER(J164), $B172 * K164, "")</f>
        <v>2107.2796934865901</v>
      </c>
      <c r="M164" s="31">
        <v>790</v>
      </c>
      <c r="N164" s="32">
        <f t="shared" si="89"/>
        <v>8.9399744572158362E-3</v>
      </c>
      <c r="O164" s="18">
        <f>IF(ISNUMBER(M164), $B172 * N164, "")</f>
        <v>1340.9961685823755</v>
      </c>
      <c r="Q164" s="161"/>
      <c r="R164" s="161"/>
      <c r="S164" s="161"/>
    </row>
    <row r="165" spans="1:19" ht="17.25" thickBot="1">
      <c r="A165" s="109" t="s">
        <v>176</v>
      </c>
      <c r="B165" s="110">
        <v>339</v>
      </c>
      <c r="C165" s="70">
        <v>-1.1661807600000001E-2</v>
      </c>
      <c r="D165" s="15">
        <v>343</v>
      </c>
      <c r="E165" s="32">
        <f t="shared" si="86"/>
        <v>1.1799410029498525E-2</v>
      </c>
      <c r="F165" s="18">
        <f>IF(ISNUMBER(D165), $B172 * E165, "")</f>
        <v>1769.9115044247787</v>
      </c>
      <c r="G165" s="31">
        <v>345</v>
      </c>
      <c r="H165" s="32">
        <f t="shared" si="87"/>
        <v>1.7699115044247787E-2</v>
      </c>
      <c r="I165" s="91">
        <f>IF(ISNUMBER(G165), $B172 * H165, "")</f>
        <v>2654.8672566371679</v>
      </c>
      <c r="J165" s="15">
        <v>345</v>
      </c>
      <c r="K165" s="32">
        <f t="shared" si="88"/>
        <v>1.7699115044247787E-2</v>
      </c>
      <c r="L165" s="18">
        <f>IF(ISNUMBER(J165), $B172 * K165, "")</f>
        <v>2654.8672566371679</v>
      </c>
      <c r="M165" s="31">
        <v>346</v>
      </c>
      <c r="N165" s="32">
        <f t="shared" si="89"/>
        <v>2.0648967551622419E-2</v>
      </c>
      <c r="O165" s="18">
        <f>IF(ISNUMBER(M165), $B172 * N165, "")</f>
        <v>3097.3451327433627</v>
      </c>
      <c r="Q165" s="156"/>
      <c r="R165" s="156"/>
      <c r="S165" s="156"/>
    </row>
    <row r="166" spans="1:19" ht="17.25" thickBot="1">
      <c r="A166" s="111" t="s">
        <v>226</v>
      </c>
      <c r="B166" s="112">
        <v>228</v>
      </c>
      <c r="C166" s="71">
        <v>-1.2987013E-2</v>
      </c>
      <c r="D166" s="20">
        <v>236</v>
      </c>
      <c r="E166" s="21">
        <f t="shared" si="86"/>
        <v>3.5087719298245612E-2</v>
      </c>
      <c r="F166" s="22">
        <f>IF(ISNUMBER(D166), $B172 * E166, "")</f>
        <v>5263.1578947368416</v>
      </c>
      <c r="G166" s="30">
        <v>235</v>
      </c>
      <c r="H166" s="21">
        <f t="shared" si="87"/>
        <v>3.0701754385964911E-2</v>
      </c>
      <c r="I166" s="95">
        <f>IF(ISNUMBER(G166), $B172 * H166, "")</f>
        <v>4605.2631578947367</v>
      </c>
      <c r="J166" s="20">
        <v>235</v>
      </c>
      <c r="K166" s="21">
        <f t="shared" si="88"/>
        <v>3.0701754385964911E-2</v>
      </c>
      <c r="L166" s="22">
        <f>IF(ISNUMBER(J166), $B172 * K166, "")</f>
        <v>4605.2631578947367</v>
      </c>
      <c r="M166" s="30">
        <v>235</v>
      </c>
      <c r="N166" s="21">
        <f t="shared" si="89"/>
        <v>3.0701754385964911E-2</v>
      </c>
      <c r="O166" s="22">
        <f>IF(ISNUMBER(M166), $B172 * N166, "")</f>
        <v>4605.2631578947367</v>
      </c>
      <c r="Q166" s="156"/>
      <c r="R166" s="156"/>
      <c r="S166" s="156"/>
    </row>
    <row r="167" spans="1:19" ht="17.25" thickBot="1">
      <c r="A167" s="109" t="s">
        <v>340</v>
      </c>
      <c r="B167" s="113">
        <v>585</v>
      </c>
      <c r="C167" s="73">
        <v>-1.8456375800000001E-2</v>
      </c>
      <c r="D167" s="96">
        <v>590</v>
      </c>
      <c r="E167" s="97">
        <f>IF(ISNUMBER(D167), (D167 - $B167) / $B167, "")</f>
        <v>8.5470085470085479E-3</v>
      </c>
      <c r="F167" s="98">
        <f>IF(ISNUMBER(D167), $B172 * E167, "")</f>
        <v>1282.0512820512822</v>
      </c>
      <c r="G167" s="99">
        <v>595</v>
      </c>
      <c r="H167" s="97">
        <f>IF(ISNUMBER(G167), (G167 - $B167) / $B167, "")</f>
        <v>1.7094017094017096E-2</v>
      </c>
      <c r="I167" s="100">
        <f>IF(ISNUMBER(G167), $B172 * H167, "")</f>
        <v>2564.1025641025644</v>
      </c>
      <c r="J167" s="96">
        <v>595</v>
      </c>
      <c r="K167" s="97">
        <f>IF(ISNUMBER(J167), (J167 - $B167) / $B167, "")</f>
        <v>1.7094017094017096E-2</v>
      </c>
      <c r="L167" s="98">
        <f>IF(ISNUMBER(J167), $B172 * K167, "")</f>
        <v>2564.1025641025644</v>
      </c>
      <c r="M167" s="99">
        <v>588</v>
      </c>
      <c r="N167" s="97">
        <f>IF(ISNUMBER(M167), (M167 - $B167) / $B167, "")</f>
        <v>5.1282051282051282E-3</v>
      </c>
      <c r="O167" s="98">
        <f>IF(ISNUMBER(M167), $B172 * N167, "")</f>
        <v>769.23076923076928</v>
      </c>
      <c r="Q167" s="161"/>
      <c r="R167" s="161"/>
      <c r="S167" s="161"/>
    </row>
    <row r="168" spans="1:19" ht="17.25" thickBot="1">
      <c r="A168" s="109" t="s">
        <v>352</v>
      </c>
      <c r="B168" s="110">
        <v>266</v>
      </c>
      <c r="C168" s="70">
        <v>-2.2058823500000001E-2</v>
      </c>
      <c r="D168" s="15">
        <v>267</v>
      </c>
      <c r="E168" s="32">
        <f t="shared" ref="E168:E171" si="90">IF(ISNUMBER(D168), (D168 - $B168) / $B168, "")</f>
        <v>3.7593984962406013E-3</v>
      </c>
      <c r="F168" s="18">
        <f>IF(ISNUMBER(D168), $B172 * E168, "")</f>
        <v>563.90977443609017</v>
      </c>
      <c r="G168" s="31">
        <v>266</v>
      </c>
      <c r="H168" s="32">
        <f t="shared" ref="H168:H171" si="91">IF(ISNUMBER(G168), (G168 - $B168) / $B168, "")</f>
        <v>0</v>
      </c>
      <c r="I168" s="91">
        <f>IF(ISNUMBER(G168), $B172 * H168, "")</f>
        <v>0</v>
      </c>
      <c r="J168" s="15">
        <v>266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266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161"/>
      <c r="R168" s="161"/>
      <c r="S168" s="161"/>
    </row>
    <row r="169" spans="1:19" ht="17.25" thickBot="1">
      <c r="A169" s="109" t="s">
        <v>346</v>
      </c>
      <c r="B169" s="110">
        <v>537</v>
      </c>
      <c r="C169" s="70">
        <v>-2.54083485E-2</v>
      </c>
      <c r="D169" s="15">
        <v>540</v>
      </c>
      <c r="E169" s="32">
        <f t="shared" si="90"/>
        <v>5.5865921787709499E-3</v>
      </c>
      <c r="F169" s="18">
        <f>IF(ISNUMBER(D169), $B172 * E169, "")</f>
        <v>837.98882681564248</v>
      </c>
      <c r="G169" s="31">
        <v>542</v>
      </c>
      <c r="H169" s="32">
        <f t="shared" si="91"/>
        <v>9.3109869646182501E-3</v>
      </c>
      <c r="I169" s="91">
        <f>IF(ISNUMBER(G169), $B172 * H169, "")</f>
        <v>1396.6480446927376</v>
      </c>
      <c r="J169" s="15">
        <v>542</v>
      </c>
      <c r="K169" s="32">
        <f t="shared" si="92"/>
        <v>9.3109869646182501E-3</v>
      </c>
      <c r="L169" s="18">
        <f>IF(ISNUMBER(J169), $B172 * K169, "")</f>
        <v>1396.6480446927376</v>
      </c>
      <c r="M169" s="31">
        <v>536</v>
      </c>
      <c r="N169" s="32">
        <f t="shared" si="93"/>
        <v>-1.8621973929236499E-3</v>
      </c>
      <c r="O169" s="18">
        <f>IF(ISNUMBER(M169), $B172 * N169, "")</f>
        <v>-279.32960893854749</v>
      </c>
      <c r="Q169" s="161"/>
      <c r="R169" s="161"/>
      <c r="S169" s="161"/>
    </row>
    <row r="170" spans="1:19">
      <c r="A170" s="109" t="s">
        <v>187</v>
      </c>
      <c r="B170" s="110">
        <v>790</v>
      </c>
      <c r="C170" s="70">
        <v>-2.8290282900000002E-2</v>
      </c>
      <c r="D170" s="15">
        <v>795</v>
      </c>
      <c r="E170" s="32">
        <f t="shared" si="90"/>
        <v>6.3291139240506328E-3</v>
      </c>
      <c r="F170" s="18">
        <f>IF(ISNUMBER(D170), $B172 * E170, "")</f>
        <v>949.36708860759495</v>
      </c>
      <c r="G170" s="31">
        <v>797</v>
      </c>
      <c r="H170" s="32">
        <f t="shared" si="91"/>
        <v>8.8607594936708865E-3</v>
      </c>
      <c r="I170" s="91">
        <f>IF(ISNUMBER(G170), $B172 * H170, "")</f>
        <v>1329.1139240506329</v>
      </c>
      <c r="J170" s="15">
        <v>797</v>
      </c>
      <c r="K170" s="32">
        <f t="shared" si="92"/>
        <v>8.8607594936708865E-3</v>
      </c>
      <c r="L170" s="18">
        <f>IF(ISNUMBER(J170), $B172 * K170, "")</f>
        <v>1329.1139240506329</v>
      </c>
      <c r="M170" s="31">
        <v>795</v>
      </c>
      <c r="N170" s="32">
        <f t="shared" si="93"/>
        <v>6.3291139240506328E-3</v>
      </c>
      <c r="O170" s="18">
        <f>IF(ISNUMBER(M170), $B172 * N170, "")</f>
        <v>949.36708860759495</v>
      </c>
      <c r="Q170" s="183"/>
      <c r="R170" s="184"/>
      <c r="S170" s="185"/>
    </row>
    <row r="171" spans="1:19" ht="17.25" thickBot="1">
      <c r="A171" s="114" t="s">
        <v>234</v>
      </c>
      <c r="B171" s="115">
        <v>337</v>
      </c>
      <c r="C171" s="72">
        <v>-3.4383954199999997E-2</v>
      </c>
      <c r="D171" s="24">
        <v>342</v>
      </c>
      <c r="E171" s="25">
        <f t="shared" si="90"/>
        <v>1.483679525222552E-2</v>
      </c>
      <c r="F171" s="94">
        <f>IF(ISNUMBER(D171), $B172 * E171, "")</f>
        <v>2225.519287833828</v>
      </c>
      <c r="G171" s="92">
        <v>340</v>
      </c>
      <c r="H171" s="25">
        <f t="shared" si="91"/>
        <v>8.9020771513353119E-3</v>
      </c>
      <c r="I171" s="93">
        <f>IF(ISNUMBER(G171), $B172 * H171, "")</f>
        <v>1335.3115727002969</v>
      </c>
      <c r="J171" s="24">
        <v>340</v>
      </c>
      <c r="K171" s="25">
        <f t="shared" si="92"/>
        <v>8.9020771513353119E-3</v>
      </c>
      <c r="L171" s="94">
        <f>IF(ISNUMBER(J171), $B172 * K171, "")</f>
        <v>1335.3115727002969</v>
      </c>
      <c r="M171" s="92">
        <v>346</v>
      </c>
      <c r="N171" s="25">
        <f t="shared" si="93"/>
        <v>2.6706231454005934E-2</v>
      </c>
      <c r="O171" s="94">
        <f>IF(ISNUMBER(M171), $B172 * N171, "")</f>
        <v>4005.9347181008902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9.0930507876157852E-3</v>
      </c>
      <c r="F172" s="28">
        <f>SUM(F152:F171)</f>
        <v>27279.152362847351</v>
      </c>
      <c r="G172" s="26" t="s">
        <v>261</v>
      </c>
      <c r="H172" s="27">
        <f>IF(COUNT(H152:H171), SUM(H152:H171) / COUNT(H152:H171), 0)</f>
        <v>1.2894617193591241E-2</v>
      </c>
      <c r="I172" s="28">
        <f>SUM(I152:I171)</f>
        <v>38683.851580773728</v>
      </c>
      <c r="J172" s="26" t="s">
        <v>261</v>
      </c>
      <c r="K172" s="27">
        <f>IF(COUNT(K152:K171), SUM(K152:K171) / COUNT(K152:K171), 0)</f>
        <v>1.2894617193591241E-2</v>
      </c>
      <c r="L172" s="28">
        <f>SUM(L152:L171)</f>
        <v>38683.851580773728</v>
      </c>
      <c r="M172" s="26" t="s">
        <v>261</v>
      </c>
      <c r="N172" s="27">
        <f>IF(COUNT(N152:N171), SUM(N152:N171) / COUNT(N152:N171), 0)</f>
        <v>8.9242667835905641E-3</v>
      </c>
      <c r="O172" s="28">
        <f>SUM(O152:O171)</f>
        <v>26772.800350771682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2022-12-09(금) 오전 00:00</v>
      </c>
      <c r="C177" s="199"/>
      <c r="D177" s="158" t="str">
        <f>TEXT($G$1, "[$-ko-KR]yyyy-mm-dd(ddd) ") &amp; "오후 14:00"</f>
        <v>2022-12-09(금) 오후 14:00</v>
      </c>
      <c r="E177" s="159"/>
      <c r="F177" s="160"/>
      <c r="G177" s="158" t="str">
        <f>TEXT($G$1, "[$-ko-KR]yyyy-mm-dd(ddd) ") &amp; "오후 19:00"</f>
        <v>2022-12-09(금) 오후 19:00</v>
      </c>
      <c r="H177" s="159"/>
      <c r="I177" s="160"/>
      <c r="J177" s="158" t="str">
        <f>TEXT($G$1, "[$-ko-KR]yyyy-mm-dd(ddd) ") &amp; "오후 21:00"</f>
        <v>2022-12-09(금) 오후 21:00</v>
      </c>
      <c r="K177" s="159"/>
      <c r="L177" s="160"/>
      <c r="M177" s="158" t="str">
        <f>TEXT($G$1+1, "[$-ko-KR]yyyy-mm-dd(ddd) ") &amp; "오전 00:00"</f>
        <v>2022-12-10(토)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208</v>
      </c>
      <c r="B179" s="108">
        <v>106</v>
      </c>
      <c r="C179" s="69">
        <v>-9.3457943999999994E-3</v>
      </c>
      <c r="D179" s="13">
        <v>107</v>
      </c>
      <c r="E179" s="14">
        <f>IF(ISNUMBER(D179), (D179 - $B179) / $B179, "")</f>
        <v>9.433962264150943E-3</v>
      </c>
      <c r="F179" s="16">
        <f>IF(ISNUMBER(D179), $B199 * E179, "")</f>
        <v>1415.0943396226414</v>
      </c>
      <c r="G179" s="29">
        <v>107</v>
      </c>
      <c r="H179" s="14">
        <f>IF(ISNUMBER(G179), (G179 - $B179) / $B179, "")</f>
        <v>9.433962264150943E-3</v>
      </c>
      <c r="I179" s="90">
        <f>IF(ISNUMBER(G179), $B199 * H179, "")</f>
        <v>1415.0943396226414</v>
      </c>
      <c r="J179" s="13">
        <v>107</v>
      </c>
      <c r="K179" s="14">
        <f>IF(ISNUMBER(J179), (J179 - $B179) / $B179, "")</f>
        <v>9.433962264150943E-3</v>
      </c>
      <c r="L179" s="16">
        <f>IF(ISNUMBER(J179), $B199 * K179, "")</f>
        <v>1415.0943396226414</v>
      </c>
      <c r="M179" s="29">
        <v>107</v>
      </c>
      <c r="N179" s="14">
        <f>IF(ISNUMBER(M179), (M179 - $B179) / $B179, "")</f>
        <v>9.433962264150943E-3</v>
      </c>
      <c r="O179" s="16">
        <f>IF(ISNUMBER(M179), $B199 * N179, "")</f>
        <v>1415.0943396226414</v>
      </c>
      <c r="Q179" s="156"/>
      <c r="R179" s="156"/>
      <c r="S179" s="156"/>
    </row>
    <row r="180" spans="1:19" ht="17.25" thickBot="1">
      <c r="A180" s="109" t="s">
        <v>336</v>
      </c>
      <c r="B180" s="110">
        <v>84.7</v>
      </c>
      <c r="C180" s="70">
        <v>-9.3567250999999994E-3</v>
      </c>
      <c r="D180" s="15">
        <v>85.3</v>
      </c>
      <c r="E180" s="32">
        <f t="shared" ref="E180:E183" si="94">IF(ISNUMBER(D180), (D180 - $B180) / $B180, "")</f>
        <v>7.0838252656433799E-3</v>
      </c>
      <c r="F180" s="18">
        <f>IF(ISNUMBER(D180), $B199 * E180, "")</f>
        <v>1062.573789846507</v>
      </c>
      <c r="G180" s="31">
        <v>84.8</v>
      </c>
      <c r="H180" s="32">
        <f t="shared" ref="H180:H183" si="95">IF(ISNUMBER(G180), (G180 - $B180) / $B180, "")</f>
        <v>1.1806375442738408E-3</v>
      </c>
      <c r="I180" s="91">
        <f>IF(ISNUMBER(G180), $B199 * H180, "")</f>
        <v>177.09563164107612</v>
      </c>
      <c r="J180" s="15">
        <v>84.8</v>
      </c>
      <c r="K180" s="32">
        <f t="shared" ref="K180:K183" si="96">IF(ISNUMBER(J180), (J180 - $B180) / $B180, "")</f>
        <v>1.1806375442738408E-3</v>
      </c>
      <c r="L180" s="18">
        <f>IF(ISNUMBER(J180), $B199 * K180, "")</f>
        <v>177.09563164107612</v>
      </c>
      <c r="M180" s="31">
        <v>85</v>
      </c>
      <c r="N180" s="32">
        <f t="shared" ref="N180:N183" si="97">IF(ISNUMBER(M180), (M180 - $B180) / $B180, "")</f>
        <v>3.5419126328216899E-3</v>
      </c>
      <c r="O180" s="18">
        <f>IF(ISNUMBER(M180), $B199 * N180, "")</f>
        <v>531.2868949232535</v>
      </c>
      <c r="Q180" s="156"/>
      <c r="R180" s="156"/>
      <c r="S180" s="156"/>
    </row>
    <row r="181" spans="1:19" ht="17.25" thickBot="1">
      <c r="A181" s="109" t="s">
        <v>85</v>
      </c>
      <c r="B181" s="110">
        <v>201</v>
      </c>
      <c r="C181" s="70">
        <v>-9.8522166999999994E-3</v>
      </c>
      <c r="D181" s="15">
        <v>202</v>
      </c>
      <c r="E181" s="32">
        <f t="shared" si="94"/>
        <v>4.9751243781094526E-3</v>
      </c>
      <c r="F181" s="18">
        <f>IF(ISNUMBER(D181), $B199 * E181, "")</f>
        <v>746.26865671641792</v>
      </c>
      <c r="G181" s="31">
        <v>204</v>
      </c>
      <c r="H181" s="32">
        <f t="shared" si="95"/>
        <v>1.4925373134328358E-2</v>
      </c>
      <c r="I181" s="91">
        <f>IF(ISNUMBER(G181), $B199 * H181, "")</f>
        <v>2238.8059701492539</v>
      </c>
      <c r="J181" s="15">
        <v>204</v>
      </c>
      <c r="K181" s="32">
        <f t="shared" si="96"/>
        <v>1.4925373134328358E-2</v>
      </c>
      <c r="L181" s="18">
        <f>IF(ISNUMBER(J181), $B199 * K181, "")</f>
        <v>2238.8059701492539</v>
      </c>
      <c r="M181" s="31">
        <v>201</v>
      </c>
      <c r="N181" s="32">
        <f t="shared" si="97"/>
        <v>0</v>
      </c>
      <c r="O181" s="18">
        <f>IF(ISNUMBER(M181), $B199 * N181, "")</f>
        <v>0</v>
      </c>
      <c r="Q181" s="161"/>
      <c r="R181" s="161"/>
      <c r="S181" s="161"/>
    </row>
    <row r="182" spans="1:19" ht="17.25" thickBot="1">
      <c r="A182" s="109" t="s">
        <v>349</v>
      </c>
      <c r="B182" s="110">
        <v>783</v>
      </c>
      <c r="C182" s="70">
        <v>-1.13636364E-2</v>
      </c>
      <c r="D182" s="15">
        <v>795</v>
      </c>
      <c r="E182" s="32">
        <f t="shared" si="94"/>
        <v>1.532567049808429E-2</v>
      </c>
      <c r="F182" s="18">
        <f>IF(ISNUMBER(D182), $B199 * E182, "")</f>
        <v>2298.8505747126437</v>
      </c>
      <c r="G182" s="31">
        <v>794</v>
      </c>
      <c r="H182" s="32">
        <f t="shared" si="95"/>
        <v>1.40485312899106E-2</v>
      </c>
      <c r="I182" s="91">
        <f>IF(ISNUMBER(G182), $B199 * H182, "")</f>
        <v>2107.2796934865901</v>
      </c>
      <c r="J182" s="15">
        <v>794</v>
      </c>
      <c r="K182" s="32">
        <f t="shared" si="96"/>
        <v>1.40485312899106E-2</v>
      </c>
      <c r="L182" s="18">
        <f>IF(ISNUMBER(J182), $B199 * K182, "")</f>
        <v>2107.2796934865901</v>
      </c>
      <c r="M182" s="31">
        <v>790</v>
      </c>
      <c r="N182" s="32">
        <f t="shared" si="97"/>
        <v>8.9399744572158362E-3</v>
      </c>
      <c r="O182" s="18">
        <f>IF(ISNUMBER(M182), $B199 * N182, "")</f>
        <v>1340.9961685823755</v>
      </c>
      <c r="Q182" s="161"/>
      <c r="R182" s="161"/>
      <c r="S182" s="161"/>
    </row>
    <row r="183" spans="1:19" ht="17.25" thickBot="1">
      <c r="A183" s="111" t="s">
        <v>176</v>
      </c>
      <c r="B183" s="112">
        <v>339</v>
      </c>
      <c r="C183" s="71">
        <v>-1.1661807600000001E-2</v>
      </c>
      <c r="D183" s="20">
        <v>343</v>
      </c>
      <c r="E183" s="21">
        <f t="shared" si="94"/>
        <v>1.1799410029498525E-2</v>
      </c>
      <c r="F183" s="22">
        <f>IF(ISNUMBER(D183), $B199 * E183, "")</f>
        <v>1769.9115044247787</v>
      </c>
      <c r="G183" s="30">
        <v>345</v>
      </c>
      <c r="H183" s="21">
        <f t="shared" si="95"/>
        <v>1.7699115044247787E-2</v>
      </c>
      <c r="I183" s="95">
        <f>IF(ISNUMBER(G183), $B199 * H183, "")</f>
        <v>2654.8672566371679</v>
      </c>
      <c r="J183" s="20">
        <v>345</v>
      </c>
      <c r="K183" s="21">
        <f t="shared" si="96"/>
        <v>1.7699115044247787E-2</v>
      </c>
      <c r="L183" s="22">
        <f>IF(ISNUMBER(J183), $B199 * K183, "")</f>
        <v>2654.8672566371679</v>
      </c>
      <c r="M183" s="30">
        <v>346</v>
      </c>
      <c r="N183" s="21">
        <f t="shared" si="97"/>
        <v>2.0648967551622419E-2</v>
      </c>
      <c r="O183" s="22">
        <f>IF(ISNUMBER(M183), $B199 * N183, "")</f>
        <v>3097.3451327433627</v>
      </c>
      <c r="Q183" s="161"/>
      <c r="R183" s="161"/>
      <c r="S183" s="161"/>
    </row>
    <row r="184" spans="1:19" ht="17.25" thickBot="1">
      <c r="A184" s="109" t="s">
        <v>338</v>
      </c>
      <c r="B184" s="113">
        <v>5</v>
      </c>
      <c r="C184" s="73">
        <v>-1.18577075E-2</v>
      </c>
      <c r="D184" s="96">
        <v>5.05</v>
      </c>
      <c r="E184" s="97">
        <f>IF(ISNUMBER(D184), (D184 - $B184) / $B184, "")</f>
        <v>9.9999999999999638E-3</v>
      </c>
      <c r="F184" s="98">
        <f>IF(ISNUMBER(D184), $B199 * E184, "")</f>
        <v>1499.9999999999945</v>
      </c>
      <c r="G184" s="99">
        <v>5.22</v>
      </c>
      <c r="H184" s="97">
        <f>IF(ISNUMBER(G184), (G184 - $B184) / $B184, "")</f>
        <v>4.3999999999999949E-2</v>
      </c>
      <c r="I184" s="100">
        <f>IF(ISNUMBER(G184), $B199 * H184, "")</f>
        <v>6599.9999999999927</v>
      </c>
      <c r="J184" s="96">
        <v>5.22</v>
      </c>
      <c r="K184" s="97">
        <f>IF(ISNUMBER(J184), (J184 - $B184) / $B184, "")</f>
        <v>4.3999999999999949E-2</v>
      </c>
      <c r="L184" s="98">
        <f>IF(ISNUMBER(J184), $B199 * K184, "")</f>
        <v>6599.9999999999927</v>
      </c>
      <c r="M184" s="99">
        <v>5.19</v>
      </c>
      <c r="N184" s="97">
        <f>IF(ISNUMBER(M184), (M184 - $B184) / $B184, "")</f>
        <v>3.8000000000000075E-2</v>
      </c>
      <c r="O184" s="98">
        <f>IF(ISNUMBER(M184), $B199 * N184, "")</f>
        <v>5700.0000000000109</v>
      </c>
      <c r="Q184" s="161"/>
      <c r="R184" s="161"/>
      <c r="S184" s="161"/>
    </row>
    <row r="185" spans="1:19" ht="17.25" thickBot="1">
      <c r="A185" s="109" t="s">
        <v>136</v>
      </c>
      <c r="B185" s="110">
        <v>2905</v>
      </c>
      <c r="C185" s="70">
        <v>-1.19047619E-2</v>
      </c>
      <c r="D185" s="15">
        <v>3025</v>
      </c>
      <c r="E185" s="32">
        <f t="shared" ref="E185:E188" si="98">IF(ISNUMBER(D185), (D185 - $B185) / $B185, "")</f>
        <v>4.1308089500860588E-2</v>
      </c>
      <c r="F185" s="18">
        <f>IF(ISNUMBER(D185), $B199 * E185, "")</f>
        <v>6196.2134251290881</v>
      </c>
      <c r="G185" s="31">
        <v>3045</v>
      </c>
      <c r="H185" s="32">
        <f t="shared" ref="H185:H188" si="99">IF(ISNUMBER(G185), (G185 - $B185) / $B185, "")</f>
        <v>4.8192771084337352E-2</v>
      </c>
      <c r="I185" s="91">
        <f>IF(ISNUMBER(G185), $B199 * H185, "")</f>
        <v>7228.9156626506028</v>
      </c>
      <c r="J185" s="15">
        <v>3045</v>
      </c>
      <c r="K185" s="32">
        <f t="shared" ref="K185:K188" si="100">IF(ISNUMBER(J185), (J185 - $B185) / $B185, "")</f>
        <v>4.8192771084337352E-2</v>
      </c>
      <c r="L185" s="18">
        <f>IF(ISNUMBER(J185), $B199 * K185, "")</f>
        <v>7228.9156626506028</v>
      </c>
      <c r="M185" s="31">
        <v>3030</v>
      </c>
      <c r="N185" s="32">
        <f t="shared" ref="N185:N188" si="101">IF(ISNUMBER(M185), (M185 - $B185) / $B185, "")</f>
        <v>4.3029259896729774E-2</v>
      </c>
      <c r="O185" s="18">
        <f>IF(ISNUMBER(M185), $B199 * N185, "")</f>
        <v>6454.3889845094664</v>
      </c>
      <c r="Q185" s="161"/>
      <c r="R185" s="161"/>
      <c r="S185" s="161"/>
    </row>
    <row r="186" spans="1:19" ht="17.25" thickBot="1">
      <c r="A186" s="109" t="s">
        <v>226</v>
      </c>
      <c r="B186" s="110">
        <v>228</v>
      </c>
      <c r="C186" s="70">
        <v>-1.2987013E-2</v>
      </c>
      <c r="D186" s="15">
        <v>236</v>
      </c>
      <c r="E186" s="32">
        <f t="shared" si="98"/>
        <v>3.5087719298245612E-2</v>
      </c>
      <c r="F186" s="18">
        <f>IF(ISNUMBER(D186), $B199 * E186, "")</f>
        <v>5263.1578947368416</v>
      </c>
      <c r="G186" s="31">
        <v>235</v>
      </c>
      <c r="H186" s="32">
        <f t="shared" si="99"/>
        <v>3.0701754385964911E-2</v>
      </c>
      <c r="I186" s="91">
        <f>IF(ISNUMBER(G186), $B199 * H186, "")</f>
        <v>4605.2631578947367</v>
      </c>
      <c r="J186" s="15">
        <v>235</v>
      </c>
      <c r="K186" s="32">
        <f t="shared" si="100"/>
        <v>3.0701754385964911E-2</v>
      </c>
      <c r="L186" s="18">
        <f>IF(ISNUMBER(J186), $B199 * K186, "")</f>
        <v>4605.2631578947367</v>
      </c>
      <c r="M186" s="31">
        <v>235</v>
      </c>
      <c r="N186" s="32">
        <f t="shared" si="101"/>
        <v>3.0701754385964911E-2</v>
      </c>
      <c r="O186" s="18">
        <f>IF(ISNUMBER(M186), $B199 * N186, "")</f>
        <v>4605.2631578947367</v>
      </c>
      <c r="Q186" s="161"/>
      <c r="R186" s="161"/>
      <c r="S186" s="161"/>
    </row>
    <row r="187" spans="1:19" ht="17.25" thickBot="1">
      <c r="A187" s="109" t="s">
        <v>320</v>
      </c>
      <c r="B187" s="110">
        <v>2230</v>
      </c>
      <c r="C187" s="70">
        <v>-1.32743363E-2</v>
      </c>
      <c r="D187" s="15">
        <v>2265</v>
      </c>
      <c r="E187" s="32">
        <f t="shared" si="98"/>
        <v>1.5695067264573991E-2</v>
      </c>
      <c r="F187" s="18">
        <f>IF(ISNUMBER(D187), $B199 * E187, "")</f>
        <v>2354.2600896860986</v>
      </c>
      <c r="G187" s="31">
        <v>2275</v>
      </c>
      <c r="H187" s="32">
        <f t="shared" si="99"/>
        <v>2.0179372197309416E-2</v>
      </c>
      <c r="I187" s="91">
        <f>IF(ISNUMBER(G187), $B199 * H187, "")</f>
        <v>3026.9058295964123</v>
      </c>
      <c r="J187" s="15">
        <v>2275</v>
      </c>
      <c r="K187" s="32">
        <f t="shared" si="100"/>
        <v>2.0179372197309416E-2</v>
      </c>
      <c r="L187" s="18">
        <f>IF(ISNUMBER(J187), $B199 * K187, "")</f>
        <v>3026.9058295964123</v>
      </c>
      <c r="M187" s="31">
        <v>2260</v>
      </c>
      <c r="N187" s="32">
        <f t="shared" si="101"/>
        <v>1.3452914798206279E-2</v>
      </c>
      <c r="O187" s="18">
        <f>IF(ISNUMBER(M187), $B199 * N187, "")</f>
        <v>2017.9372197309417</v>
      </c>
      <c r="Q187" s="33"/>
      <c r="R187" s="33"/>
    </row>
    <row r="188" spans="1:19" ht="17.25" thickBot="1">
      <c r="A188" s="114" t="s">
        <v>340</v>
      </c>
      <c r="B188" s="115">
        <v>585</v>
      </c>
      <c r="C188" s="72">
        <v>-1.8456375800000001E-2</v>
      </c>
      <c r="D188" s="24">
        <v>590</v>
      </c>
      <c r="E188" s="25">
        <f t="shared" si="98"/>
        <v>8.5470085470085479E-3</v>
      </c>
      <c r="F188" s="94">
        <f>IF(ISNUMBER(D188), $B199 * E188, "")</f>
        <v>1282.0512820512822</v>
      </c>
      <c r="G188" s="92">
        <v>595</v>
      </c>
      <c r="H188" s="25">
        <f t="shared" si="99"/>
        <v>1.7094017094017096E-2</v>
      </c>
      <c r="I188" s="93">
        <f>IF(ISNUMBER(G188), $B199 * H188, "")</f>
        <v>2564.1025641025644</v>
      </c>
      <c r="J188" s="24">
        <v>595</v>
      </c>
      <c r="K188" s="25">
        <f t="shared" si="100"/>
        <v>1.7094017094017096E-2</v>
      </c>
      <c r="L188" s="94">
        <f>IF(ISNUMBER(J188), $B199 * K188, "")</f>
        <v>2564.1025641025644</v>
      </c>
      <c r="M188" s="92">
        <v>588</v>
      </c>
      <c r="N188" s="25">
        <f t="shared" si="101"/>
        <v>5.1282051282051282E-3</v>
      </c>
      <c r="O188" s="94">
        <f>IF(ISNUMBER(M188), $B199 * N188, "")</f>
        <v>769.23076923076928</v>
      </c>
      <c r="Q188" s="170"/>
      <c r="R188" s="171"/>
      <c r="S188" s="172"/>
    </row>
    <row r="189" spans="1:19">
      <c r="A189" s="107" t="s">
        <v>189</v>
      </c>
      <c r="B189" s="108">
        <v>1370</v>
      </c>
      <c r="C189" s="69">
        <v>-2.1428571399999999E-2</v>
      </c>
      <c r="D189" s="13">
        <v>1375</v>
      </c>
      <c r="E189" s="14">
        <f>IF(ISNUMBER(D189), (D189 - $B189) / $B189, "")</f>
        <v>3.6496350364963502E-3</v>
      </c>
      <c r="F189" s="16">
        <f>IF(ISNUMBER(D189), $B199 * E189, "")</f>
        <v>547.44525547445255</v>
      </c>
      <c r="G189" s="29">
        <v>1370</v>
      </c>
      <c r="H189" s="14">
        <f>IF(ISNUMBER(G189), (G189 - $B189) / $B189, "")</f>
        <v>0</v>
      </c>
      <c r="I189" s="90">
        <f>IF(ISNUMBER(G189), $B199 * H189, "")</f>
        <v>0</v>
      </c>
      <c r="J189" s="13">
        <v>1370</v>
      </c>
      <c r="K189" s="14">
        <f>IF(ISNUMBER(J189), (J189 - $B189) / $B189, "")</f>
        <v>0</v>
      </c>
      <c r="L189" s="16">
        <f>IF(ISNUMBER(J189), $B199 * K189, "")</f>
        <v>0</v>
      </c>
      <c r="M189" s="29">
        <v>1365</v>
      </c>
      <c r="N189" s="14">
        <f>IF(ISNUMBER(M189), (M189 - $B189) / $B189, "")</f>
        <v>-3.6496350364963502E-3</v>
      </c>
      <c r="O189" s="16">
        <f>IF(ISNUMBER(M189), $B199 * N189, "")</f>
        <v>-547.44525547445255</v>
      </c>
      <c r="Q189" s="173"/>
      <c r="R189" s="174"/>
      <c r="S189" s="175"/>
    </row>
    <row r="190" spans="1:19" ht="17.25" thickBot="1">
      <c r="A190" s="109" t="s">
        <v>352</v>
      </c>
      <c r="B190" s="110">
        <v>266</v>
      </c>
      <c r="C190" s="70">
        <v>-2.2058823500000001E-2</v>
      </c>
      <c r="D190" s="15">
        <v>267</v>
      </c>
      <c r="E190" s="32">
        <f t="shared" ref="E190:E193" si="102">IF(ISNUMBER(D190), (D190 - $B190) / $B190, "")</f>
        <v>3.7593984962406013E-3</v>
      </c>
      <c r="F190" s="18">
        <f>IF(ISNUMBER(D190), $B199 * E190, "")</f>
        <v>563.90977443609017</v>
      </c>
      <c r="G190" s="31">
        <v>266</v>
      </c>
      <c r="H190" s="32">
        <f t="shared" ref="H190:H193" si="103">IF(ISNUMBER(G190), (G190 - $B190) / $B190, "")</f>
        <v>0</v>
      </c>
      <c r="I190" s="91">
        <f>IF(ISNUMBER(G190), $B199 * H190, "")</f>
        <v>0</v>
      </c>
      <c r="J190" s="15">
        <v>266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266</v>
      </c>
      <c r="N190" s="32">
        <f t="shared" ref="N190:N193" si="105">IF(ISNUMBER(M190), (M190 - $B190) / $B190, "")</f>
        <v>0</v>
      </c>
      <c r="O190" s="18">
        <f>IF(ISNUMBER(M190), $B199 * N190, "")</f>
        <v>0</v>
      </c>
      <c r="Q190" s="176"/>
      <c r="R190" s="177"/>
      <c r="S190" s="178"/>
    </row>
    <row r="191" spans="1:19" ht="17.25" thickBot="1">
      <c r="A191" s="109" t="s">
        <v>346</v>
      </c>
      <c r="B191" s="110">
        <v>537</v>
      </c>
      <c r="C191" s="70">
        <v>-2.54083485E-2</v>
      </c>
      <c r="D191" s="15">
        <v>540</v>
      </c>
      <c r="E191" s="32">
        <f t="shared" si="102"/>
        <v>5.5865921787709499E-3</v>
      </c>
      <c r="F191" s="18">
        <f>IF(ISNUMBER(D191), $B199 * E191, "")</f>
        <v>837.98882681564248</v>
      </c>
      <c r="G191" s="31">
        <v>542</v>
      </c>
      <c r="H191" s="32">
        <f t="shared" si="103"/>
        <v>9.3109869646182501E-3</v>
      </c>
      <c r="I191" s="91">
        <f>IF(ISNUMBER(G191), $B199 * H191, "")</f>
        <v>1396.6480446927376</v>
      </c>
      <c r="J191" s="15">
        <v>542</v>
      </c>
      <c r="K191" s="32">
        <f t="shared" si="104"/>
        <v>9.3109869646182501E-3</v>
      </c>
      <c r="L191" s="18">
        <f>IF(ISNUMBER(J191), $B199 * K191, "")</f>
        <v>1396.6480446927376</v>
      </c>
      <c r="M191" s="31">
        <v>536</v>
      </c>
      <c r="N191" s="32">
        <f t="shared" si="105"/>
        <v>-1.8621973929236499E-3</v>
      </c>
      <c r="O191" s="18">
        <f>IF(ISNUMBER(M191), $B199 * N191, "")</f>
        <v>-279.32960893854749</v>
      </c>
      <c r="Q191" s="161"/>
      <c r="R191" s="161"/>
      <c r="S191" s="161"/>
    </row>
    <row r="192" spans="1:19" ht="17.25" thickBot="1">
      <c r="A192" s="109" t="s">
        <v>187</v>
      </c>
      <c r="B192" s="110">
        <v>790</v>
      </c>
      <c r="C192" s="70">
        <v>-2.8290282900000002E-2</v>
      </c>
      <c r="D192" s="15">
        <v>795</v>
      </c>
      <c r="E192" s="32">
        <f t="shared" si="102"/>
        <v>6.3291139240506328E-3</v>
      </c>
      <c r="F192" s="18">
        <f>IF(ISNUMBER(D192), $B199 * E192, "")</f>
        <v>949.36708860759495</v>
      </c>
      <c r="G192" s="31">
        <v>797</v>
      </c>
      <c r="H192" s="32">
        <f t="shared" si="103"/>
        <v>8.8607594936708865E-3</v>
      </c>
      <c r="I192" s="91">
        <f>IF(ISNUMBER(G192), $B199 * H192, "")</f>
        <v>1329.1139240506329</v>
      </c>
      <c r="J192" s="15">
        <v>797</v>
      </c>
      <c r="K192" s="32">
        <f t="shared" si="104"/>
        <v>8.8607594936708865E-3</v>
      </c>
      <c r="L192" s="18">
        <f>IF(ISNUMBER(J192), $B199 * K192, "")</f>
        <v>1329.1139240506329</v>
      </c>
      <c r="M192" s="31">
        <v>795</v>
      </c>
      <c r="N192" s="32">
        <f t="shared" si="105"/>
        <v>6.3291139240506328E-3</v>
      </c>
      <c r="O192" s="18">
        <f>IF(ISNUMBER(M192), $B199 * N192, "")</f>
        <v>949.36708860759495</v>
      </c>
      <c r="Q192" s="156"/>
      <c r="R192" s="156"/>
      <c r="S192" s="156"/>
    </row>
    <row r="193" spans="1:19" ht="17.25" thickBot="1">
      <c r="A193" s="111" t="s">
        <v>109</v>
      </c>
      <c r="B193" s="112">
        <v>1140</v>
      </c>
      <c r="C193" s="71">
        <v>-2.9787233999999999E-2</v>
      </c>
      <c r="D193" s="20">
        <v>1160</v>
      </c>
      <c r="E193" s="21">
        <f t="shared" si="102"/>
        <v>1.7543859649122806E-2</v>
      </c>
      <c r="F193" s="22">
        <f>IF(ISNUMBER(D193), $B199 * E193, "")</f>
        <v>2631.5789473684208</v>
      </c>
      <c r="G193" s="30">
        <v>1160</v>
      </c>
      <c r="H193" s="21">
        <f t="shared" si="103"/>
        <v>1.7543859649122806E-2</v>
      </c>
      <c r="I193" s="95">
        <f>IF(ISNUMBER(G193), $B199 * H193, "")</f>
        <v>2631.5789473684208</v>
      </c>
      <c r="J193" s="20">
        <v>1160</v>
      </c>
      <c r="K193" s="21">
        <f t="shared" si="104"/>
        <v>1.7543859649122806E-2</v>
      </c>
      <c r="L193" s="22">
        <f>IF(ISNUMBER(J193), $B199 * K193, "")</f>
        <v>2631.5789473684208</v>
      </c>
      <c r="M193" s="30">
        <v>1145</v>
      </c>
      <c r="N193" s="21">
        <f t="shared" si="105"/>
        <v>4.3859649122807015E-3</v>
      </c>
      <c r="O193" s="22">
        <f>IF(ISNUMBER(M193), $B199 * N193, "")</f>
        <v>657.8947368421052</v>
      </c>
      <c r="Q193" s="156"/>
      <c r="R193" s="156"/>
      <c r="S193" s="156"/>
    </row>
    <row r="194" spans="1:19" ht="17.25" thickBot="1">
      <c r="A194" s="109" t="s">
        <v>191</v>
      </c>
      <c r="B194" s="113">
        <v>52.4</v>
      </c>
      <c r="C194" s="73">
        <v>-3.1423290200000002E-2</v>
      </c>
      <c r="D194" s="96">
        <v>52.6</v>
      </c>
      <c r="E194" s="97">
        <f>IF(ISNUMBER(D194), (D194 - $B194) / $B194, "")</f>
        <v>3.8167938931298255E-3</v>
      </c>
      <c r="F194" s="98">
        <f>IF(ISNUMBER(D194), $B199 * E194, "")</f>
        <v>572.51908396947385</v>
      </c>
      <c r="G194" s="99">
        <v>53.4</v>
      </c>
      <c r="H194" s="97">
        <f>IF(ISNUMBER(G194), (G194 - $B194) / $B194, "")</f>
        <v>1.9083969465648856E-2</v>
      </c>
      <c r="I194" s="100">
        <f>IF(ISNUMBER(G194), $B199 * H194, "")</f>
        <v>2862.5954198473282</v>
      </c>
      <c r="J194" s="96">
        <v>53.4</v>
      </c>
      <c r="K194" s="97">
        <f>IF(ISNUMBER(J194), (J194 - $B194) / $B194, "")</f>
        <v>1.9083969465648856E-2</v>
      </c>
      <c r="L194" s="98">
        <f>IF(ISNUMBER(J194), $B199 * K194, "")</f>
        <v>2862.5954198473282</v>
      </c>
      <c r="M194" s="99">
        <v>53.3</v>
      </c>
      <c r="N194" s="97">
        <f>IF(ISNUMBER(M194), (M194 - $B194) / $B194, "")</f>
        <v>1.7175572519083943E-2</v>
      </c>
      <c r="O194" s="98">
        <f>IF(ISNUMBER(M194), $B199 * N194, "")</f>
        <v>2576.3358778625916</v>
      </c>
      <c r="Q194" s="161"/>
      <c r="R194" s="161"/>
      <c r="S194" s="161"/>
    </row>
    <row r="195" spans="1:19" ht="17.25" thickBot="1">
      <c r="A195" s="109" t="s">
        <v>234</v>
      </c>
      <c r="B195" s="110">
        <v>337</v>
      </c>
      <c r="C195" s="70">
        <v>-3.4383954199999997E-2</v>
      </c>
      <c r="D195" s="15">
        <v>342</v>
      </c>
      <c r="E195" s="32">
        <f t="shared" ref="E195:E198" si="106">IF(ISNUMBER(D195), (D195 - $B195) / $B195, "")</f>
        <v>1.483679525222552E-2</v>
      </c>
      <c r="F195" s="18">
        <f>IF(ISNUMBER(D195), $B199 * E195, "")</f>
        <v>2225.519287833828</v>
      </c>
      <c r="G195" s="31">
        <v>340</v>
      </c>
      <c r="H195" s="32">
        <f t="shared" ref="H195:H198" si="107">IF(ISNUMBER(G195), (G195 - $B195) / $B195, "")</f>
        <v>8.9020771513353119E-3</v>
      </c>
      <c r="I195" s="91">
        <f>IF(ISNUMBER(G195), $B199 * H195, "")</f>
        <v>1335.3115727002969</v>
      </c>
      <c r="J195" s="15">
        <v>340</v>
      </c>
      <c r="K195" s="32">
        <f t="shared" ref="K195:K198" si="108">IF(ISNUMBER(J195), (J195 - $B195) / $B195, "")</f>
        <v>8.9020771513353119E-3</v>
      </c>
      <c r="L195" s="18">
        <f>IF(ISNUMBER(J195), $B199 * K195, "")</f>
        <v>1335.3115727002969</v>
      </c>
      <c r="M195" s="31">
        <v>346</v>
      </c>
      <c r="N195" s="32">
        <f t="shared" ref="N195:N198" si="109">IF(ISNUMBER(M195), (M195 - $B195) / $B195, "")</f>
        <v>2.6706231454005934E-2</v>
      </c>
      <c r="O195" s="18">
        <f>IF(ISNUMBER(M195), $B199 * N195, "")</f>
        <v>4005.9347181008902</v>
      </c>
      <c r="Q195" s="161"/>
      <c r="R195" s="161"/>
      <c r="S195" s="161"/>
    </row>
    <row r="196" spans="1:19" ht="17.25" thickBot="1">
      <c r="A196" s="109" t="s">
        <v>236</v>
      </c>
      <c r="B196" s="110">
        <v>2845</v>
      </c>
      <c r="C196" s="70">
        <v>-5.0083472499999997E-2</v>
      </c>
      <c r="D196" s="15">
        <v>3075</v>
      </c>
      <c r="E196" s="32">
        <f t="shared" si="106"/>
        <v>8.0843585237258347E-2</v>
      </c>
      <c r="F196" s="18">
        <f>IF(ISNUMBER(D196), $B199 * E196, "")</f>
        <v>12126.537785588753</v>
      </c>
      <c r="G196" s="31">
        <v>3020</v>
      </c>
      <c r="H196" s="32">
        <f t="shared" si="107"/>
        <v>6.1511423550087874E-2</v>
      </c>
      <c r="I196" s="91">
        <f>IF(ISNUMBER(G196), $B199 * H196, "")</f>
        <v>9226.7135325131803</v>
      </c>
      <c r="J196" s="15">
        <v>3020</v>
      </c>
      <c r="K196" s="32">
        <f t="shared" si="108"/>
        <v>6.1511423550087874E-2</v>
      </c>
      <c r="L196" s="18">
        <f>IF(ISNUMBER(J196), $B199 * K196, "")</f>
        <v>9226.7135325131803</v>
      </c>
      <c r="M196" s="31">
        <v>3005</v>
      </c>
      <c r="N196" s="32">
        <f t="shared" si="109"/>
        <v>5.6239015817223195E-2</v>
      </c>
      <c r="O196" s="18">
        <f>IF(ISNUMBER(M196), $B199 * N196, "")</f>
        <v>8435.8523725834784</v>
      </c>
      <c r="Q196" s="161"/>
      <c r="R196" s="161"/>
      <c r="S196" s="161"/>
    </row>
    <row r="197" spans="1:19">
      <c r="A197" s="109" t="s">
        <v>147</v>
      </c>
      <c r="B197" s="110">
        <v>10700</v>
      </c>
      <c r="C197" s="70">
        <v>-5.3934571200000003E-2</v>
      </c>
      <c r="D197" s="15">
        <v>10760</v>
      </c>
      <c r="E197" s="32">
        <f t="shared" si="106"/>
        <v>5.6074766355140183E-3</v>
      </c>
      <c r="F197" s="18">
        <f>IF(ISNUMBER(D197), $B199 * E197, "")</f>
        <v>841.12149532710271</v>
      </c>
      <c r="G197" s="31">
        <v>10690</v>
      </c>
      <c r="H197" s="32">
        <f t="shared" si="107"/>
        <v>-9.3457943925233649E-4</v>
      </c>
      <c r="I197" s="91">
        <f>IF(ISNUMBER(G197), $B199 * H197, "")</f>
        <v>-140.18691588785046</v>
      </c>
      <c r="J197" s="15">
        <v>10690</v>
      </c>
      <c r="K197" s="32">
        <f t="shared" si="108"/>
        <v>-9.3457943925233649E-4</v>
      </c>
      <c r="L197" s="18">
        <f>IF(ISNUMBER(J197), $B199 * K197, "")</f>
        <v>-140.18691588785046</v>
      </c>
      <c r="M197" s="31">
        <v>10700</v>
      </c>
      <c r="N197" s="32">
        <f t="shared" si="109"/>
        <v>0</v>
      </c>
      <c r="O197" s="18">
        <f>IF(ISNUMBER(M197), $B199 * N197, "")</f>
        <v>0</v>
      </c>
      <c r="Q197" s="183"/>
      <c r="R197" s="184"/>
      <c r="S197" s="185"/>
    </row>
    <row r="198" spans="1:19" ht="17.25" thickBot="1">
      <c r="A198" s="114" t="s">
        <v>151</v>
      </c>
      <c r="B198" s="115">
        <v>2735</v>
      </c>
      <c r="C198" s="72">
        <v>-0.1261980831</v>
      </c>
      <c r="D198" s="24">
        <v>2805</v>
      </c>
      <c r="E198" s="25">
        <f t="shared" si="106"/>
        <v>2.5594149908592323E-2</v>
      </c>
      <c r="F198" s="94">
        <f>IF(ISNUMBER(D198), $B199 * E198, "")</f>
        <v>3839.1224862888484</v>
      </c>
      <c r="G198" s="92">
        <v>2820</v>
      </c>
      <c r="H198" s="25">
        <f t="shared" si="107"/>
        <v>3.1078610603290677E-2</v>
      </c>
      <c r="I198" s="93">
        <f>IF(ISNUMBER(G198), $B199 * H198, "")</f>
        <v>4661.7915904936017</v>
      </c>
      <c r="J198" s="24">
        <v>2820</v>
      </c>
      <c r="K198" s="25">
        <f t="shared" si="108"/>
        <v>3.1078610603290677E-2</v>
      </c>
      <c r="L198" s="94">
        <f>IF(ISNUMBER(J198), $B199 * K198, "")</f>
        <v>4661.7915904936017</v>
      </c>
      <c r="M198" s="92">
        <v>2790</v>
      </c>
      <c r="N198" s="25">
        <f t="shared" si="109"/>
        <v>2.0109689213893969E-2</v>
      </c>
      <c r="O198" s="94">
        <f>IF(ISNUMBER(M198), $B199 * N198, "")</f>
        <v>3016.4533820840952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1.6341163862878837E-2</v>
      </c>
      <c r="F199" s="28">
        <f>SUM(F179:F198)</f>
        <v>49023.491588636505</v>
      </c>
      <c r="G199" s="26" t="s">
        <v>261</v>
      </c>
      <c r="H199" s="27">
        <f>IF(COUNT(H179:H198), SUM(H179:H198) / COUNT(H179:H198), 0)</f>
        <v>1.8640632073853126E-2</v>
      </c>
      <c r="I199" s="28">
        <f>SUM(I179:I198)</f>
        <v>55921.896221559386</v>
      </c>
      <c r="J199" s="26" t="s">
        <v>261</v>
      </c>
      <c r="K199" s="27">
        <f>IF(COUNT(K179:K198), SUM(K179:K198) / COUNT(K179:K198), 0)</f>
        <v>1.8640632073853126E-2</v>
      </c>
      <c r="L199" s="28">
        <f>SUM(L179:L198)</f>
        <v>55921.896221559386</v>
      </c>
      <c r="M199" s="26" t="s">
        <v>261</v>
      </c>
      <c r="N199" s="27">
        <f>IF(COUNT(N179:N198), SUM(N179:N198) / COUNT(N179:N198), 0)</f>
        <v>1.4915535326301771E-2</v>
      </c>
      <c r="O199" s="28">
        <f>SUM(O179:O198)</f>
        <v>44746.605978905318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E8F08-1B08-4E96-9B04-EFF816A978CB}">
  <sheetPr codeName="Sheet16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44905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-17,436 KRW (-0.58%)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-18,213 KRW (-0.61%)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46,654 KRW (1.56%)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3,558 KRW (0.12%)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2022-12-10(토) 오전 00:00</v>
      </c>
      <c r="C15" s="202"/>
      <c r="D15" s="158" t="str">
        <f>TEXT($G$1, "[$-ko-KR]yyyy-mm-dd(ddd) ") &amp; "오후 14:00"</f>
        <v>2022-12-10(토) 오후 14:00</v>
      </c>
      <c r="E15" s="159"/>
      <c r="F15" s="160"/>
      <c r="G15" s="158" t="str">
        <f>TEXT($G$1, "[$-ko-KR]yyyy-mm-dd(ddd) ") &amp; "오후 19:00"</f>
        <v>2022-12-10(토) 오후 19:00</v>
      </c>
      <c r="H15" s="159"/>
      <c r="I15" s="160"/>
      <c r="J15" s="158" t="str">
        <f>TEXT($G$1, "[$-ko-KR]yyyy-mm-dd(ddd) ") &amp; "오후 21:00"</f>
        <v>2022-12-10(토) 오후 21:00</v>
      </c>
      <c r="K15" s="159"/>
      <c r="L15" s="160"/>
      <c r="M15" s="158" t="str">
        <f>TEXT($G$1+1, "[$-ko-KR]yyyy-mm-dd(ddd) ") &amp; "오전 00:00"</f>
        <v>2022-12-11(일)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2022-12-10(토) 오전 00:00</v>
      </c>
      <c r="C42" s="199"/>
      <c r="D42" s="158" t="str">
        <f>TEXT($G$1, "[$-ko-KR]yyyy-mm-dd(ddd) ") &amp; "오후 14:00"</f>
        <v>2022-12-10(토) 오후 14:00</v>
      </c>
      <c r="E42" s="159"/>
      <c r="F42" s="160"/>
      <c r="G42" s="158" t="str">
        <f>TEXT($G$1, "[$-ko-KR]yyyy-mm-dd(ddd) ") &amp; "오후 19:00"</f>
        <v>2022-12-10(토) 오후 19:00</v>
      </c>
      <c r="H42" s="159"/>
      <c r="I42" s="160"/>
      <c r="J42" s="158" t="str">
        <f>TEXT($G$1, "[$-ko-KR]yyyy-mm-dd(ddd) ") &amp; "오후 21:00"</f>
        <v>2022-12-10(토) 오후 21:00</v>
      </c>
      <c r="K42" s="159"/>
      <c r="L42" s="160"/>
      <c r="M42" s="158" t="str">
        <f>TEXT($G$1+1, "[$-ko-KR]yyyy-mm-dd(ddd) ") &amp; "오전 00:00"</f>
        <v>2022-12-11(일)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181</v>
      </c>
      <c r="B44" s="108">
        <v>5.7</v>
      </c>
      <c r="C44" s="69">
        <v>0.21276595740000001</v>
      </c>
      <c r="D44" s="13">
        <v>5.76</v>
      </c>
      <c r="E44" s="14">
        <f>IF(ISNUMBER(D44), (D44 - $B44) / $B44, "")</f>
        <v>1.0526315789473615E-2</v>
      </c>
      <c r="F44" s="16">
        <f>IF(ISNUMBER(D44), $B64 * E44, "")</f>
        <v>1578.9473684210423</v>
      </c>
      <c r="G44" s="29">
        <v>5.48</v>
      </c>
      <c r="H44" s="14">
        <f>IF(ISNUMBER(G44), (G44 - $B44) / $B44, "")</f>
        <v>-3.8596491228070129E-2</v>
      </c>
      <c r="I44" s="90">
        <f>IF(ISNUMBER(G44), $B64 * H44, "")</f>
        <v>-5789.4736842105194</v>
      </c>
      <c r="J44" s="13">
        <v>5.48</v>
      </c>
      <c r="K44" s="14">
        <f>IF(ISNUMBER(J44), (J44 - $B44) / $B44, "")</f>
        <v>-3.8596491228070129E-2</v>
      </c>
      <c r="L44" s="16">
        <f>IF(ISNUMBER(J44), $B64 * K44, "")</f>
        <v>-5789.4736842105194</v>
      </c>
      <c r="M44" s="29">
        <v>5.42</v>
      </c>
      <c r="N44" s="14">
        <f>IF(ISNUMBER(M44), (M44 - $B44) / $B44, "")</f>
        <v>-4.9122807017543901E-2</v>
      </c>
      <c r="O44" s="16">
        <f>IF(ISNUMBER(M44), $B64 * N44, "")</f>
        <v>-7368.4210526315856</v>
      </c>
      <c r="Q44" s="156"/>
      <c r="R44" s="156"/>
      <c r="S44" s="156"/>
    </row>
    <row r="45" spans="1:19" ht="17.25" customHeight="1" thickBot="1">
      <c r="A45" s="109" t="s">
        <v>326</v>
      </c>
      <c r="B45" s="110">
        <v>26.7</v>
      </c>
      <c r="C45" s="70">
        <v>0.1078838174</v>
      </c>
      <c r="D45" s="15">
        <v>25.5</v>
      </c>
      <c r="E45" s="32">
        <f t="shared" ref="E45:E48" si="14">IF(ISNUMBER(D45), (D45 - $B45) / $B45, "")</f>
        <v>-4.4943820224719079E-2</v>
      </c>
      <c r="F45" s="18">
        <f>IF(ISNUMBER(D45), $B64 * E45, "")</f>
        <v>-6741.5730337078621</v>
      </c>
      <c r="G45" s="31">
        <v>25.1</v>
      </c>
      <c r="H45" s="32">
        <f t="shared" ref="H45:H48" si="15">IF(ISNUMBER(G45), (G45 - $B45) / $B45, "")</f>
        <v>-5.9925093632958726E-2</v>
      </c>
      <c r="I45" s="91">
        <f>IF(ISNUMBER(G45), $B64 * H45, "")</f>
        <v>-8988.7640449438095</v>
      </c>
      <c r="J45" s="15">
        <v>25.1</v>
      </c>
      <c r="K45" s="32">
        <f t="shared" ref="K45:K48" si="16">IF(ISNUMBER(J45), (J45 - $B45) / $B45, "")</f>
        <v>-5.9925093632958726E-2</v>
      </c>
      <c r="L45" s="18">
        <f>IF(ISNUMBER(J45), $B64 * K45, "")</f>
        <v>-8988.7640449438095</v>
      </c>
      <c r="M45" s="31">
        <v>25.1</v>
      </c>
      <c r="N45" s="32">
        <f t="shared" ref="N45:N48" si="17">IF(ISNUMBER(M45), (M45 - $B45) / $B45, "")</f>
        <v>-5.9925093632958726E-2</v>
      </c>
      <c r="O45" s="18">
        <f>IF(ISNUMBER(M45), $B64 * N45, "")</f>
        <v>-8988.7640449438095</v>
      </c>
      <c r="Q45" s="156"/>
      <c r="R45" s="156"/>
      <c r="S45" s="156"/>
    </row>
    <row r="46" spans="1:19" ht="17.25" customHeight="1" thickBot="1">
      <c r="A46" s="109" t="s">
        <v>206</v>
      </c>
      <c r="B46" s="110">
        <v>3.73</v>
      </c>
      <c r="C46" s="70">
        <v>5.3672316400000003E-2</v>
      </c>
      <c r="D46" s="15">
        <v>3.67</v>
      </c>
      <c r="E46" s="32">
        <f t="shared" si="14"/>
        <v>-1.6085790884718513E-2</v>
      </c>
      <c r="F46" s="18">
        <f>IF(ISNUMBER(D46), $B64 * E46, "")</f>
        <v>-2412.8686327077771</v>
      </c>
      <c r="G46" s="31">
        <v>3.63</v>
      </c>
      <c r="H46" s="32">
        <f t="shared" si="15"/>
        <v>-2.6809651474530856E-2</v>
      </c>
      <c r="I46" s="91">
        <f>IF(ISNUMBER(G46), $B64 * H46, "")</f>
        <v>-4021.4477211796284</v>
      </c>
      <c r="J46" s="15">
        <v>3.63</v>
      </c>
      <c r="K46" s="32">
        <f t="shared" si="16"/>
        <v>-2.6809651474530856E-2</v>
      </c>
      <c r="L46" s="18">
        <f>IF(ISNUMBER(J46), $B64 * K46, "")</f>
        <v>-4021.4477211796284</v>
      </c>
      <c r="M46" s="31">
        <v>3.66</v>
      </c>
      <c r="N46" s="32">
        <f t="shared" si="17"/>
        <v>-1.8766756032171539E-2</v>
      </c>
      <c r="O46" s="18">
        <f>IF(ISNUMBER(M46), $B64 * N46, "")</f>
        <v>-2815.013404825731</v>
      </c>
      <c r="Q46" s="161"/>
      <c r="R46" s="161"/>
      <c r="S46" s="161"/>
    </row>
    <row r="47" spans="1:19" ht="17.25" customHeight="1" thickBot="1">
      <c r="A47" s="109" t="s">
        <v>198</v>
      </c>
      <c r="B47" s="110">
        <v>9.82</v>
      </c>
      <c r="C47" s="70">
        <v>5.0267379700000003E-2</v>
      </c>
      <c r="D47" s="15">
        <v>9.58</v>
      </c>
      <c r="E47" s="32">
        <f t="shared" si="14"/>
        <v>-2.4439918533604908E-2</v>
      </c>
      <c r="F47" s="18">
        <f>IF(ISNUMBER(D47), $B64 * E47, "")</f>
        <v>-3665.9877800407362</v>
      </c>
      <c r="G47" s="31">
        <v>9.27</v>
      </c>
      <c r="H47" s="32">
        <f t="shared" si="15"/>
        <v>-5.6008146639511272E-2</v>
      </c>
      <c r="I47" s="91">
        <f>IF(ISNUMBER(G47), $B64 * H47, "")</f>
        <v>-8401.2219959266913</v>
      </c>
      <c r="J47" s="15">
        <v>9.27</v>
      </c>
      <c r="K47" s="32">
        <f t="shared" si="16"/>
        <v>-5.6008146639511272E-2</v>
      </c>
      <c r="L47" s="18">
        <f>IF(ISNUMBER(J47), $B64 * K47, "")</f>
        <v>-8401.2219959266913</v>
      </c>
      <c r="M47" s="31">
        <v>9.2200000000000006</v>
      </c>
      <c r="N47" s="32">
        <f t="shared" si="17"/>
        <v>-6.1099796334012184E-2</v>
      </c>
      <c r="O47" s="18">
        <f>IF(ISNUMBER(M47), $B64 * N47, "")</f>
        <v>-9164.9694501018275</v>
      </c>
      <c r="Q47" s="161"/>
      <c r="R47" s="161"/>
      <c r="S47" s="161"/>
    </row>
    <row r="48" spans="1:19" ht="17.25" customHeight="1" thickBot="1">
      <c r="A48" s="111" t="s">
        <v>143</v>
      </c>
      <c r="B48" s="112">
        <v>4.5199999999999996</v>
      </c>
      <c r="C48" s="71">
        <v>4.87238979E-2</v>
      </c>
      <c r="D48" s="20">
        <v>4.47</v>
      </c>
      <c r="E48" s="21">
        <f t="shared" si="14"/>
        <v>-1.1061946902654829E-2</v>
      </c>
      <c r="F48" s="22">
        <f>IF(ISNUMBER(D48), $B64 * E48, "")</f>
        <v>-1659.2920353982242</v>
      </c>
      <c r="G48" s="30">
        <v>4.41</v>
      </c>
      <c r="H48" s="21">
        <f t="shared" si="15"/>
        <v>-2.4336283185840586E-2</v>
      </c>
      <c r="I48" s="95">
        <f>IF(ISNUMBER(G48), $B64 * H48, "")</f>
        <v>-3650.4424778760881</v>
      </c>
      <c r="J48" s="20">
        <v>4.41</v>
      </c>
      <c r="K48" s="21">
        <f t="shared" si="16"/>
        <v>-2.4336283185840586E-2</v>
      </c>
      <c r="L48" s="22">
        <f>IF(ISNUMBER(J48), $B64 * K48, "")</f>
        <v>-3650.4424778760881</v>
      </c>
      <c r="M48" s="30">
        <v>4.4400000000000004</v>
      </c>
      <c r="N48" s="21">
        <f t="shared" si="17"/>
        <v>-1.7699115044247607E-2</v>
      </c>
      <c r="O48" s="22">
        <f>IF(ISNUMBER(M48), $B64 * N48, "")</f>
        <v>-2654.8672566371411</v>
      </c>
      <c r="Q48" s="161"/>
      <c r="R48" s="161"/>
      <c r="S48" s="161"/>
    </row>
    <row r="49" spans="1:19" ht="17.25" customHeight="1" thickBot="1">
      <c r="A49" s="109" t="s">
        <v>230</v>
      </c>
      <c r="B49" s="113">
        <v>42.4</v>
      </c>
      <c r="C49" s="73">
        <v>3.9215686299999997E-2</v>
      </c>
      <c r="D49" s="96">
        <v>44.1</v>
      </c>
      <c r="E49" s="97">
        <f>IF(ISNUMBER(D49), (D49 - $B49) / $B49, "")</f>
        <v>4.0094339622641577E-2</v>
      </c>
      <c r="F49" s="98">
        <f>IF(ISNUMBER(D49), $B64 * E49, "")</f>
        <v>6014.1509433962365</v>
      </c>
      <c r="G49" s="99">
        <v>42.5</v>
      </c>
      <c r="H49" s="97">
        <f>IF(ISNUMBER(G49), (G49 - $B49) / $B49, "")</f>
        <v>2.3584905660377696E-3</v>
      </c>
      <c r="I49" s="100">
        <f>IF(ISNUMBER(G49), $B64 * H49, "")</f>
        <v>353.77358490566542</v>
      </c>
      <c r="J49" s="96">
        <v>42.5</v>
      </c>
      <c r="K49" s="97">
        <f>IF(ISNUMBER(J49), (J49 - $B49) / $B49, "")</f>
        <v>2.3584905660377696E-3</v>
      </c>
      <c r="L49" s="98">
        <f>IF(ISNUMBER(J49), $B64 * K49, "")</f>
        <v>353.77358490566542</v>
      </c>
      <c r="M49" s="99">
        <v>43.1</v>
      </c>
      <c r="N49" s="97">
        <f>IF(ISNUMBER(M49), (M49 - $B49) / $B49, "")</f>
        <v>1.650943396226422E-2</v>
      </c>
      <c r="O49" s="98">
        <f>IF(ISNUMBER(M49), $B64 * N49, "")</f>
        <v>2476.415094339633</v>
      </c>
      <c r="Q49" s="161"/>
      <c r="R49" s="161"/>
      <c r="S49" s="161"/>
    </row>
    <row r="50" spans="1:19" ht="17.25" customHeight="1" thickBot="1">
      <c r="A50" s="109" t="s">
        <v>195</v>
      </c>
      <c r="B50" s="110">
        <v>6.9</v>
      </c>
      <c r="C50" s="70">
        <v>2.8315946299999999E-2</v>
      </c>
      <c r="D50" s="15">
        <v>6.86</v>
      </c>
      <c r="E50" s="32">
        <f t="shared" ref="E50:E53" si="18">IF(ISNUMBER(D50), (D50 - $B50) / $B50, "")</f>
        <v>-5.7971014492753676E-3</v>
      </c>
      <c r="F50" s="18">
        <f>IF(ISNUMBER(D50), $B64 * E50, "")</f>
        <v>-869.56521739130517</v>
      </c>
      <c r="G50" s="31">
        <v>6.82</v>
      </c>
      <c r="H50" s="32">
        <f t="shared" ref="H50:H53" si="19">IF(ISNUMBER(G50), (G50 - $B50) / $B50, "")</f>
        <v>-1.1594202898550735E-2</v>
      </c>
      <c r="I50" s="91">
        <f>IF(ISNUMBER(G50), $B64 * H50, "")</f>
        <v>-1739.1304347826103</v>
      </c>
      <c r="J50" s="15">
        <v>6.82</v>
      </c>
      <c r="K50" s="32">
        <f t="shared" ref="K50:K53" si="20">IF(ISNUMBER(J50), (J50 - $B50) / $B50, "")</f>
        <v>-1.1594202898550735E-2</v>
      </c>
      <c r="L50" s="18">
        <f>IF(ISNUMBER(J50), $B64 * K50, "")</f>
        <v>-1739.1304347826103</v>
      </c>
      <c r="M50" s="31">
        <v>6.88</v>
      </c>
      <c r="N50" s="32">
        <f t="shared" ref="N50:N53" si="21">IF(ISNUMBER(M50), (M50 - $B50) / $B50, "")</f>
        <v>-2.898550724637748E-3</v>
      </c>
      <c r="O50" s="18">
        <f>IF(ISNUMBER(M50), $B64 * N50, "")</f>
        <v>-434.78260869566219</v>
      </c>
      <c r="Q50" s="161"/>
      <c r="R50" s="161"/>
      <c r="S50" s="161"/>
    </row>
    <row r="51" spans="1:19" ht="17.25" customHeight="1" thickBot="1">
      <c r="A51" s="109" t="s">
        <v>200</v>
      </c>
      <c r="B51" s="110">
        <v>7.18</v>
      </c>
      <c r="C51" s="70">
        <v>2.71816881E-2</v>
      </c>
      <c r="D51" s="15">
        <v>7.05</v>
      </c>
      <c r="E51" s="32">
        <f t="shared" si="18"/>
        <v>-1.8105849582172689E-2</v>
      </c>
      <c r="F51" s="18">
        <f>IF(ISNUMBER(D51), $B64 * E51, "")</f>
        <v>-2715.8774373259034</v>
      </c>
      <c r="G51" s="31">
        <v>7.04</v>
      </c>
      <c r="H51" s="32">
        <f t="shared" si="19"/>
        <v>-1.9498607242339788E-2</v>
      </c>
      <c r="I51" s="91">
        <f>IF(ISNUMBER(G51), $B64 * H51, "")</f>
        <v>-2924.7910863509683</v>
      </c>
      <c r="J51" s="15">
        <v>7.04</v>
      </c>
      <c r="K51" s="32">
        <f t="shared" si="20"/>
        <v>-1.9498607242339788E-2</v>
      </c>
      <c r="L51" s="18">
        <f>IF(ISNUMBER(J51), $B64 * K51, "")</f>
        <v>-2924.7910863509683</v>
      </c>
      <c r="M51" s="31">
        <v>7.05</v>
      </c>
      <c r="N51" s="32">
        <f t="shared" si="21"/>
        <v>-1.8105849582172689E-2</v>
      </c>
      <c r="O51" s="18">
        <f>IF(ISNUMBER(M51), $B64 * N51, "")</f>
        <v>-2715.8774373259034</v>
      </c>
      <c r="Q51" s="161"/>
      <c r="R51" s="161"/>
      <c r="S51" s="161"/>
    </row>
    <row r="52" spans="1:19" ht="17.25" customHeight="1" thickBot="1">
      <c r="A52" s="109" t="s">
        <v>338</v>
      </c>
      <c r="B52" s="110">
        <v>5.19</v>
      </c>
      <c r="C52" s="70">
        <v>2.36686391E-2</v>
      </c>
      <c r="D52" s="15">
        <v>5.23</v>
      </c>
      <c r="E52" s="32">
        <f t="shared" si="18"/>
        <v>7.7071290944123374E-3</v>
      </c>
      <c r="F52" s="18">
        <f>IF(ISNUMBER(D52), $B64 * E52, "")</f>
        <v>1156.0693641618507</v>
      </c>
      <c r="G52" s="31">
        <v>5.16</v>
      </c>
      <c r="H52" s="32">
        <f t="shared" si="19"/>
        <v>-5.780346820809296E-3</v>
      </c>
      <c r="I52" s="91">
        <f>IF(ISNUMBER(G52), $B64 * H52, "")</f>
        <v>-867.05202312139443</v>
      </c>
      <c r="J52" s="15">
        <v>5.16</v>
      </c>
      <c r="K52" s="32">
        <f t="shared" si="20"/>
        <v>-5.780346820809296E-3</v>
      </c>
      <c r="L52" s="18">
        <f>IF(ISNUMBER(J52), $B64 * K52, "")</f>
        <v>-867.05202312139443</v>
      </c>
      <c r="M52" s="31">
        <v>5.16</v>
      </c>
      <c r="N52" s="32">
        <f t="shared" si="21"/>
        <v>-5.780346820809296E-3</v>
      </c>
      <c r="O52" s="18">
        <f>IF(ISNUMBER(M52), $B64 * N52, "")</f>
        <v>-867.05202312139443</v>
      </c>
      <c r="Q52" s="33"/>
      <c r="R52" s="33"/>
    </row>
    <row r="53" spans="1:19" ht="17.25" customHeight="1" thickBot="1">
      <c r="A53" s="114" t="s">
        <v>141</v>
      </c>
      <c r="B53" s="115">
        <v>3.49</v>
      </c>
      <c r="C53" s="72">
        <v>2.3460410599999999E-2</v>
      </c>
      <c r="D53" s="24">
        <v>3.54</v>
      </c>
      <c r="E53" s="25">
        <f t="shared" si="18"/>
        <v>1.4326647564469863E-2</v>
      </c>
      <c r="F53" s="94">
        <f>IF(ISNUMBER(D53), $B64 * E53, "")</f>
        <v>2148.9971346704792</v>
      </c>
      <c r="G53" s="92">
        <v>3.6</v>
      </c>
      <c r="H53" s="25">
        <f t="shared" si="19"/>
        <v>3.1518624641833776E-2</v>
      </c>
      <c r="I53" s="93">
        <f>IF(ISNUMBER(G53), $B64 * H53, "")</f>
        <v>4727.7936962750664</v>
      </c>
      <c r="J53" s="24">
        <v>3.6</v>
      </c>
      <c r="K53" s="25">
        <f t="shared" si="20"/>
        <v>3.1518624641833776E-2</v>
      </c>
      <c r="L53" s="94">
        <f>IF(ISNUMBER(J53), $B64 * K53, "")</f>
        <v>4727.7936962750664</v>
      </c>
      <c r="M53" s="92">
        <v>3.51</v>
      </c>
      <c r="N53" s="25">
        <f t="shared" si="21"/>
        <v>5.7306590257878431E-3</v>
      </c>
      <c r="O53" s="94">
        <f>IF(ISNUMBER(M53), $B64 * N53, "")</f>
        <v>859.59885386817643</v>
      </c>
      <c r="Q53" s="170"/>
      <c r="R53" s="171"/>
      <c r="S53" s="172"/>
    </row>
    <row r="54" spans="1:19" ht="17.25" customHeight="1">
      <c r="A54" s="107" t="s">
        <v>185</v>
      </c>
      <c r="B54" s="108">
        <v>32.700000000000003</v>
      </c>
      <c r="C54" s="69">
        <v>1.8691588799999999E-2</v>
      </c>
      <c r="D54" s="13">
        <v>33.1</v>
      </c>
      <c r="E54" s="14">
        <f>IF(ISNUMBER(D54), (D54 - $B54) / $B54, "")</f>
        <v>1.2232415902140628E-2</v>
      </c>
      <c r="F54" s="16">
        <f>IF(ISNUMBER(D54), $B64 * E54, "")</f>
        <v>1834.8623853210943</v>
      </c>
      <c r="G54" s="29">
        <v>32.5</v>
      </c>
      <c r="H54" s="14">
        <f>IF(ISNUMBER(G54), (G54 - $B54) / $B54, "")</f>
        <v>-6.1162079510704232E-3</v>
      </c>
      <c r="I54" s="90">
        <f>IF(ISNUMBER(G54), $B64 * H54, "")</f>
        <v>-917.43119266056351</v>
      </c>
      <c r="J54" s="13">
        <v>32.5</v>
      </c>
      <c r="K54" s="14">
        <f>IF(ISNUMBER(J54), (J54 - $B54) / $B54, "")</f>
        <v>-6.1162079510704232E-3</v>
      </c>
      <c r="L54" s="16">
        <f>IF(ISNUMBER(J54), $B64 * K54, "")</f>
        <v>-917.43119266056351</v>
      </c>
      <c r="M54" s="29">
        <v>32.9</v>
      </c>
      <c r="N54" s="14">
        <f>IF(ISNUMBER(M54), (M54 - $B54) / $B54, "")</f>
        <v>6.1162079510702055E-3</v>
      </c>
      <c r="O54" s="16">
        <f>IF(ISNUMBER(M54), $B64 * N54, "")</f>
        <v>917.43119266053077</v>
      </c>
      <c r="Q54" s="173"/>
      <c r="R54" s="174"/>
      <c r="S54" s="175"/>
    </row>
    <row r="55" spans="1:19" ht="17.25" customHeight="1" thickBot="1">
      <c r="A55" s="109" t="s">
        <v>210</v>
      </c>
      <c r="B55" s="110">
        <v>66.3</v>
      </c>
      <c r="C55" s="70">
        <v>1.6871165600000002E-2</v>
      </c>
      <c r="D55" s="15">
        <v>79.400000000000006</v>
      </c>
      <c r="E55" s="32">
        <f t="shared" ref="E55:E58" si="22">IF(ISNUMBER(D55), (D55 - $B55) / $B55, "")</f>
        <v>0.19758672699849184</v>
      </c>
      <c r="F55" s="18">
        <f>IF(ISNUMBER(D55), $B64 * E55, "")</f>
        <v>29638.009049773776</v>
      </c>
      <c r="G55" s="31">
        <v>72</v>
      </c>
      <c r="H55" s="32">
        <f t="shared" ref="H55:H58" si="23">IF(ISNUMBER(G55), (G55 - $B55) / $B55, "")</f>
        <v>8.5972850678733073E-2</v>
      </c>
      <c r="I55" s="91">
        <f>IF(ISNUMBER(G55), $B64 * H55, "")</f>
        <v>12895.927601809961</v>
      </c>
      <c r="J55" s="15">
        <v>72</v>
      </c>
      <c r="K55" s="32">
        <f t="shared" ref="K55:K58" si="24">IF(ISNUMBER(J55), (J55 - $B55) / $B55, "")</f>
        <v>8.5972850678733073E-2</v>
      </c>
      <c r="L55" s="18">
        <f>IF(ISNUMBER(J55), $B64 * K55, "")</f>
        <v>12895.927601809961</v>
      </c>
      <c r="M55" s="31">
        <v>70.900000000000006</v>
      </c>
      <c r="N55" s="32">
        <f t="shared" ref="N55:N58" si="25">IF(ISNUMBER(M55), (M55 - $B55) / $B55, "")</f>
        <v>6.9381598793363627E-2</v>
      </c>
      <c r="O55" s="18">
        <f>IF(ISNUMBER(M55), $B64 * N55, "")</f>
        <v>10407.239819004544</v>
      </c>
      <c r="Q55" s="176"/>
      <c r="R55" s="177"/>
      <c r="S55" s="178"/>
    </row>
    <row r="56" spans="1:19" ht="17.25" customHeight="1" thickBot="1">
      <c r="A56" s="109" t="s">
        <v>118</v>
      </c>
      <c r="B56" s="110">
        <v>6.84</v>
      </c>
      <c r="C56" s="70">
        <v>1.48367953E-2</v>
      </c>
      <c r="D56" s="15">
        <v>6.87</v>
      </c>
      <c r="E56" s="32">
        <f t="shared" si="22"/>
        <v>4.3859649122807379E-3</v>
      </c>
      <c r="F56" s="18">
        <f>IF(ISNUMBER(D56), $B64 * E56, "")</f>
        <v>657.89473684211066</v>
      </c>
      <c r="G56" s="31">
        <v>6.83</v>
      </c>
      <c r="H56" s="32">
        <f t="shared" si="23"/>
        <v>-1.4619883040935362E-3</v>
      </c>
      <c r="I56" s="91">
        <f>IF(ISNUMBER(G56), $B64 * H56, "")</f>
        <v>-219.29824561403044</v>
      </c>
      <c r="J56" s="15">
        <v>6.83</v>
      </c>
      <c r="K56" s="32">
        <f t="shared" si="24"/>
        <v>-1.4619883040935362E-3</v>
      </c>
      <c r="L56" s="18">
        <f>IF(ISNUMBER(J56), $B64 * K56, "")</f>
        <v>-219.29824561403044</v>
      </c>
      <c r="M56" s="31">
        <v>6.85</v>
      </c>
      <c r="N56" s="32">
        <f t="shared" si="25"/>
        <v>1.4619883040935362E-3</v>
      </c>
      <c r="O56" s="18">
        <f>IF(ISNUMBER(M56), $B64 * N56, "")</f>
        <v>219.29824561403044</v>
      </c>
      <c r="Q56" s="161"/>
      <c r="R56" s="161"/>
      <c r="S56" s="161"/>
    </row>
    <row r="57" spans="1:19" ht="17.25" customHeight="1" thickBot="1">
      <c r="A57" s="109" t="s">
        <v>224</v>
      </c>
      <c r="B57" s="110">
        <v>21.7</v>
      </c>
      <c r="C57" s="70">
        <v>1.4018691600000001E-2</v>
      </c>
      <c r="D57" s="15">
        <v>21.8</v>
      </c>
      <c r="E57" s="32">
        <f t="shared" si="22"/>
        <v>4.608294930875642E-3</v>
      </c>
      <c r="F57" s="18">
        <f>IF(ISNUMBER(D57), $B64 * E57, "")</f>
        <v>691.24423963134632</v>
      </c>
      <c r="G57" s="31">
        <v>21.6</v>
      </c>
      <c r="H57" s="32">
        <f t="shared" si="23"/>
        <v>-4.608294930875478E-3</v>
      </c>
      <c r="I57" s="91">
        <f>IF(ISNUMBER(G57), $B64 * H57, "")</f>
        <v>-691.24423963132165</v>
      </c>
      <c r="J57" s="15">
        <v>21.6</v>
      </c>
      <c r="K57" s="32">
        <f t="shared" si="24"/>
        <v>-4.608294930875478E-3</v>
      </c>
      <c r="L57" s="18">
        <f>IF(ISNUMBER(J57), $B64 * K57, "")</f>
        <v>-691.24423963132165</v>
      </c>
      <c r="M57" s="31">
        <v>21.7</v>
      </c>
      <c r="N57" s="32">
        <f t="shared" si="25"/>
        <v>0</v>
      </c>
      <c r="O57" s="18">
        <f>IF(ISNUMBER(M57), $B64 * N57, "")</f>
        <v>0</v>
      </c>
      <c r="Q57" s="156"/>
      <c r="R57" s="156"/>
      <c r="S57" s="156"/>
    </row>
    <row r="58" spans="1:19" ht="17.25" customHeight="1" thickBot="1">
      <c r="A58" s="111" t="s">
        <v>56</v>
      </c>
      <c r="B58" s="112">
        <v>43.9</v>
      </c>
      <c r="C58" s="71">
        <v>1.15207373E-2</v>
      </c>
      <c r="D58" s="20">
        <v>44</v>
      </c>
      <c r="E58" s="21">
        <f t="shared" si="22"/>
        <v>2.2779043280182557E-3</v>
      </c>
      <c r="F58" s="22">
        <f>IF(ISNUMBER(D58), $B64 * E58, "")</f>
        <v>341.68564920273838</v>
      </c>
      <c r="G58" s="30">
        <v>44.1</v>
      </c>
      <c r="H58" s="21">
        <f t="shared" si="23"/>
        <v>4.5558086560365113E-3</v>
      </c>
      <c r="I58" s="95">
        <f>IF(ISNUMBER(G58), $B64 * H58, "")</f>
        <v>683.37129840547675</v>
      </c>
      <c r="J58" s="20">
        <v>44.1</v>
      </c>
      <c r="K58" s="21">
        <f t="shared" si="24"/>
        <v>4.5558086560365113E-3</v>
      </c>
      <c r="L58" s="22">
        <f>IF(ISNUMBER(J58), $B64 * K58, "")</f>
        <v>683.37129840547675</v>
      </c>
      <c r="M58" s="30">
        <v>44.1</v>
      </c>
      <c r="N58" s="21">
        <f t="shared" si="25"/>
        <v>4.5558086560365113E-3</v>
      </c>
      <c r="O58" s="22">
        <f>IF(ISNUMBER(M58), $B64 * N58, "")</f>
        <v>683.37129840547675</v>
      </c>
      <c r="Q58" s="156"/>
      <c r="R58" s="156"/>
      <c r="S58" s="156"/>
    </row>
    <row r="59" spans="1:19" ht="17.25" customHeight="1" thickBot="1">
      <c r="A59" s="109" t="s">
        <v>155</v>
      </c>
      <c r="B59" s="113">
        <v>30.7</v>
      </c>
      <c r="C59" s="73">
        <v>9.8684211000000001E-3</v>
      </c>
      <c r="D59" s="96">
        <v>30.7</v>
      </c>
      <c r="E59" s="97">
        <f>IF(ISNUMBER(D59), (D59 - $B59) / $B59, "")</f>
        <v>0</v>
      </c>
      <c r="F59" s="98">
        <f>IF(ISNUMBER(D59), $B64 * E59, "")</f>
        <v>0</v>
      </c>
      <c r="G59" s="99">
        <v>30.8</v>
      </c>
      <c r="H59" s="97">
        <f>IF(ISNUMBER(G59), (G59 - $B59) / $B59, "")</f>
        <v>3.2573289902280596E-3</v>
      </c>
      <c r="I59" s="100">
        <f>IF(ISNUMBER(G59), $B64 * H59, "")</f>
        <v>488.59934853420896</v>
      </c>
      <c r="J59" s="96">
        <v>30.8</v>
      </c>
      <c r="K59" s="97">
        <f>IF(ISNUMBER(J59), (J59 - $B59) / $B59, "")</f>
        <v>3.2573289902280596E-3</v>
      </c>
      <c r="L59" s="98">
        <f>IF(ISNUMBER(J59), $B64 * K59, "")</f>
        <v>488.59934853420896</v>
      </c>
      <c r="M59" s="99">
        <v>31.1</v>
      </c>
      <c r="N59" s="97">
        <f>IF(ISNUMBER(M59), (M59 - $B59) / $B59, "")</f>
        <v>1.3029315960912122E-2</v>
      </c>
      <c r="O59" s="98">
        <f>IF(ISNUMBER(M59), $B64 * N59, "")</f>
        <v>1954.3973941368183</v>
      </c>
      <c r="Q59" s="161"/>
      <c r="R59" s="161"/>
      <c r="S59" s="161"/>
    </row>
    <row r="60" spans="1:19" ht="17.25" customHeight="1" thickBot="1">
      <c r="A60" s="109" t="s">
        <v>124</v>
      </c>
      <c r="B60" s="110">
        <v>33.6</v>
      </c>
      <c r="C60" s="70">
        <v>9.0090090000000001E-3</v>
      </c>
      <c r="D60" s="15">
        <v>33.799999999999997</v>
      </c>
      <c r="E60" s="32">
        <f t="shared" ref="E60:E63" si="26">IF(ISNUMBER(D60), (D60 - $B60) / $B60, "")</f>
        <v>5.9523809523808254E-3</v>
      </c>
      <c r="F60" s="18">
        <f>IF(ISNUMBER(D60), $B64 * E60, "")</f>
        <v>892.85714285712379</v>
      </c>
      <c r="G60" s="31">
        <v>33.4</v>
      </c>
      <c r="H60" s="32">
        <f t="shared" ref="H60:H63" si="27">IF(ISNUMBER(G60), (G60 - $B60) / $B60, "")</f>
        <v>-5.9523809523810371E-3</v>
      </c>
      <c r="I60" s="91">
        <f>IF(ISNUMBER(G60), $B64 * H60, "")</f>
        <v>-892.85714285715551</v>
      </c>
      <c r="J60" s="15">
        <v>33.4</v>
      </c>
      <c r="K60" s="32">
        <f t="shared" ref="K60:K63" si="28">IF(ISNUMBER(J60), (J60 - $B60) / $B60, "")</f>
        <v>-5.9523809523810371E-3</v>
      </c>
      <c r="L60" s="18">
        <f>IF(ISNUMBER(J60), $B64 * K60, "")</f>
        <v>-892.85714285715551</v>
      </c>
      <c r="M60" s="31">
        <v>33.700000000000003</v>
      </c>
      <c r="N60" s="32">
        <f t="shared" ref="N60:N63" si="29">IF(ISNUMBER(M60), (M60 - $B60) / $B60, "")</f>
        <v>2.9761904761905185E-3</v>
      </c>
      <c r="O60" s="18">
        <f>IF(ISNUMBER(M60), $B64 * N60, "")</f>
        <v>446.42857142857775</v>
      </c>
      <c r="Q60" s="161"/>
      <c r="R60" s="161"/>
      <c r="S60" s="161"/>
    </row>
    <row r="61" spans="1:19" ht="17.25" customHeight="1" thickBot="1">
      <c r="A61" s="109" t="s">
        <v>71</v>
      </c>
      <c r="B61" s="110">
        <v>11.9</v>
      </c>
      <c r="C61" s="70">
        <v>8.4745762999999998E-3</v>
      </c>
      <c r="D61" s="15">
        <v>12</v>
      </c>
      <c r="E61" s="32">
        <f t="shared" si="26"/>
        <v>8.4033613445377853E-3</v>
      </c>
      <c r="F61" s="18">
        <f>IF(ISNUMBER(D61), $B64 * E61, "")</f>
        <v>1260.5042016806678</v>
      </c>
      <c r="G61" s="31">
        <v>12</v>
      </c>
      <c r="H61" s="32">
        <f t="shared" si="27"/>
        <v>8.4033613445377853E-3</v>
      </c>
      <c r="I61" s="91">
        <f>IF(ISNUMBER(G61), $B64 * H61, "")</f>
        <v>1260.5042016806678</v>
      </c>
      <c r="J61" s="15">
        <v>12</v>
      </c>
      <c r="K61" s="32">
        <f t="shared" si="28"/>
        <v>8.4033613445377853E-3</v>
      </c>
      <c r="L61" s="18">
        <f>IF(ISNUMBER(J61), $B64 * K61, "")</f>
        <v>1260.5042016806678</v>
      </c>
      <c r="M61" s="31">
        <v>12</v>
      </c>
      <c r="N61" s="32">
        <f t="shared" si="29"/>
        <v>8.4033613445377853E-3</v>
      </c>
      <c r="O61" s="18">
        <f>IF(ISNUMBER(M61), $B64 * N61, "")</f>
        <v>1260.5042016806678</v>
      </c>
      <c r="Q61" s="161"/>
      <c r="R61" s="161"/>
      <c r="S61" s="161"/>
    </row>
    <row r="62" spans="1:19" ht="17.25" customHeight="1">
      <c r="A62" s="109" t="s">
        <v>145</v>
      </c>
      <c r="B62" s="110">
        <v>72.8</v>
      </c>
      <c r="C62" s="70">
        <v>4.1379310000000001E-3</v>
      </c>
      <c r="D62" s="15">
        <v>73.2</v>
      </c>
      <c r="E62" s="32">
        <f t="shared" si="26"/>
        <v>5.494505494505573E-3</v>
      </c>
      <c r="F62" s="18">
        <f>IF(ISNUMBER(D62), $B64 * E62, "")</f>
        <v>824.17582417583594</v>
      </c>
      <c r="G62" s="31">
        <v>73.400000000000006</v>
      </c>
      <c r="H62" s="32">
        <f t="shared" si="27"/>
        <v>8.2417582417583599E-3</v>
      </c>
      <c r="I62" s="91">
        <f>IF(ISNUMBER(G62), $B64 * H62, "")</f>
        <v>1236.263736263754</v>
      </c>
      <c r="J62" s="15">
        <v>73.400000000000006</v>
      </c>
      <c r="K62" s="32">
        <f t="shared" si="28"/>
        <v>8.2417582417583599E-3</v>
      </c>
      <c r="L62" s="18">
        <f>IF(ISNUMBER(J62), $B64 * K62, "")</f>
        <v>1236.263736263754</v>
      </c>
      <c r="M62" s="31">
        <v>73.5</v>
      </c>
      <c r="N62" s="32">
        <f t="shared" si="29"/>
        <v>9.6153846153846541E-3</v>
      </c>
      <c r="O62" s="18">
        <f>IF(ISNUMBER(M62), $B64 * N62, "")</f>
        <v>1442.3076923076981</v>
      </c>
      <c r="Q62" s="183"/>
      <c r="R62" s="184"/>
      <c r="S62" s="185"/>
    </row>
    <row r="63" spans="1:19" ht="17.25" customHeight="1" thickBot="1">
      <c r="A63" s="114" t="s">
        <v>350</v>
      </c>
      <c r="B63" s="115">
        <v>8.14</v>
      </c>
      <c r="C63" s="72">
        <v>3.6991368999999999E-3</v>
      </c>
      <c r="D63" s="24">
        <v>8</v>
      </c>
      <c r="E63" s="25">
        <f t="shared" si="26"/>
        <v>-1.7199017199017268E-2</v>
      </c>
      <c r="F63" s="94">
        <f>IF(ISNUMBER(D63), $B64 * E63, "")</f>
        <v>-2579.8525798525902</v>
      </c>
      <c r="G63" s="92">
        <v>7.86</v>
      </c>
      <c r="H63" s="25">
        <f t="shared" si="27"/>
        <v>-3.4398034398034426E-2</v>
      </c>
      <c r="I63" s="93">
        <f>IF(ISNUMBER(G63), $B64 * H63, "")</f>
        <v>-5159.7051597051641</v>
      </c>
      <c r="J63" s="24">
        <v>7.86</v>
      </c>
      <c r="K63" s="25">
        <f t="shared" si="28"/>
        <v>-3.4398034398034426E-2</v>
      </c>
      <c r="L63" s="94">
        <f>IF(ISNUMBER(J63), $B64 * K63, "")</f>
        <v>-5159.7051597051641</v>
      </c>
      <c r="M63" s="92">
        <v>7.93</v>
      </c>
      <c r="N63" s="25">
        <f t="shared" si="29"/>
        <v>-2.5798525798525901E-2</v>
      </c>
      <c r="O63" s="94">
        <f>IF(ISNUMBER(M63), $B64 * N63, "")</f>
        <v>-3869.7788697788851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8.7981271079033019E-3</v>
      </c>
      <c r="F64" s="28">
        <f>SUM(F44:F63)</f>
        <v>26394.381323709902</v>
      </c>
      <c r="G64" s="26" t="s">
        <v>261</v>
      </c>
      <c r="H64" s="27">
        <f>IF(COUNT(H44:H63), SUM(H44:H63) / COUNT(H44:H63), 0)</f>
        <v>-7.5388753269950469E-3</v>
      </c>
      <c r="I64" s="28">
        <f>SUM(I44:I63)</f>
        <v>-22616.625980985147</v>
      </c>
      <c r="J64" s="26" t="s">
        <v>261</v>
      </c>
      <c r="K64" s="27">
        <f>IF(COUNT(K44:K63), SUM(K44:K63) / COUNT(K44:K63), 0)</f>
        <v>-7.5388753269950469E-3</v>
      </c>
      <c r="L64" s="28">
        <f>SUM(L44:L63)</f>
        <v>-22616.625980985147</v>
      </c>
      <c r="M64" s="26" t="s">
        <v>261</v>
      </c>
      <c r="N64" s="27">
        <f>IF(COUNT(N44:N63), SUM(N44:N63) / COUNT(N44:N63), 0)</f>
        <v>-6.0708445948719266E-3</v>
      </c>
      <c r="O64" s="28">
        <f>SUM(O44:O63)</f>
        <v>-18212.533784615789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2022-12-10(토) 오전 00:00</v>
      </c>
      <c r="C69" s="199"/>
      <c r="D69" s="158" t="str">
        <f>TEXT($G$1, "[$-ko-KR]yyyy-mm-dd(ddd) ") &amp; "오후 14:00"</f>
        <v>2022-12-10(토) 오후 14:00</v>
      </c>
      <c r="E69" s="159"/>
      <c r="F69" s="160"/>
      <c r="G69" s="158" t="str">
        <f>TEXT($G$1, "[$-ko-KR]yyyy-mm-dd(ddd) ") &amp; "오후 19:00"</f>
        <v>2022-12-10(토) 오후 19:00</v>
      </c>
      <c r="H69" s="159"/>
      <c r="I69" s="160"/>
      <c r="J69" s="158" t="str">
        <f>TEXT($G$1, "[$-ko-KR]yyyy-mm-dd(ddd) ") &amp; "오후 21:00"</f>
        <v>2022-12-10(토) 오후 21:00</v>
      </c>
      <c r="K69" s="159"/>
      <c r="L69" s="160"/>
      <c r="M69" s="158" t="str">
        <f>TEXT($G$1+1, "[$-ko-KR]yyyy-mm-dd(ddd) ") &amp; "오전 00:00"</f>
        <v>2022-12-11(일)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167</v>
      </c>
      <c r="B71" s="108">
        <v>200</v>
      </c>
      <c r="C71" s="69">
        <v>1.52284264E-2</v>
      </c>
      <c r="D71" s="13">
        <v>200</v>
      </c>
      <c r="E71" s="14">
        <f>IF(ISNUMBER(D71), (D71 - $B71) / $B71, "")</f>
        <v>0</v>
      </c>
      <c r="F71" s="16">
        <f>IF(ISNUMBER(D71), $B91 * E71, "")</f>
        <v>0</v>
      </c>
      <c r="G71" s="29">
        <v>199</v>
      </c>
      <c r="H71" s="14">
        <f>IF(ISNUMBER(G71), (G71 - $B71) / $B71, "")</f>
        <v>-5.0000000000000001E-3</v>
      </c>
      <c r="I71" s="90">
        <f>IF(ISNUMBER(G71), $B91 * H71, "")</f>
        <v>-750</v>
      </c>
      <c r="J71" s="13">
        <v>199</v>
      </c>
      <c r="K71" s="14">
        <f>IF(ISNUMBER(J71), (J71 - $B71) / $B71, "")</f>
        <v>-5.0000000000000001E-3</v>
      </c>
      <c r="L71" s="16">
        <f>IF(ISNUMBER(J71), $B91 * K71, "")</f>
        <v>-750</v>
      </c>
      <c r="M71" s="29">
        <v>202</v>
      </c>
      <c r="N71" s="14">
        <f>IF(ISNUMBER(M71), (M71 - $B71) / $B71, "")</f>
        <v>0.01</v>
      </c>
      <c r="O71" s="16">
        <f>IF(ISNUMBER(M71), $B91 * N71, "")</f>
        <v>1500</v>
      </c>
      <c r="Q71" s="156"/>
      <c r="R71" s="156"/>
      <c r="S71" s="156"/>
    </row>
    <row r="72" spans="1:19" ht="17.25" thickBot="1">
      <c r="A72" s="109" t="s">
        <v>161</v>
      </c>
      <c r="B72" s="110">
        <v>355</v>
      </c>
      <c r="C72" s="70">
        <v>1.1396011399999999E-2</v>
      </c>
      <c r="D72" s="15">
        <v>365</v>
      </c>
      <c r="E72" s="32">
        <f t="shared" ref="E72:E75" si="30">IF(ISNUMBER(D72), (D72 - $B72) / $B72, "")</f>
        <v>2.8169014084507043E-2</v>
      </c>
      <c r="F72" s="18">
        <f>IF(ISNUMBER(D72), $B91 * E72, "")</f>
        <v>4225.3521126760561</v>
      </c>
      <c r="G72" s="31">
        <v>371</v>
      </c>
      <c r="H72" s="32">
        <f t="shared" ref="H72:H75" si="31">IF(ISNUMBER(G72), (G72 - $B72) / $B72, "")</f>
        <v>4.507042253521127E-2</v>
      </c>
      <c r="I72" s="91">
        <f>IF(ISNUMBER(G72), $B91 * H72, "")</f>
        <v>6760.5633802816901</v>
      </c>
      <c r="J72" s="15">
        <v>371</v>
      </c>
      <c r="K72" s="32">
        <f t="shared" ref="K72:K75" si="32">IF(ISNUMBER(J72), (J72 - $B72) / $B72, "")</f>
        <v>4.507042253521127E-2</v>
      </c>
      <c r="L72" s="18">
        <f>IF(ISNUMBER(J72), $B91 * K72, "")</f>
        <v>6760.5633802816901</v>
      </c>
      <c r="M72" s="31">
        <v>392</v>
      </c>
      <c r="N72" s="32">
        <f t="shared" ref="N72:N75" si="33">IF(ISNUMBER(M72), (M72 - $B72) / $B72, "")</f>
        <v>0.10422535211267606</v>
      </c>
      <c r="O72" s="18">
        <f>IF(ISNUMBER(M72), $B91 * N72, "")</f>
        <v>15633.802816901409</v>
      </c>
      <c r="Q72" s="156"/>
      <c r="R72" s="156"/>
      <c r="S72" s="156"/>
    </row>
    <row r="73" spans="1:19" ht="17.25" thickBot="1">
      <c r="A73" s="109" t="s">
        <v>244</v>
      </c>
      <c r="B73" s="110">
        <v>102</v>
      </c>
      <c r="C73" s="70">
        <v>9.9009900999999997E-3</v>
      </c>
      <c r="D73" s="15">
        <v>103</v>
      </c>
      <c r="E73" s="32">
        <f t="shared" si="30"/>
        <v>9.8039215686274508E-3</v>
      </c>
      <c r="F73" s="18">
        <f>IF(ISNUMBER(D73), $B91 * E73, "")</f>
        <v>1470.5882352941176</v>
      </c>
      <c r="G73" s="31">
        <v>103</v>
      </c>
      <c r="H73" s="32">
        <f t="shared" si="31"/>
        <v>9.8039215686274508E-3</v>
      </c>
      <c r="I73" s="91">
        <f>IF(ISNUMBER(G73), $B91 * H73, "")</f>
        <v>1470.5882352941176</v>
      </c>
      <c r="J73" s="15">
        <v>103</v>
      </c>
      <c r="K73" s="32">
        <f t="shared" si="32"/>
        <v>9.8039215686274508E-3</v>
      </c>
      <c r="L73" s="18">
        <f>IF(ISNUMBER(J73), $B91 * K73, "")</f>
        <v>1470.5882352941176</v>
      </c>
      <c r="M73" s="31">
        <v>105</v>
      </c>
      <c r="N73" s="32">
        <f t="shared" si="33"/>
        <v>2.9411764705882353E-2</v>
      </c>
      <c r="O73" s="18">
        <f>IF(ISNUMBER(M73), $B91 * N73, "")</f>
        <v>4411.7647058823532</v>
      </c>
      <c r="Q73" s="161"/>
      <c r="R73" s="161"/>
      <c r="S73" s="161"/>
    </row>
    <row r="74" spans="1:19" ht="17.25" thickBot="1">
      <c r="A74" s="109" t="s">
        <v>226</v>
      </c>
      <c r="B74" s="110">
        <v>235</v>
      </c>
      <c r="C74" s="70">
        <v>8.5836909999999992E-3</v>
      </c>
      <c r="D74" s="15">
        <v>234</v>
      </c>
      <c r="E74" s="32">
        <f t="shared" si="30"/>
        <v>-4.2553191489361703E-3</v>
      </c>
      <c r="F74" s="18">
        <f>IF(ISNUMBER(D74), $B91 * E74, "")</f>
        <v>-638.29787234042556</v>
      </c>
      <c r="G74" s="31">
        <v>236</v>
      </c>
      <c r="H74" s="32">
        <f t="shared" si="31"/>
        <v>4.2553191489361703E-3</v>
      </c>
      <c r="I74" s="91">
        <f>IF(ISNUMBER(G74), $B91 * H74, "")</f>
        <v>638.29787234042556</v>
      </c>
      <c r="J74" s="15">
        <v>236</v>
      </c>
      <c r="K74" s="32">
        <f t="shared" si="32"/>
        <v>4.2553191489361703E-3</v>
      </c>
      <c r="L74" s="18">
        <f>IF(ISNUMBER(J74), $B91 * K74, "")</f>
        <v>638.29787234042556</v>
      </c>
      <c r="M74" s="31">
        <v>239</v>
      </c>
      <c r="N74" s="32">
        <f t="shared" si="33"/>
        <v>1.7021276595744681E-2</v>
      </c>
      <c r="O74" s="18">
        <f>IF(ISNUMBER(M74), $B91 * N74, "")</f>
        <v>2553.1914893617022</v>
      </c>
      <c r="Q74" s="161"/>
      <c r="R74" s="161"/>
      <c r="S74" s="161"/>
    </row>
    <row r="75" spans="1:19" ht="17.25" thickBot="1">
      <c r="A75" s="111" t="s">
        <v>342</v>
      </c>
      <c r="B75" s="112">
        <v>142</v>
      </c>
      <c r="C75" s="71">
        <v>7.0921986000000003E-3</v>
      </c>
      <c r="D75" s="20">
        <v>140</v>
      </c>
      <c r="E75" s="21">
        <f t="shared" si="30"/>
        <v>-1.4084507042253521E-2</v>
      </c>
      <c r="F75" s="22">
        <f>IF(ISNUMBER(D75), $B91 * E75, "")</f>
        <v>-2112.676056338028</v>
      </c>
      <c r="G75" s="30">
        <v>140</v>
      </c>
      <c r="H75" s="21">
        <f t="shared" si="31"/>
        <v>-1.4084507042253521E-2</v>
      </c>
      <c r="I75" s="95">
        <f>IF(ISNUMBER(G75), $B91 * H75, "")</f>
        <v>-2112.676056338028</v>
      </c>
      <c r="J75" s="20">
        <v>140</v>
      </c>
      <c r="K75" s="21">
        <f t="shared" si="32"/>
        <v>-1.4084507042253521E-2</v>
      </c>
      <c r="L75" s="22">
        <f>IF(ISNUMBER(J75), $B91 * K75, "")</f>
        <v>-2112.676056338028</v>
      </c>
      <c r="M75" s="30">
        <v>141</v>
      </c>
      <c r="N75" s="21">
        <f t="shared" si="33"/>
        <v>-7.0422535211267607E-3</v>
      </c>
      <c r="O75" s="22">
        <f>IF(ISNUMBER(M75), $B91 * N75, "")</f>
        <v>-1056.338028169014</v>
      </c>
      <c r="Q75" s="161"/>
      <c r="R75" s="161"/>
      <c r="S75" s="161"/>
    </row>
    <row r="76" spans="1:19" ht="17.25" thickBot="1">
      <c r="A76" s="109" t="s">
        <v>183</v>
      </c>
      <c r="B76" s="113">
        <v>147</v>
      </c>
      <c r="C76" s="73">
        <v>6.8493151000000004E-3</v>
      </c>
      <c r="D76" s="96">
        <v>148</v>
      </c>
      <c r="E76" s="97">
        <f>IF(ISNUMBER(D76), (D76 - $B76) / $B76, "")</f>
        <v>6.8027210884353739E-3</v>
      </c>
      <c r="F76" s="98">
        <f>IF(ISNUMBER(D76), $B91 * E76, "")</f>
        <v>1020.408163265306</v>
      </c>
      <c r="G76" s="99">
        <v>148</v>
      </c>
      <c r="H76" s="97">
        <f>IF(ISNUMBER(G76), (G76 - $B76) / $B76, "")</f>
        <v>6.8027210884353739E-3</v>
      </c>
      <c r="I76" s="100">
        <f>IF(ISNUMBER(G76), $B91 * H76, "")</f>
        <v>1020.408163265306</v>
      </c>
      <c r="J76" s="96">
        <v>148</v>
      </c>
      <c r="K76" s="97">
        <f>IF(ISNUMBER(J76), (J76 - $B76) / $B76, "")</f>
        <v>6.8027210884353739E-3</v>
      </c>
      <c r="L76" s="98">
        <f>IF(ISNUMBER(J76), $B91 * K76, "")</f>
        <v>1020.408163265306</v>
      </c>
      <c r="M76" s="99">
        <v>147</v>
      </c>
      <c r="N76" s="97">
        <f>IF(ISNUMBER(M76), (M76 - $B76) / $B76, "")</f>
        <v>0</v>
      </c>
      <c r="O76" s="98">
        <f>IF(ISNUMBER(M76), $B91 * N76, "")</f>
        <v>0</v>
      </c>
      <c r="Q76" s="161"/>
      <c r="R76" s="161"/>
      <c r="S76" s="161"/>
    </row>
    <row r="77" spans="1:19" ht="17.25" thickBot="1">
      <c r="A77" s="109" t="s">
        <v>242</v>
      </c>
      <c r="B77" s="110">
        <v>462</v>
      </c>
      <c r="C77" s="70">
        <v>6.5359477000000001E-3</v>
      </c>
      <c r="D77" s="15">
        <v>461</v>
      </c>
      <c r="E77" s="32">
        <f t="shared" ref="E77:E80" si="34">IF(ISNUMBER(D77), (D77 - $B77) / $B77, "")</f>
        <v>-2.1645021645021645E-3</v>
      </c>
      <c r="F77" s="18">
        <f>IF(ISNUMBER(D77), $B91 * E77, "")</f>
        <v>-324.6753246753247</v>
      </c>
      <c r="G77" s="31">
        <v>461</v>
      </c>
      <c r="H77" s="32">
        <f t="shared" ref="H77:H80" si="35">IF(ISNUMBER(G77), (G77 - $B77) / $B77, "")</f>
        <v>-2.1645021645021645E-3</v>
      </c>
      <c r="I77" s="91">
        <f>IF(ISNUMBER(G77), $B91 * H77, "")</f>
        <v>-324.6753246753247</v>
      </c>
      <c r="J77" s="15">
        <v>461</v>
      </c>
      <c r="K77" s="32">
        <f t="shared" ref="K77:K80" si="36">IF(ISNUMBER(J77), (J77 - $B77) / $B77, "")</f>
        <v>-2.1645021645021645E-3</v>
      </c>
      <c r="L77" s="18">
        <f>IF(ISNUMBER(J77), $B91 * K77, "")</f>
        <v>-324.6753246753247</v>
      </c>
      <c r="M77" s="31">
        <v>461</v>
      </c>
      <c r="N77" s="32">
        <f t="shared" ref="N77:N80" si="37">IF(ISNUMBER(M77), (M77 - $B77) / $B77, "")</f>
        <v>-2.1645021645021645E-3</v>
      </c>
      <c r="O77" s="18">
        <f>IF(ISNUMBER(M77), $B91 * N77, "")</f>
        <v>-324.6753246753247</v>
      </c>
      <c r="Q77" s="161"/>
      <c r="R77" s="161"/>
      <c r="S77" s="161"/>
    </row>
    <row r="78" spans="1:19" ht="17.25" thickBot="1">
      <c r="A78" s="109" t="s">
        <v>332</v>
      </c>
      <c r="B78" s="110">
        <v>299</v>
      </c>
      <c r="C78" s="70">
        <v>3.3557047E-3</v>
      </c>
      <c r="D78" s="15">
        <v>305</v>
      </c>
      <c r="E78" s="32">
        <f t="shared" si="34"/>
        <v>2.0066889632107024E-2</v>
      </c>
      <c r="F78" s="18">
        <f>IF(ISNUMBER(D78), $B91 * E78, "")</f>
        <v>3010.0334448160534</v>
      </c>
      <c r="G78" s="31">
        <v>305</v>
      </c>
      <c r="H78" s="32">
        <f t="shared" si="35"/>
        <v>2.0066889632107024E-2</v>
      </c>
      <c r="I78" s="91">
        <f>IF(ISNUMBER(G78), $B91 * H78, "")</f>
        <v>3010.0334448160534</v>
      </c>
      <c r="J78" s="15">
        <v>305</v>
      </c>
      <c r="K78" s="32">
        <f t="shared" si="36"/>
        <v>2.0066889632107024E-2</v>
      </c>
      <c r="L78" s="18">
        <f>IF(ISNUMBER(J78), $B91 * K78, "")</f>
        <v>3010.0334448160534</v>
      </c>
      <c r="M78" s="31">
        <v>306</v>
      </c>
      <c r="N78" s="32">
        <f t="shared" si="37"/>
        <v>2.3411371237458192E-2</v>
      </c>
      <c r="O78" s="18">
        <f>IF(ISNUMBER(M78), $B91 * N78, "")</f>
        <v>3511.7056856187287</v>
      </c>
      <c r="Q78" s="161"/>
      <c r="R78" s="161"/>
      <c r="S78" s="161"/>
    </row>
    <row r="79" spans="1:19" ht="17.25" thickBot="1">
      <c r="A79" s="109" t="s">
        <v>234</v>
      </c>
      <c r="B79" s="110">
        <v>346</v>
      </c>
      <c r="C79" s="70">
        <v>2.8985507E-3</v>
      </c>
      <c r="D79" s="15">
        <v>347</v>
      </c>
      <c r="E79" s="32">
        <f t="shared" si="34"/>
        <v>2.8901734104046241E-3</v>
      </c>
      <c r="F79" s="18">
        <f>IF(ISNUMBER(D79), $B91 * E79, "")</f>
        <v>433.52601156069363</v>
      </c>
      <c r="G79" s="31">
        <v>344</v>
      </c>
      <c r="H79" s="32">
        <f t="shared" si="35"/>
        <v>-5.7803468208092483E-3</v>
      </c>
      <c r="I79" s="91">
        <f>IF(ISNUMBER(G79), $B91 * H79, "")</f>
        <v>-867.05202312138726</v>
      </c>
      <c r="J79" s="15">
        <v>344</v>
      </c>
      <c r="K79" s="32">
        <f t="shared" si="36"/>
        <v>-5.7803468208092483E-3</v>
      </c>
      <c r="L79" s="18">
        <f>IF(ISNUMBER(J79), $B91 * K79, "")</f>
        <v>-867.05202312138726</v>
      </c>
      <c r="M79" s="31">
        <v>346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14" t="s">
        <v>218</v>
      </c>
      <c r="B80" s="115">
        <v>351</v>
      </c>
      <c r="C80" s="72">
        <v>2.8571428999999999E-3</v>
      </c>
      <c r="D80" s="24">
        <v>355</v>
      </c>
      <c r="E80" s="25">
        <f t="shared" si="34"/>
        <v>1.1396011396011397E-2</v>
      </c>
      <c r="F80" s="94">
        <f>IF(ISNUMBER(D80), $B91 * E80, "")</f>
        <v>1709.4017094017095</v>
      </c>
      <c r="G80" s="92">
        <v>356</v>
      </c>
      <c r="H80" s="25">
        <f t="shared" si="35"/>
        <v>1.4245014245014245E-2</v>
      </c>
      <c r="I80" s="93">
        <f>IF(ISNUMBER(G80), $B91 * H80, "")</f>
        <v>2136.7521367521367</v>
      </c>
      <c r="J80" s="24">
        <v>356</v>
      </c>
      <c r="K80" s="25">
        <f t="shared" si="36"/>
        <v>1.4245014245014245E-2</v>
      </c>
      <c r="L80" s="94">
        <f>IF(ISNUMBER(J80), $B91 * K80, "")</f>
        <v>2136.7521367521367</v>
      </c>
      <c r="M80" s="92">
        <v>361</v>
      </c>
      <c r="N80" s="25">
        <f t="shared" si="37"/>
        <v>2.8490028490028491E-2</v>
      </c>
      <c r="O80" s="94">
        <f>IF(ISNUMBER(M80), $B91 * N80, "")</f>
        <v>4273.5042735042734</v>
      </c>
      <c r="Q80" s="170"/>
      <c r="R80" s="171"/>
      <c r="S80" s="172"/>
    </row>
    <row r="81" spans="1:19">
      <c r="A81" s="107" t="s">
        <v>165</v>
      </c>
      <c r="B81" s="108">
        <v>996</v>
      </c>
      <c r="C81" s="69">
        <v>2.0120723999999999E-3</v>
      </c>
      <c r="D81" s="13">
        <v>999</v>
      </c>
      <c r="E81" s="14">
        <f>IF(ISNUMBER(D81), (D81 - $B81) / $B81, "")</f>
        <v>3.0120481927710845E-3</v>
      </c>
      <c r="F81" s="16">
        <f>IF(ISNUMBER(D81), $B91 * E81, "")</f>
        <v>451.80722891566268</v>
      </c>
      <c r="G81" s="29">
        <v>999</v>
      </c>
      <c r="H81" s="14">
        <f>IF(ISNUMBER(G81), (G81 - $B81) / $B81, "")</f>
        <v>3.0120481927710845E-3</v>
      </c>
      <c r="I81" s="90">
        <f>IF(ISNUMBER(G81), $B91 * H81, "")</f>
        <v>451.80722891566268</v>
      </c>
      <c r="J81" s="13">
        <v>999</v>
      </c>
      <c r="K81" s="14">
        <f>IF(ISNUMBER(J81), (J81 - $B81) / $B81, "")</f>
        <v>3.0120481927710845E-3</v>
      </c>
      <c r="L81" s="16">
        <f>IF(ISNUMBER(J81), $B91 * K81, "")</f>
        <v>451.80722891566268</v>
      </c>
      <c r="M81" s="29">
        <v>1000</v>
      </c>
      <c r="N81" s="14">
        <f>IF(ISNUMBER(M81), (M81 - $B81) / $B81, "")</f>
        <v>4.0160642570281121E-3</v>
      </c>
      <c r="O81" s="16">
        <f>IF(ISNUMBER(M81), $B91 * N81, "")</f>
        <v>602.40963855421683</v>
      </c>
      <c r="Q81" s="173"/>
      <c r="R81" s="174"/>
      <c r="S81" s="175"/>
    </row>
    <row r="82" spans="1:19" ht="17.25" thickBot="1">
      <c r="A82" s="109" t="s">
        <v>216</v>
      </c>
      <c r="B82" s="110">
        <v>519</v>
      </c>
      <c r="C82" s="70">
        <v>1.9305018999999999E-3</v>
      </c>
      <c r="D82" s="15">
        <v>520</v>
      </c>
      <c r="E82" s="32">
        <f t="shared" ref="E82:E85" si="38">IF(ISNUMBER(D82), (D82 - $B82) / $B82, "")</f>
        <v>1.9267822736030828E-3</v>
      </c>
      <c r="F82" s="18">
        <f>IF(ISNUMBER(D82), $B91 * E82, "")</f>
        <v>289.01734104046244</v>
      </c>
      <c r="G82" s="31">
        <v>534</v>
      </c>
      <c r="H82" s="32">
        <f t="shared" ref="H82:H85" si="39">IF(ISNUMBER(G82), (G82 - $B82) / $B82, "")</f>
        <v>2.8901734104046242E-2</v>
      </c>
      <c r="I82" s="91">
        <f>IF(ISNUMBER(G82), $B91 * H82, "")</f>
        <v>4335.2601156069368</v>
      </c>
      <c r="J82" s="15">
        <v>534</v>
      </c>
      <c r="K82" s="32">
        <f t="shared" ref="K82:K85" si="40">IF(ISNUMBER(J82), (J82 - $B82) / $B82, "")</f>
        <v>2.8901734104046242E-2</v>
      </c>
      <c r="L82" s="18">
        <f>IF(ISNUMBER(J82), $B91 * K82, "")</f>
        <v>4335.2601156069368</v>
      </c>
      <c r="M82" s="31">
        <v>526</v>
      </c>
      <c r="N82" s="32">
        <f t="shared" ref="N82:N85" si="41">IF(ISNUMBER(M82), (M82 - $B82) / $B82, "")</f>
        <v>1.348747591522158E-2</v>
      </c>
      <c r="O82" s="18">
        <f>IF(ISNUMBER(M82), $B91 * N82, "")</f>
        <v>2023.121387283237</v>
      </c>
      <c r="Q82" s="176"/>
      <c r="R82" s="177"/>
      <c r="S82" s="178"/>
    </row>
    <row r="83" spans="1:19" ht="17.25" thickBot="1">
      <c r="A83" s="109" t="s">
        <v>103</v>
      </c>
      <c r="B83" s="110">
        <v>252</v>
      </c>
      <c r="C83" s="70">
        <v>0</v>
      </c>
      <c r="D83" s="15">
        <v>253</v>
      </c>
      <c r="E83" s="32">
        <f t="shared" si="38"/>
        <v>3.968253968253968E-3</v>
      </c>
      <c r="F83" s="18">
        <f>IF(ISNUMBER(D83), $B91 * E83, "")</f>
        <v>595.23809523809518</v>
      </c>
      <c r="G83" s="31">
        <v>254</v>
      </c>
      <c r="H83" s="32">
        <f t="shared" si="39"/>
        <v>7.9365079365079361E-3</v>
      </c>
      <c r="I83" s="91">
        <f>IF(ISNUMBER(G83), $B91 * H83, "")</f>
        <v>1190.4761904761904</v>
      </c>
      <c r="J83" s="15">
        <v>254</v>
      </c>
      <c r="K83" s="32">
        <f t="shared" si="40"/>
        <v>7.9365079365079361E-3</v>
      </c>
      <c r="L83" s="18">
        <f>IF(ISNUMBER(J83), $B91 * K83, "")</f>
        <v>1190.4761904761904</v>
      </c>
      <c r="M83" s="31">
        <v>256</v>
      </c>
      <c r="N83" s="32">
        <f t="shared" si="41"/>
        <v>1.5873015873015872E-2</v>
      </c>
      <c r="O83" s="18">
        <f>IF(ISNUMBER(M83), $B91 * N83, "")</f>
        <v>2380.9523809523807</v>
      </c>
      <c r="Q83" s="161"/>
      <c r="R83" s="161"/>
      <c r="S83" s="161"/>
    </row>
    <row r="84" spans="1:19" ht="17.25" thickBot="1">
      <c r="A84" s="109" t="s">
        <v>176</v>
      </c>
      <c r="B84" s="110">
        <v>346</v>
      </c>
      <c r="C84" s="70">
        <v>0</v>
      </c>
      <c r="D84" s="15">
        <v>347</v>
      </c>
      <c r="E84" s="32">
        <f t="shared" si="38"/>
        <v>2.8901734104046241E-3</v>
      </c>
      <c r="F84" s="18">
        <f>IF(ISNUMBER(D84), $B91 * E84, "")</f>
        <v>433.52601156069363</v>
      </c>
      <c r="G84" s="31">
        <v>353</v>
      </c>
      <c r="H84" s="32">
        <f t="shared" si="39"/>
        <v>2.023121387283237E-2</v>
      </c>
      <c r="I84" s="91">
        <f>IF(ISNUMBER(G84), $B91 * H84, "")</f>
        <v>3034.6820809248557</v>
      </c>
      <c r="J84" s="15">
        <v>353</v>
      </c>
      <c r="K84" s="32">
        <f t="shared" si="40"/>
        <v>2.023121387283237E-2</v>
      </c>
      <c r="L84" s="18">
        <f>IF(ISNUMBER(J84), $B91 * K84, "")</f>
        <v>3034.6820809248557</v>
      </c>
      <c r="M84" s="31">
        <v>350</v>
      </c>
      <c r="N84" s="32">
        <f t="shared" si="41"/>
        <v>1.1560693641618497E-2</v>
      </c>
      <c r="O84" s="18">
        <f>IF(ISNUMBER(M84), $B91 * N84, "")</f>
        <v>1734.1040462427745</v>
      </c>
      <c r="Q84" s="156"/>
      <c r="R84" s="156"/>
      <c r="S84" s="156"/>
    </row>
    <row r="85" spans="1:19" ht="17.25" thickBot="1">
      <c r="A85" s="111" t="s">
        <v>222</v>
      </c>
      <c r="B85" s="112">
        <v>467</v>
      </c>
      <c r="C85" s="71">
        <v>0</v>
      </c>
      <c r="D85" s="20">
        <v>465</v>
      </c>
      <c r="E85" s="21">
        <f t="shared" si="38"/>
        <v>-4.2826552462526769E-3</v>
      </c>
      <c r="F85" s="22">
        <f>IF(ISNUMBER(D85), $B91 * E85, "")</f>
        <v>-642.3982869379015</v>
      </c>
      <c r="G85" s="30">
        <v>467</v>
      </c>
      <c r="H85" s="21">
        <f t="shared" si="39"/>
        <v>0</v>
      </c>
      <c r="I85" s="95">
        <f>IF(ISNUMBER(G85), $B91 * H85, "")</f>
        <v>0</v>
      </c>
      <c r="J85" s="20">
        <v>467</v>
      </c>
      <c r="K85" s="21">
        <f t="shared" si="40"/>
        <v>0</v>
      </c>
      <c r="L85" s="22">
        <f>IF(ISNUMBER(J85), $B91 * K85, "")</f>
        <v>0</v>
      </c>
      <c r="M85" s="30">
        <v>468</v>
      </c>
      <c r="N85" s="21">
        <f t="shared" si="41"/>
        <v>2.1413276231263384E-3</v>
      </c>
      <c r="O85" s="22">
        <f>IF(ISNUMBER(M85), $B91 * N85, "")</f>
        <v>321.19914346895075</v>
      </c>
      <c r="Q85" s="156"/>
      <c r="R85" s="156"/>
      <c r="S85" s="156"/>
    </row>
    <row r="86" spans="1:19" ht="17.25" thickBot="1">
      <c r="A86" s="109" t="s">
        <v>232</v>
      </c>
      <c r="B86" s="113">
        <v>297</v>
      </c>
      <c r="C86" s="73">
        <v>0</v>
      </c>
      <c r="D86" s="96">
        <v>297</v>
      </c>
      <c r="E86" s="97">
        <f>IF(ISNUMBER(D86), (D86 - $B86) / $B86, "")</f>
        <v>0</v>
      </c>
      <c r="F86" s="98">
        <f>IF(ISNUMBER(D86), $B91 * E86, "")</f>
        <v>0</v>
      </c>
      <c r="G86" s="99">
        <v>299</v>
      </c>
      <c r="H86" s="97">
        <f>IF(ISNUMBER(G86), (G86 - $B86) / $B86, "")</f>
        <v>6.7340067340067337E-3</v>
      </c>
      <c r="I86" s="100">
        <f>IF(ISNUMBER(G86), $B91 * H86, "")</f>
        <v>1010.10101010101</v>
      </c>
      <c r="J86" s="96">
        <v>299</v>
      </c>
      <c r="K86" s="97">
        <f>IF(ISNUMBER(J86), (J86 - $B86) / $B86, "")</f>
        <v>6.7340067340067337E-3</v>
      </c>
      <c r="L86" s="98">
        <f>IF(ISNUMBER(J86), $B91 * K86, "")</f>
        <v>1010.10101010101</v>
      </c>
      <c r="M86" s="99">
        <v>299</v>
      </c>
      <c r="N86" s="97">
        <f>IF(ISNUMBER(M86), (M86 - $B86) / $B86, "")</f>
        <v>6.7340067340067337E-3</v>
      </c>
      <c r="O86" s="98">
        <f>IF(ISNUMBER(M86), $B91 * N86, "")</f>
        <v>1010.10101010101</v>
      </c>
      <c r="Q86" s="161"/>
      <c r="R86" s="161"/>
      <c r="S86" s="161"/>
    </row>
    <row r="87" spans="1:19" ht="17.25" thickBot="1">
      <c r="A87" s="109" t="s">
        <v>238</v>
      </c>
      <c r="B87" s="110">
        <v>628</v>
      </c>
      <c r="C87" s="70">
        <v>-1.5898251E-3</v>
      </c>
      <c r="D87" s="15">
        <v>632</v>
      </c>
      <c r="E87" s="32">
        <f t="shared" ref="E87:E90" si="42">IF(ISNUMBER(D87), (D87 - $B87) / $B87, "")</f>
        <v>6.369426751592357E-3</v>
      </c>
      <c r="F87" s="18">
        <f>IF(ISNUMBER(D87), $B91 * E87, "")</f>
        <v>955.41401273885356</v>
      </c>
      <c r="G87" s="31">
        <v>633</v>
      </c>
      <c r="H87" s="32">
        <f t="shared" ref="H87:H90" si="43">IF(ISNUMBER(G87), (G87 - $B87) / $B87, "")</f>
        <v>7.9617834394904458E-3</v>
      </c>
      <c r="I87" s="91">
        <f>IF(ISNUMBER(G87), $B91 * H87, "")</f>
        <v>1194.2675159235669</v>
      </c>
      <c r="J87" s="15">
        <v>633</v>
      </c>
      <c r="K87" s="32">
        <f t="shared" ref="K87:K90" si="44">IF(ISNUMBER(J87), (J87 - $B87) / $B87, "")</f>
        <v>7.9617834394904458E-3</v>
      </c>
      <c r="L87" s="18">
        <f>IF(ISNUMBER(J87), $B91 * K87, "")</f>
        <v>1194.2675159235669</v>
      </c>
      <c r="M87" s="31">
        <v>635</v>
      </c>
      <c r="N87" s="32">
        <f t="shared" ref="N87:N90" si="45">IF(ISNUMBER(M87), (M87 - $B87) / $B87, "")</f>
        <v>1.1146496815286623E-2</v>
      </c>
      <c r="O87" s="18">
        <f>IF(ISNUMBER(M87), $B91 * N87, "")</f>
        <v>1671.9745222929935</v>
      </c>
      <c r="Q87" s="161"/>
      <c r="R87" s="161"/>
      <c r="S87" s="161"/>
    </row>
    <row r="88" spans="1:19" ht="17.25" thickBot="1">
      <c r="A88" s="109" t="s">
        <v>66</v>
      </c>
      <c r="B88" s="110">
        <v>739</v>
      </c>
      <c r="C88" s="70">
        <v>-2.6990552999999998E-3</v>
      </c>
      <c r="D88" s="15">
        <v>752</v>
      </c>
      <c r="E88" s="32">
        <f t="shared" si="42"/>
        <v>1.7591339648173207E-2</v>
      </c>
      <c r="F88" s="18">
        <f>IF(ISNUMBER(D88), $B91 * E88, "")</f>
        <v>2638.7009472259811</v>
      </c>
      <c r="G88" s="31">
        <v>750</v>
      </c>
      <c r="H88" s="32">
        <f t="shared" si="43"/>
        <v>1.4884979702300407E-2</v>
      </c>
      <c r="I88" s="91">
        <f>IF(ISNUMBER(G88), $B91 * H88, "")</f>
        <v>2232.746955345061</v>
      </c>
      <c r="J88" s="15">
        <v>750</v>
      </c>
      <c r="K88" s="32">
        <f t="shared" si="44"/>
        <v>1.4884979702300407E-2</v>
      </c>
      <c r="L88" s="18">
        <f>IF(ISNUMBER(J88), $B91 * K88, "")</f>
        <v>2232.746955345061</v>
      </c>
      <c r="M88" s="31">
        <v>749</v>
      </c>
      <c r="N88" s="32">
        <f t="shared" si="45"/>
        <v>1.3531799729364006E-2</v>
      </c>
      <c r="O88" s="18">
        <f>IF(ISNUMBER(M88), $B91 * N88, "")</f>
        <v>2029.7699594046007</v>
      </c>
      <c r="Q88" s="161"/>
      <c r="R88" s="161"/>
      <c r="S88" s="161"/>
    </row>
    <row r="89" spans="1:19">
      <c r="A89" s="109" t="s">
        <v>202</v>
      </c>
      <c r="B89" s="110">
        <v>352</v>
      </c>
      <c r="C89" s="70">
        <v>-2.8328612E-3</v>
      </c>
      <c r="D89" s="15">
        <v>355</v>
      </c>
      <c r="E89" s="32">
        <f t="shared" si="42"/>
        <v>8.5227272727272721E-3</v>
      </c>
      <c r="F89" s="18">
        <f>IF(ISNUMBER(D89), $B91 * E89, "")</f>
        <v>1278.4090909090908</v>
      </c>
      <c r="G89" s="31">
        <v>354</v>
      </c>
      <c r="H89" s="32">
        <f t="shared" si="43"/>
        <v>5.681818181818182E-3</v>
      </c>
      <c r="I89" s="91">
        <f>IF(ISNUMBER(G89), $B91 * H89, "")</f>
        <v>852.27272727272725</v>
      </c>
      <c r="J89" s="15">
        <v>354</v>
      </c>
      <c r="K89" s="32">
        <f t="shared" si="44"/>
        <v>5.681818181818182E-3</v>
      </c>
      <c r="L89" s="18">
        <f>IF(ISNUMBER(J89), $B91 * K89, "")</f>
        <v>852.27272727272725</v>
      </c>
      <c r="M89" s="31">
        <v>355</v>
      </c>
      <c r="N89" s="32">
        <f t="shared" si="45"/>
        <v>8.5227272727272721E-3</v>
      </c>
      <c r="O89" s="18">
        <f>IF(ISNUMBER(M89), $B91 * N89, "")</f>
        <v>1278.4090909090908</v>
      </c>
      <c r="Q89" s="183"/>
      <c r="R89" s="184"/>
      <c r="S89" s="185"/>
    </row>
    <row r="90" spans="1:19" ht="17.25" thickBot="1">
      <c r="A90" s="114" t="s">
        <v>101</v>
      </c>
      <c r="B90" s="115">
        <v>242</v>
      </c>
      <c r="C90" s="72">
        <v>-4.1152263000000001E-3</v>
      </c>
      <c r="D90" s="24">
        <v>243</v>
      </c>
      <c r="E90" s="25">
        <f t="shared" si="42"/>
        <v>4.1322314049586778E-3</v>
      </c>
      <c r="F90" s="94">
        <f>IF(ISNUMBER(D90), $B91 * E90, "")</f>
        <v>619.83471074380168</v>
      </c>
      <c r="G90" s="92">
        <v>250</v>
      </c>
      <c r="H90" s="25">
        <f t="shared" si="43"/>
        <v>3.3057851239669422E-2</v>
      </c>
      <c r="I90" s="93">
        <f>IF(ISNUMBER(G90), $B91 * H90, "")</f>
        <v>4958.6776859504134</v>
      </c>
      <c r="J90" s="24">
        <v>250</v>
      </c>
      <c r="K90" s="25">
        <f t="shared" si="44"/>
        <v>3.3057851239669422E-2</v>
      </c>
      <c r="L90" s="94">
        <f>IF(ISNUMBER(J90), $B91 * K90, "")</f>
        <v>4958.6776859504134</v>
      </c>
      <c r="M90" s="92">
        <v>247</v>
      </c>
      <c r="N90" s="25">
        <f t="shared" si="45"/>
        <v>2.0661157024793389E-2</v>
      </c>
      <c r="O90" s="94">
        <f>IF(ISNUMBER(M90), $B91 * N90, "")</f>
        <v>3099.1735537190084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5.1377365250316323E-3</v>
      </c>
      <c r="F91" s="28">
        <f>SUM(F71:F90)</f>
        <v>15413.209575094897</v>
      </c>
      <c r="G91" s="26" t="s">
        <v>261</v>
      </c>
      <c r="H91" s="27">
        <f>IF(COUNT(H71:H90), SUM(H71:H90) / COUNT(H71:H90), 0)</f>
        <v>1.0080843779710471E-2</v>
      </c>
      <c r="I91" s="28">
        <f>SUM(I71:I90)</f>
        <v>30242.531339131416</v>
      </c>
      <c r="J91" s="26" t="s">
        <v>261</v>
      </c>
      <c r="K91" s="27">
        <f>IF(COUNT(K71:K90), SUM(K71:K90) / COUNT(K71:K90), 0)</f>
        <v>1.0080843779710471E-2</v>
      </c>
      <c r="L91" s="28">
        <f>SUM(L71:L90)</f>
        <v>30242.531339131416</v>
      </c>
      <c r="M91" s="26" t="s">
        <v>261</v>
      </c>
      <c r="N91" s="27">
        <f>IF(COUNT(N71:N90), SUM(N71:N90) / COUNT(N71:N90), 0)</f>
        <v>1.5551390117117463E-2</v>
      </c>
      <c r="O91" s="28">
        <f>SUM(O71:O90)</f>
        <v>46654.17035135239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2022-12-10(토) 오전 00:00</v>
      </c>
      <c r="C96" s="199"/>
      <c r="D96" s="158" t="str">
        <f>TEXT($G$1, "[$-ko-KR]yyyy-mm-dd(ddd) ") &amp; "오후 14:00"</f>
        <v>2022-12-10(토) 오후 14:00</v>
      </c>
      <c r="E96" s="159"/>
      <c r="F96" s="160"/>
      <c r="G96" s="158" t="str">
        <f>TEXT($G$1, "[$-ko-KR]yyyy-mm-dd(ddd) ") &amp; "오후 19:00"</f>
        <v>2022-12-10(토) 오후 19:00</v>
      </c>
      <c r="H96" s="159"/>
      <c r="I96" s="160"/>
      <c r="J96" s="158" t="str">
        <f>TEXT($G$1, "[$-ko-KR]yyyy-mm-dd(ddd) ") &amp; "오후 21:00"</f>
        <v>2022-12-10(토) 오후 21:00</v>
      </c>
      <c r="K96" s="159"/>
      <c r="L96" s="160"/>
      <c r="M96" s="158" t="str">
        <f>TEXT($G$1+1, "[$-ko-KR]yyyy-mm-dd(ddd) ") &amp; "오전 00:00"</f>
        <v>2022-12-11(일)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181</v>
      </c>
      <c r="B98" s="108">
        <v>5.7</v>
      </c>
      <c r="C98" s="69">
        <v>0.21276595740000001</v>
      </c>
      <c r="D98" s="13">
        <v>5.76</v>
      </c>
      <c r="E98" s="14">
        <f>IF(ISNUMBER(D98), (D98 - $B98) / $B98, "")</f>
        <v>1.0526315789473615E-2</v>
      </c>
      <c r="F98" s="16">
        <f>IF(ISNUMBER(D98), $B118 * E98, "")</f>
        <v>1578.9473684210423</v>
      </c>
      <c r="G98" s="29">
        <v>5.48</v>
      </c>
      <c r="H98" s="14">
        <f>IF(ISNUMBER(G98), (G98 - $B98) / $B98, "")</f>
        <v>-3.8596491228070129E-2</v>
      </c>
      <c r="I98" s="90">
        <f>IF(ISNUMBER(G98), $B118 * H98, "")</f>
        <v>-5789.4736842105194</v>
      </c>
      <c r="J98" s="13">
        <v>5.48</v>
      </c>
      <c r="K98" s="14">
        <f>IF(ISNUMBER(J98), (J98 - $B98) / $B98, "")</f>
        <v>-3.8596491228070129E-2</v>
      </c>
      <c r="L98" s="16">
        <f>IF(ISNUMBER(J98), $B118 * K98, "")</f>
        <v>-5789.4736842105194</v>
      </c>
      <c r="M98" s="29">
        <v>5.42</v>
      </c>
      <c r="N98" s="14">
        <f>IF(ISNUMBER(M98), (M98 - $B98) / $B98, "")</f>
        <v>-4.9122807017543901E-2</v>
      </c>
      <c r="O98" s="16">
        <f>IF(ISNUMBER(M98), $B118 * N98, "")</f>
        <v>-7368.4210526315856</v>
      </c>
      <c r="Q98" s="156"/>
      <c r="R98" s="156"/>
      <c r="S98" s="156"/>
    </row>
    <row r="99" spans="1:19" ht="17.25" thickBot="1">
      <c r="A99" s="109" t="s">
        <v>326</v>
      </c>
      <c r="B99" s="110">
        <v>26.7</v>
      </c>
      <c r="C99" s="70">
        <v>0.1078838174</v>
      </c>
      <c r="D99" s="15">
        <v>25.5</v>
      </c>
      <c r="E99" s="32">
        <f t="shared" ref="E99:E102" si="46">IF(ISNUMBER(D99), (D99 - $B99) / $B99, "")</f>
        <v>-4.4943820224719079E-2</v>
      </c>
      <c r="F99" s="18">
        <f>IF(ISNUMBER(D99), $B118 * E99, "")</f>
        <v>-6741.5730337078621</v>
      </c>
      <c r="G99" s="31">
        <v>25.1</v>
      </c>
      <c r="H99" s="32">
        <f t="shared" ref="H99:H102" si="47">IF(ISNUMBER(G99), (G99 - $B99) / $B99, "")</f>
        <v>-5.9925093632958726E-2</v>
      </c>
      <c r="I99" s="91">
        <f>IF(ISNUMBER(G99), $B118 * H99, "")</f>
        <v>-8988.7640449438095</v>
      </c>
      <c r="J99" s="15">
        <v>25.1</v>
      </c>
      <c r="K99" s="32">
        <f t="shared" ref="K99:K102" si="48">IF(ISNUMBER(J99), (J99 - $B99) / $B99, "")</f>
        <v>-5.9925093632958726E-2</v>
      </c>
      <c r="L99" s="18">
        <f>IF(ISNUMBER(J99), $B118 * K99, "")</f>
        <v>-8988.7640449438095</v>
      </c>
      <c r="M99" s="31">
        <v>25.1</v>
      </c>
      <c r="N99" s="32">
        <f t="shared" ref="N99:N102" si="49">IF(ISNUMBER(M99), (M99 - $B99) / $B99, "")</f>
        <v>-5.9925093632958726E-2</v>
      </c>
      <c r="O99" s="18">
        <f>IF(ISNUMBER(M99), $B118 * N99, "")</f>
        <v>-8988.7640449438095</v>
      </c>
      <c r="Q99" s="156"/>
      <c r="R99" s="156"/>
      <c r="S99" s="156"/>
    </row>
    <row r="100" spans="1:19" ht="17.25" thickBot="1">
      <c r="A100" s="109" t="s">
        <v>206</v>
      </c>
      <c r="B100" s="110">
        <v>3.73</v>
      </c>
      <c r="C100" s="70">
        <v>5.3672316400000003E-2</v>
      </c>
      <c r="D100" s="15">
        <v>3.67</v>
      </c>
      <c r="E100" s="32">
        <f t="shared" si="46"/>
        <v>-1.6085790884718513E-2</v>
      </c>
      <c r="F100" s="18">
        <f>IF(ISNUMBER(D100), $B118 * E100, "")</f>
        <v>-2412.8686327077771</v>
      </c>
      <c r="G100" s="31">
        <v>3.63</v>
      </c>
      <c r="H100" s="32">
        <f t="shared" si="47"/>
        <v>-2.6809651474530856E-2</v>
      </c>
      <c r="I100" s="91">
        <f>IF(ISNUMBER(G100), $B118 * H100, "")</f>
        <v>-4021.4477211796284</v>
      </c>
      <c r="J100" s="15">
        <v>3.63</v>
      </c>
      <c r="K100" s="32">
        <f t="shared" si="48"/>
        <v>-2.6809651474530856E-2</v>
      </c>
      <c r="L100" s="18">
        <f>IF(ISNUMBER(J100), $B118 * K100, "")</f>
        <v>-4021.4477211796284</v>
      </c>
      <c r="M100" s="31">
        <v>3.66</v>
      </c>
      <c r="N100" s="32">
        <f t="shared" si="49"/>
        <v>-1.8766756032171539E-2</v>
      </c>
      <c r="O100" s="18">
        <f>IF(ISNUMBER(M100), $B118 * N100, "")</f>
        <v>-2815.013404825731</v>
      </c>
      <c r="Q100" s="161"/>
      <c r="R100" s="161"/>
      <c r="S100" s="161"/>
    </row>
    <row r="101" spans="1:19" ht="17.25" thickBot="1">
      <c r="A101" s="109" t="s">
        <v>198</v>
      </c>
      <c r="B101" s="110">
        <v>9.82</v>
      </c>
      <c r="C101" s="70">
        <v>5.0267379700000003E-2</v>
      </c>
      <c r="D101" s="15">
        <v>9.58</v>
      </c>
      <c r="E101" s="32">
        <f t="shared" si="46"/>
        <v>-2.4439918533604908E-2</v>
      </c>
      <c r="F101" s="18">
        <f>IF(ISNUMBER(D101), $B118 * E101, "")</f>
        <v>-3665.9877800407362</v>
      </c>
      <c r="G101" s="31">
        <v>9.27</v>
      </c>
      <c r="H101" s="32">
        <f t="shared" si="47"/>
        <v>-5.6008146639511272E-2</v>
      </c>
      <c r="I101" s="91">
        <f>IF(ISNUMBER(G101), $B118 * H101, "")</f>
        <v>-8401.2219959266913</v>
      </c>
      <c r="J101" s="15">
        <v>9.27</v>
      </c>
      <c r="K101" s="32">
        <f t="shared" si="48"/>
        <v>-5.6008146639511272E-2</v>
      </c>
      <c r="L101" s="18">
        <f>IF(ISNUMBER(J101), $B118 * K101, "")</f>
        <v>-8401.2219959266913</v>
      </c>
      <c r="M101" s="31">
        <v>9.2200000000000006</v>
      </c>
      <c r="N101" s="32">
        <f t="shared" si="49"/>
        <v>-6.1099796334012184E-2</v>
      </c>
      <c r="O101" s="18">
        <f>IF(ISNUMBER(M101), $B118 * N101, "")</f>
        <v>-9164.9694501018275</v>
      </c>
      <c r="Q101" s="161"/>
      <c r="R101" s="161"/>
      <c r="S101" s="161"/>
    </row>
    <row r="102" spans="1:19" ht="17.25" thickBot="1">
      <c r="A102" s="111" t="s">
        <v>143</v>
      </c>
      <c r="B102" s="112">
        <v>4.5199999999999996</v>
      </c>
      <c r="C102" s="71">
        <v>4.87238979E-2</v>
      </c>
      <c r="D102" s="20">
        <v>4.47</v>
      </c>
      <c r="E102" s="21">
        <f t="shared" si="46"/>
        <v>-1.1061946902654829E-2</v>
      </c>
      <c r="F102" s="22">
        <f>IF(ISNUMBER(D102), $B118 * E102, "")</f>
        <v>-1659.2920353982242</v>
      </c>
      <c r="G102" s="30">
        <v>4.41</v>
      </c>
      <c r="H102" s="21">
        <f t="shared" si="47"/>
        <v>-2.4336283185840586E-2</v>
      </c>
      <c r="I102" s="95">
        <f>IF(ISNUMBER(G102), $B118 * H102, "")</f>
        <v>-3650.4424778760881</v>
      </c>
      <c r="J102" s="20">
        <v>4.41</v>
      </c>
      <c r="K102" s="21">
        <f t="shared" si="48"/>
        <v>-2.4336283185840586E-2</v>
      </c>
      <c r="L102" s="22">
        <f>IF(ISNUMBER(J102), $B118 * K102, "")</f>
        <v>-3650.4424778760881</v>
      </c>
      <c r="M102" s="30">
        <v>4.4400000000000004</v>
      </c>
      <c r="N102" s="21">
        <f t="shared" si="49"/>
        <v>-1.7699115044247607E-2</v>
      </c>
      <c r="O102" s="22">
        <f>IF(ISNUMBER(M102), $B118 * N102, "")</f>
        <v>-2654.8672566371411</v>
      </c>
      <c r="Q102" s="161"/>
      <c r="R102" s="161"/>
      <c r="S102" s="161"/>
    </row>
    <row r="103" spans="1:19" ht="17.25" thickBot="1">
      <c r="A103" s="109" t="s">
        <v>83</v>
      </c>
      <c r="B103" s="113">
        <v>1385</v>
      </c>
      <c r="C103" s="73">
        <v>4.13533835E-2</v>
      </c>
      <c r="D103" s="96">
        <v>1375</v>
      </c>
      <c r="E103" s="97">
        <f>IF(ISNUMBER(D103), (D103 - $B103) / $B103, "")</f>
        <v>-7.2202166064981952E-3</v>
      </c>
      <c r="F103" s="98">
        <f>IF(ISNUMBER(D103), $B118 * E103, "")</f>
        <v>-1083.0324909747292</v>
      </c>
      <c r="G103" s="99">
        <v>1400</v>
      </c>
      <c r="H103" s="97">
        <f>IF(ISNUMBER(G103), (G103 - $B103) / $B103, "")</f>
        <v>1.0830324909747292E-2</v>
      </c>
      <c r="I103" s="100">
        <f>IF(ISNUMBER(G103), $B118 * H103, "")</f>
        <v>1624.5487364620938</v>
      </c>
      <c r="J103" s="96">
        <v>1400</v>
      </c>
      <c r="K103" s="97">
        <f>IF(ISNUMBER(J103), (J103 - $B103) / $B103, "")</f>
        <v>1.0830324909747292E-2</v>
      </c>
      <c r="L103" s="98">
        <f>IF(ISNUMBER(J103), $B118 * K103, "")</f>
        <v>1624.5487364620938</v>
      </c>
      <c r="M103" s="99">
        <v>1395</v>
      </c>
      <c r="N103" s="97">
        <f>IF(ISNUMBER(M103), (M103 - $B103) / $B103, "")</f>
        <v>7.2202166064981952E-3</v>
      </c>
      <c r="O103" s="98">
        <f>IF(ISNUMBER(M103), $B118 * N103, "")</f>
        <v>1083.0324909747292</v>
      </c>
      <c r="Q103" s="161"/>
      <c r="R103" s="161"/>
      <c r="S103" s="161"/>
    </row>
    <row r="104" spans="1:19" ht="17.25" thickBot="1">
      <c r="A104" s="109" t="s">
        <v>230</v>
      </c>
      <c r="B104" s="110">
        <v>42.4</v>
      </c>
      <c r="C104" s="70">
        <v>3.9215686299999997E-2</v>
      </c>
      <c r="D104" s="15">
        <v>44.1</v>
      </c>
      <c r="E104" s="32">
        <f t="shared" ref="E104:E107" si="50">IF(ISNUMBER(D104), (D104 - $B104) / $B104, "")</f>
        <v>4.0094339622641577E-2</v>
      </c>
      <c r="F104" s="18">
        <f>IF(ISNUMBER(D104), $B118 * E104, "")</f>
        <v>6014.1509433962365</v>
      </c>
      <c r="G104" s="31">
        <v>42.5</v>
      </c>
      <c r="H104" s="32">
        <f t="shared" ref="H104:H107" si="51">IF(ISNUMBER(G104), (G104 - $B104) / $B104, "")</f>
        <v>2.3584905660377696E-3</v>
      </c>
      <c r="I104" s="91">
        <f>IF(ISNUMBER(G104), $B118 * H104, "")</f>
        <v>353.77358490566542</v>
      </c>
      <c r="J104" s="15">
        <v>42.5</v>
      </c>
      <c r="K104" s="32">
        <f t="shared" ref="K104:K107" si="52">IF(ISNUMBER(J104), (J104 - $B104) / $B104, "")</f>
        <v>2.3584905660377696E-3</v>
      </c>
      <c r="L104" s="18">
        <f>IF(ISNUMBER(J104), $B118 * K104, "")</f>
        <v>353.77358490566542</v>
      </c>
      <c r="M104" s="31">
        <v>43.1</v>
      </c>
      <c r="N104" s="32">
        <f t="shared" ref="N104:N107" si="53">IF(ISNUMBER(M104), (M104 - $B104) / $B104, "")</f>
        <v>1.650943396226422E-2</v>
      </c>
      <c r="O104" s="18">
        <f>IF(ISNUMBER(M104), $B118 * N104, "")</f>
        <v>2476.415094339633</v>
      </c>
      <c r="Q104" s="161"/>
      <c r="R104" s="161"/>
      <c r="S104" s="161"/>
    </row>
    <row r="105" spans="1:19" ht="17.25" thickBot="1">
      <c r="A105" s="109" t="s">
        <v>195</v>
      </c>
      <c r="B105" s="110">
        <v>6.9</v>
      </c>
      <c r="C105" s="70">
        <v>2.8315946299999999E-2</v>
      </c>
      <c r="D105" s="15">
        <v>6.86</v>
      </c>
      <c r="E105" s="32">
        <f t="shared" si="50"/>
        <v>-5.7971014492753676E-3</v>
      </c>
      <c r="F105" s="18">
        <f>IF(ISNUMBER(D105), $B118 * E105, "")</f>
        <v>-869.56521739130517</v>
      </c>
      <c r="G105" s="31">
        <v>6.82</v>
      </c>
      <c r="H105" s="32">
        <f t="shared" si="51"/>
        <v>-1.1594202898550735E-2</v>
      </c>
      <c r="I105" s="91">
        <f>IF(ISNUMBER(G105), $B118 * H105, "")</f>
        <v>-1739.1304347826103</v>
      </c>
      <c r="J105" s="15">
        <v>6.82</v>
      </c>
      <c r="K105" s="32">
        <f t="shared" si="52"/>
        <v>-1.1594202898550735E-2</v>
      </c>
      <c r="L105" s="18">
        <f>IF(ISNUMBER(J105), $B118 * K105, "")</f>
        <v>-1739.1304347826103</v>
      </c>
      <c r="M105" s="31">
        <v>6.88</v>
      </c>
      <c r="N105" s="32">
        <f t="shared" si="53"/>
        <v>-2.898550724637748E-3</v>
      </c>
      <c r="O105" s="18">
        <f>IF(ISNUMBER(M105), $B118 * N105, "")</f>
        <v>-434.78260869566219</v>
      </c>
      <c r="Q105" s="161"/>
      <c r="R105" s="161"/>
      <c r="S105" s="161"/>
    </row>
    <row r="106" spans="1:19" ht="17.25" thickBot="1">
      <c r="A106" s="109" t="s">
        <v>200</v>
      </c>
      <c r="B106" s="110">
        <v>7.18</v>
      </c>
      <c r="C106" s="70">
        <v>2.71816881E-2</v>
      </c>
      <c r="D106" s="15">
        <v>7.05</v>
      </c>
      <c r="E106" s="32">
        <f t="shared" si="50"/>
        <v>-1.8105849582172689E-2</v>
      </c>
      <c r="F106" s="18">
        <f>IF(ISNUMBER(D106), $B118 * E106, "")</f>
        <v>-2715.8774373259034</v>
      </c>
      <c r="G106" s="31">
        <v>7.04</v>
      </c>
      <c r="H106" s="32">
        <f t="shared" si="51"/>
        <v>-1.9498607242339788E-2</v>
      </c>
      <c r="I106" s="91">
        <f>IF(ISNUMBER(G106), $B118 * H106, "")</f>
        <v>-2924.7910863509683</v>
      </c>
      <c r="J106" s="15">
        <v>7.04</v>
      </c>
      <c r="K106" s="32">
        <f t="shared" si="52"/>
        <v>-1.9498607242339788E-2</v>
      </c>
      <c r="L106" s="18">
        <f>IF(ISNUMBER(J106), $B118 * K106, "")</f>
        <v>-2924.7910863509683</v>
      </c>
      <c r="M106" s="31">
        <v>7.05</v>
      </c>
      <c r="N106" s="32">
        <f t="shared" si="53"/>
        <v>-1.8105849582172689E-2</v>
      </c>
      <c r="O106" s="18">
        <f>IF(ISNUMBER(M106), $B118 * N106, "")</f>
        <v>-2715.8774373259034</v>
      </c>
      <c r="Q106" s="33"/>
      <c r="R106" s="33"/>
    </row>
    <row r="107" spans="1:19" ht="17.25" thickBot="1">
      <c r="A107" s="114" t="s">
        <v>116</v>
      </c>
      <c r="B107" s="115">
        <v>1165</v>
      </c>
      <c r="C107" s="72">
        <v>2.6431718100000001E-2</v>
      </c>
      <c r="D107" s="24">
        <v>1185</v>
      </c>
      <c r="E107" s="25">
        <f t="shared" si="50"/>
        <v>1.7167381974248927E-2</v>
      </c>
      <c r="F107" s="94">
        <f>IF(ISNUMBER(D107), $B118 * E107, "")</f>
        <v>2575.1072961373388</v>
      </c>
      <c r="G107" s="92">
        <v>1195</v>
      </c>
      <c r="H107" s="25">
        <f t="shared" si="51"/>
        <v>2.575107296137339E-2</v>
      </c>
      <c r="I107" s="93">
        <f>IF(ISNUMBER(G107), $B118 * H107, "")</f>
        <v>3862.6609442060085</v>
      </c>
      <c r="J107" s="24">
        <v>1195</v>
      </c>
      <c r="K107" s="25">
        <f t="shared" si="52"/>
        <v>2.575107296137339E-2</v>
      </c>
      <c r="L107" s="94">
        <f>IF(ISNUMBER(J107), $B118 * K107, "")</f>
        <v>3862.6609442060085</v>
      </c>
      <c r="M107" s="92">
        <v>1165</v>
      </c>
      <c r="N107" s="25">
        <f t="shared" si="53"/>
        <v>0</v>
      </c>
      <c r="O107" s="94">
        <f>IF(ISNUMBER(M107), $B118 * N107, "")</f>
        <v>0</v>
      </c>
      <c r="Q107" s="170"/>
      <c r="R107" s="171"/>
      <c r="S107" s="172"/>
    </row>
    <row r="108" spans="1:19">
      <c r="A108" s="107" t="s">
        <v>338</v>
      </c>
      <c r="B108" s="108">
        <v>5.19</v>
      </c>
      <c r="C108" s="69">
        <v>2.36686391E-2</v>
      </c>
      <c r="D108" s="13">
        <v>5.23</v>
      </c>
      <c r="E108" s="14">
        <f>IF(ISNUMBER(D108), (D108 - $B108) / $B108, "")</f>
        <v>7.7071290944123374E-3</v>
      </c>
      <c r="F108" s="16">
        <f>IF(ISNUMBER(D108), $B118 * E108, "")</f>
        <v>1156.0693641618507</v>
      </c>
      <c r="G108" s="29">
        <v>5.16</v>
      </c>
      <c r="H108" s="14">
        <f>IF(ISNUMBER(G108), (G108 - $B108) / $B108, "")</f>
        <v>-5.780346820809296E-3</v>
      </c>
      <c r="I108" s="90">
        <f>IF(ISNUMBER(G108), $B118 * H108, "")</f>
        <v>-867.05202312139443</v>
      </c>
      <c r="J108" s="13">
        <v>5.16</v>
      </c>
      <c r="K108" s="14">
        <f>IF(ISNUMBER(J108), (J108 - $B108) / $B108, "")</f>
        <v>-5.780346820809296E-3</v>
      </c>
      <c r="L108" s="16">
        <f>IF(ISNUMBER(J108), $B118 * K108, "")</f>
        <v>-867.05202312139443</v>
      </c>
      <c r="M108" s="29">
        <v>5.16</v>
      </c>
      <c r="N108" s="14">
        <f>IF(ISNUMBER(M108), (M108 - $B108) / $B108, "")</f>
        <v>-5.780346820809296E-3</v>
      </c>
      <c r="O108" s="16">
        <f>IF(ISNUMBER(M108), $B118 * N108, "")</f>
        <v>-867.05202312139443</v>
      </c>
      <c r="Q108" s="173"/>
      <c r="R108" s="174"/>
      <c r="S108" s="175"/>
    </row>
    <row r="109" spans="1:19" ht="17.25" thickBot="1">
      <c r="A109" s="109" t="s">
        <v>136</v>
      </c>
      <c r="B109" s="110">
        <v>3030</v>
      </c>
      <c r="C109" s="70">
        <v>2.3648648599999999E-2</v>
      </c>
      <c r="D109" s="15">
        <v>3015</v>
      </c>
      <c r="E109" s="32">
        <f t="shared" ref="E109:E112" si="54">IF(ISNUMBER(D109), (D109 - $B109) / $B109, "")</f>
        <v>-4.9504950495049506E-3</v>
      </c>
      <c r="F109" s="18">
        <f>IF(ISNUMBER(D109), $B118 * E109, "")</f>
        <v>-742.57425742574253</v>
      </c>
      <c r="G109" s="31">
        <v>3110</v>
      </c>
      <c r="H109" s="32">
        <f t="shared" ref="H109:H112" si="55">IF(ISNUMBER(G109), (G109 - $B109) / $B109, "")</f>
        <v>2.6402640264026403E-2</v>
      </c>
      <c r="I109" s="91">
        <f>IF(ISNUMBER(G109), $B118 * H109, "")</f>
        <v>3960.3960396039606</v>
      </c>
      <c r="J109" s="15">
        <v>3110</v>
      </c>
      <c r="K109" s="32">
        <f t="shared" ref="K109:K112" si="56">IF(ISNUMBER(J109), (J109 - $B109) / $B109, "")</f>
        <v>2.6402640264026403E-2</v>
      </c>
      <c r="L109" s="18">
        <f>IF(ISNUMBER(J109), $B118 * K109, "")</f>
        <v>3960.3960396039606</v>
      </c>
      <c r="M109" s="31">
        <v>3050</v>
      </c>
      <c r="N109" s="32">
        <f t="shared" ref="N109:N112" si="57">IF(ISNUMBER(M109), (M109 - $B109) / $B109, "")</f>
        <v>6.6006600660066007E-3</v>
      </c>
      <c r="O109" s="18">
        <f>IF(ISNUMBER(M109), $B118 * N109, "")</f>
        <v>990.09900990099015</v>
      </c>
      <c r="Q109" s="176"/>
      <c r="R109" s="177"/>
      <c r="S109" s="178"/>
    </row>
    <row r="110" spans="1:19" ht="17.25" thickBot="1">
      <c r="A110" s="109" t="s">
        <v>141</v>
      </c>
      <c r="B110" s="110">
        <v>3.49</v>
      </c>
      <c r="C110" s="70">
        <v>2.3460410599999999E-2</v>
      </c>
      <c r="D110" s="15">
        <v>3.54</v>
      </c>
      <c r="E110" s="32">
        <f t="shared" si="54"/>
        <v>1.4326647564469863E-2</v>
      </c>
      <c r="F110" s="18">
        <f>IF(ISNUMBER(D110), $B118 * E110, "")</f>
        <v>2148.9971346704792</v>
      </c>
      <c r="G110" s="31">
        <v>3.6</v>
      </c>
      <c r="H110" s="32">
        <f t="shared" si="55"/>
        <v>3.1518624641833776E-2</v>
      </c>
      <c r="I110" s="91">
        <f>IF(ISNUMBER(G110), $B118 * H110, "")</f>
        <v>4727.7936962750664</v>
      </c>
      <c r="J110" s="15">
        <v>3.6</v>
      </c>
      <c r="K110" s="32">
        <f t="shared" si="56"/>
        <v>3.1518624641833776E-2</v>
      </c>
      <c r="L110" s="18">
        <f>IF(ISNUMBER(J110), $B118 * K110, "")</f>
        <v>4727.7936962750664</v>
      </c>
      <c r="M110" s="31">
        <v>3.51</v>
      </c>
      <c r="N110" s="32">
        <f t="shared" si="57"/>
        <v>5.7306590257878431E-3</v>
      </c>
      <c r="O110" s="18">
        <f>IF(ISNUMBER(M110), $B118 * N110, "")</f>
        <v>859.59885386817643</v>
      </c>
      <c r="Q110" s="161"/>
      <c r="R110" s="161"/>
      <c r="S110" s="161"/>
    </row>
    <row r="111" spans="1:19" ht="17.25" thickBot="1">
      <c r="A111" s="109" t="s">
        <v>236</v>
      </c>
      <c r="B111" s="110">
        <v>3005</v>
      </c>
      <c r="C111" s="70">
        <v>2.0373514400000001E-2</v>
      </c>
      <c r="D111" s="15">
        <v>2920</v>
      </c>
      <c r="E111" s="32">
        <f t="shared" si="54"/>
        <v>-2.8286189683860232E-2</v>
      </c>
      <c r="F111" s="18">
        <f>IF(ISNUMBER(D111), $B118 * E111, "")</f>
        <v>-4242.9284525790345</v>
      </c>
      <c r="G111" s="31">
        <v>2955</v>
      </c>
      <c r="H111" s="32">
        <f t="shared" si="55"/>
        <v>-1.6638935108153077E-2</v>
      </c>
      <c r="I111" s="91">
        <f>IF(ISNUMBER(G111), $B118 * H111, "")</f>
        <v>-2495.8402662229614</v>
      </c>
      <c r="J111" s="15">
        <v>2955</v>
      </c>
      <c r="K111" s="32">
        <f t="shared" si="56"/>
        <v>-1.6638935108153077E-2</v>
      </c>
      <c r="L111" s="18">
        <f>IF(ISNUMBER(J111), $B118 * K111, "")</f>
        <v>-2495.8402662229614</v>
      </c>
      <c r="M111" s="31">
        <v>2940</v>
      </c>
      <c r="N111" s="32">
        <f t="shared" si="57"/>
        <v>-2.1630615640599003E-2</v>
      </c>
      <c r="O111" s="18">
        <f>IF(ISNUMBER(M111), $B118 * N111, "")</f>
        <v>-3244.5923460898507</v>
      </c>
      <c r="Q111" s="156"/>
      <c r="R111" s="156"/>
      <c r="S111" s="156"/>
    </row>
    <row r="112" spans="1:19" ht="17.25" thickBot="1">
      <c r="A112" s="111" t="s">
        <v>185</v>
      </c>
      <c r="B112" s="112">
        <v>32.700000000000003</v>
      </c>
      <c r="C112" s="71">
        <v>1.8691588799999999E-2</v>
      </c>
      <c r="D112" s="20">
        <v>33.1</v>
      </c>
      <c r="E112" s="21">
        <f t="shared" si="54"/>
        <v>1.2232415902140628E-2</v>
      </c>
      <c r="F112" s="22">
        <f>IF(ISNUMBER(D112), $B118 * E112, "")</f>
        <v>1834.8623853210943</v>
      </c>
      <c r="G112" s="30">
        <v>32.5</v>
      </c>
      <c r="H112" s="21">
        <f t="shared" si="55"/>
        <v>-6.1162079510704232E-3</v>
      </c>
      <c r="I112" s="95">
        <f>IF(ISNUMBER(G112), $B118 * H112, "")</f>
        <v>-917.43119266056351</v>
      </c>
      <c r="J112" s="20">
        <v>32.5</v>
      </c>
      <c r="K112" s="21">
        <f t="shared" si="56"/>
        <v>-6.1162079510704232E-3</v>
      </c>
      <c r="L112" s="22">
        <f>IF(ISNUMBER(J112), $B118 * K112, "")</f>
        <v>-917.43119266056351</v>
      </c>
      <c r="M112" s="30">
        <v>32.9</v>
      </c>
      <c r="N112" s="21">
        <f t="shared" si="57"/>
        <v>6.1162079510702055E-3</v>
      </c>
      <c r="O112" s="22">
        <f>IF(ISNUMBER(M112), $B118 * N112, "")</f>
        <v>917.43119266053077</v>
      </c>
      <c r="Q112" s="156"/>
      <c r="R112" s="156"/>
      <c r="S112" s="156"/>
    </row>
    <row r="113" spans="1:19" ht="17.25" thickBot="1">
      <c r="A113" s="109" t="s">
        <v>210</v>
      </c>
      <c r="B113" s="113">
        <v>66.3</v>
      </c>
      <c r="C113" s="73">
        <v>1.6871165600000002E-2</v>
      </c>
      <c r="D113" s="96">
        <v>79.400000000000006</v>
      </c>
      <c r="E113" s="97">
        <f>IF(ISNUMBER(D113), (D113 - $B113) / $B113, "")</f>
        <v>0.19758672699849184</v>
      </c>
      <c r="F113" s="98">
        <f>IF(ISNUMBER(D113), $B118 * E113, "")</f>
        <v>29638.009049773776</v>
      </c>
      <c r="G113" s="99">
        <v>72</v>
      </c>
      <c r="H113" s="97">
        <f>IF(ISNUMBER(G113), (G113 - $B113) / $B113, "")</f>
        <v>8.5972850678733073E-2</v>
      </c>
      <c r="I113" s="100">
        <f>IF(ISNUMBER(G113), $B118 * H113, "")</f>
        <v>12895.927601809961</v>
      </c>
      <c r="J113" s="96">
        <v>72</v>
      </c>
      <c r="K113" s="97">
        <f>IF(ISNUMBER(J113), (J113 - $B113) / $B113, "")</f>
        <v>8.5972850678733073E-2</v>
      </c>
      <c r="L113" s="98">
        <f>IF(ISNUMBER(J113), $B118 * K113, "")</f>
        <v>12895.927601809961</v>
      </c>
      <c r="M113" s="99">
        <v>70.900000000000006</v>
      </c>
      <c r="N113" s="97">
        <f>IF(ISNUMBER(M113), (M113 - $B113) / $B113, "")</f>
        <v>6.9381598793363627E-2</v>
      </c>
      <c r="O113" s="98">
        <f>IF(ISNUMBER(M113), $B118 * N113, "")</f>
        <v>10407.239819004544</v>
      </c>
      <c r="Q113" s="161"/>
      <c r="R113" s="161"/>
      <c r="S113" s="161"/>
    </row>
    <row r="114" spans="1:19" ht="17.25" thickBot="1">
      <c r="A114" s="109" t="s">
        <v>167</v>
      </c>
      <c r="B114" s="110">
        <v>200</v>
      </c>
      <c r="C114" s="70">
        <v>1.52284264E-2</v>
      </c>
      <c r="D114" s="15">
        <v>200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199</v>
      </c>
      <c r="H114" s="32">
        <f t="shared" ref="H114:H117" si="59">IF(ISNUMBER(G114), (G114 - $B114) / $B114, "")</f>
        <v>-5.0000000000000001E-3</v>
      </c>
      <c r="I114" s="91">
        <f>IF(ISNUMBER(G114), $B118 * H114, "")</f>
        <v>-750</v>
      </c>
      <c r="J114" s="15">
        <v>199</v>
      </c>
      <c r="K114" s="32">
        <f t="shared" ref="K114:K117" si="60">IF(ISNUMBER(J114), (J114 - $B114) / $B114, "")</f>
        <v>-5.0000000000000001E-3</v>
      </c>
      <c r="L114" s="18">
        <f>IF(ISNUMBER(J114), $B118 * K114, "")</f>
        <v>-750</v>
      </c>
      <c r="M114" s="31">
        <v>202</v>
      </c>
      <c r="N114" s="32">
        <f t="shared" ref="N114:N117" si="61">IF(ISNUMBER(M114), (M114 - $B114) / $B114, "")</f>
        <v>0.01</v>
      </c>
      <c r="O114" s="18">
        <f>IF(ISNUMBER(M114), $B118 * N114, "")</f>
        <v>1500</v>
      </c>
      <c r="Q114" s="161"/>
      <c r="R114" s="161"/>
      <c r="S114" s="161"/>
    </row>
    <row r="115" spans="1:19" ht="17.25" thickBot="1">
      <c r="A115" s="109" t="s">
        <v>118</v>
      </c>
      <c r="B115" s="110">
        <v>6.84</v>
      </c>
      <c r="C115" s="70">
        <v>1.48367953E-2</v>
      </c>
      <c r="D115" s="15">
        <v>6.87</v>
      </c>
      <c r="E115" s="32">
        <f t="shared" si="58"/>
        <v>4.3859649122807379E-3</v>
      </c>
      <c r="F115" s="18">
        <f>IF(ISNUMBER(D115), $B118 * E115, "")</f>
        <v>657.89473684211066</v>
      </c>
      <c r="G115" s="31">
        <v>6.83</v>
      </c>
      <c r="H115" s="32">
        <f t="shared" si="59"/>
        <v>-1.4619883040935362E-3</v>
      </c>
      <c r="I115" s="91">
        <f>IF(ISNUMBER(G115), $B118 * H115, "")</f>
        <v>-219.29824561403044</v>
      </c>
      <c r="J115" s="15">
        <v>6.83</v>
      </c>
      <c r="K115" s="32">
        <f t="shared" si="60"/>
        <v>-1.4619883040935362E-3</v>
      </c>
      <c r="L115" s="18">
        <f>IF(ISNUMBER(J115), $B118 * K115, "")</f>
        <v>-219.29824561403044</v>
      </c>
      <c r="M115" s="31">
        <v>6.85</v>
      </c>
      <c r="N115" s="32">
        <f t="shared" si="61"/>
        <v>1.4619883040935362E-3</v>
      </c>
      <c r="O115" s="18">
        <f>IF(ISNUMBER(M115), $B118 * N115, "")</f>
        <v>219.29824561403044</v>
      </c>
      <c r="Q115" s="161"/>
      <c r="R115" s="161"/>
      <c r="S115" s="161"/>
    </row>
    <row r="116" spans="1:19">
      <c r="A116" s="109" t="s">
        <v>224</v>
      </c>
      <c r="B116" s="110">
        <v>21.7</v>
      </c>
      <c r="C116" s="70">
        <v>1.4018691600000001E-2</v>
      </c>
      <c r="D116" s="15">
        <v>21.8</v>
      </c>
      <c r="E116" s="32">
        <f t="shared" si="58"/>
        <v>4.608294930875642E-3</v>
      </c>
      <c r="F116" s="18">
        <f>IF(ISNUMBER(D116), $B118 * E116, "")</f>
        <v>691.24423963134632</v>
      </c>
      <c r="G116" s="31">
        <v>21.6</v>
      </c>
      <c r="H116" s="32">
        <f t="shared" si="59"/>
        <v>-4.608294930875478E-3</v>
      </c>
      <c r="I116" s="91">
        <f>IF(ISNUMBER(G116), $B118 * H116, "")</f>
        <v>-691.24423963132165</v>
      </c>
      <c r="J116" s="15">
        <v>21.6</v>
      </c>
      <c r="K116" s="32">
        <f t="shared" si="60"/>
        <v>-4.608294930875478E-3</v>
      </c>
      <c r="L116" s="18">
        <f>IF(ISNUMBER(J116), $B118 * K116, "")</f>
        <v>-691.24423963132165</v>
      </c>
      <c r="M116" s="31">
        <v>21.7</v>
      </c>
      <c r="N116" s="32">
        <f t="shared" si="61"/>
        <v>0</v>
      </c>
      <c r="O116" s="18">
        <f>IF(ISNUMBER(M116), $B118 * N116, "")</f>
        <v>0</v>
      </c>
      <c r="Q116" s="183"/>
      <c r="R116" s="184"/>
      <c r="S116" s="185"/>
    </row>
    <row r="117" spans="1:19" ht="17.25" thickBot="1">
      <c r="A117" s="114" t="s">
        <v>87</v>
      </c>
      <c r="B117" s="115">
        <v>57700</v>
      </c>
      <c r="C117" s="72">
        <v>1.3881567399999999E-2</v>
      </c>
      <c r="D117" s="24">
        <v>57400</v>
      </c>
      <c r="E117" s="25">
        <f t="shared" si="58"/>
        <v>-5.1993067590987872E-3</v>
      </c>
      <c r="F117" s="94">
        <f>IF(ISNUMBER(D117), $B118 * E117, "")</f>
        <v>-779.89601386481809</v>
      </c>
      <c r="G117" s="92">
        <v>58790</v>
      </c>
      <c r="H117" s="25">
        <f t="shared" si="59"/>
        <v>1.8890814558058924E-2</v>
      </c>
      <c r="I117" s="93">
        <f>IF(ISNUMBER(G117), $B118 * H117, "")</f>
        <v>2833.6221837088387</v>
      </c>
      <c r="J117" s="24">
        <v>58790</v>
      </c>
      <c r="K117" s="25">
        <f t="shared" si="60"/>
        <v>1.8890814558058924E-2</v>
      </c>
      <c r="L117" s="94">
        <f>IF(ISNUMBER(J117), $B118 * K117, "")</f>
        <v>2833.6221837088387</v>
      </c>
      <c r="M117" s="92">
        <v>58610</v>
      </c>
      <c r="N117" s="25">
        <f t="shared" si="61"/>
        <v>1.5771230502599654E-2</v>
      </c>
      <c r="O117" s="94">
        <f>IF(ISNUMBER(M117), $B118 * N117, "")</f>
        <v>2365.6845753899479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7.1272290556463804E-3</v>
      </c>
      <c r="F118" s="28">
        <f>SUM(F98:F117)</f>
        <v>21381.68716693914</v>
      </c>
      <c r="G118" s="26" t="s">
        <v>261</v>
      </c>
      <c r="H118" s="27">
        <f>IF(COUNT(H98:H117), SUM(H98:H117) / COUNT(H98:H117), 0)</f>
        <v>-3.7324715418496656E-3</v>
      </c>
      <c r="I118" s="28">
        <f>SUM(I98:I117)</f>
        <v>-11197.414625548994</v>
      </c>
      <c r="J118" s="26" t="s">
        <v>261</v>
      </c>
      <c r="K118" s="27">
        <f>IF(COUNT(K98:K117), SUM(K98:K117) / COUNT(K98:K117), 0)</f>
        <v>-3.7324715418496656E-3</v>
      </c>
      <c r="L118" s="28">
        <f>SUM(L98:L117)</f>
        <v>-11197.414625548994</v>
      </c>
      <c r="M118" s="26" t="s">
        <v>261</v>
      </c>
      <c r="N118" s="27">
        <f>IF(COUNT(N98:N117), SUM(N98:N117) / COUNT(N98:N117), 0)</f>
        <v>-5.8118467808734404E-3</v>
      </c>
      <c r="O118" s="28">
        <f>SUM(O98:O117)</f>
        <v>-17435.540342620327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2022-12-10(토) 오전 00:00</v>
      </c>
      <c r="C123" s="199"/>
      <c r="D123" s="158" t="str">
        <f>TEXT($G$1, "[$-ko-KR]yyyy-mm-dd(ddd) ") &amp; "오후 14:00"</f>
        <v>2022-12-10(토) 오후 14:00</v>
      </c>
      <c r="E123" s="159"/>
      <c r="F123" s="160"/>
      <c r="G123" s="158" t="str">
        <f>TEXT($G$1, "[$-ko-KR]yyyy-mm-dd(ddd) ") &amp; "오후 19:00"</f>
        <v>2022-12-10(토) 오후 19:00</v>
      </c>
      <c r="H123" s="159"/>
      <c r="I123" s="160"/>
      <c r="J123" s="158" t="str">
        <f>TEXT($G$1, "[$-ko-KR]yyyy-mm-dd(ddd) ") &amp; "오후 21:00"</f>
        <v>2022-12-10(토) 오후 21:00</v>
      </c>
      <c r="K123" s="159"/>
      <c r="L123" s="160"/>
      <c r="M123" s="158" t="str">
        <f>TEXT($G$1+1, "[$-ko-KR]yyyy-mm-dd(ddd) ") &amp; "오전 00:00"</f>
        <v>2022-12-11(일)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124</v>
      </c>
      <c r="B125" s="108">
        <v>33.6</v>
      </c>
      <c r="C125" s="69">
        <v>9.0090090000000001E-3</v>
      </c>
      <c r="D125" s="13">
        <v>33.799999999999997</v>
      </c>
      <c r="E125" s="14">
        <f>IF(ISNUMBER(D125), (D125 - $B125) / $B125, "")</f>
        <v>5.9523809523808254E-3</v>
      </c>
      <c r="F125" s="16">
        <f>IF(ISNUMBER(D125), $B145 * E125, "")</f>
        <v>892.85714285712379</v>
      </c>
      <c r="G125" s="29">
        <v>33.4</v>
      </c>
      <c r="H125" s="14">
        <f>IF(ISNUMBER(G125), (G125 - $B125) / $B125, "")</f>
        <v>-5.9523809523810371E-3</v>
      </c>
      <c r="I125" s="90">
        <f>IF(ISNUMBER(G125), $B145 * H125, "")</f>
        <v>-892.85714285715551</v>
      </c>
      <c r="J125" s="13">
        <v>33.4</v>
      </c>
      <c r="K125" s="14">
        <f>IF(ISNUMBER(J125), (J125 - $B125) / $B125, "")</f>
        <v>-5.9523809523810371E-3</v>
      </c>
      <c r="L125" s="16">
        <f>IF(ISNUMBER(J125), $B145 * K125, "")</f>
        <v>-892.85714285715551</v>
      </c>
      <c r="M125" s="29">
        <v>33.700000000000003</v>
      </c>
      <c r="N125" s="14">
        <f>IF(ISNUMBER(M125), (M125 - $B125) / $B125, "")</f>
        <v>2.9761904761905185E-3</v>
      </c>
      <c r="O125" s="16">
        <f>IF(ISNUMBER(M125), $B145 * N125, "")</f>
        <v>446.42857142857775</v>
      </c>
      <c r="Q125" s="156"/>
      <c r="R125" s="156"/>
      <c r="S125" s="156"/>
    </row>
    <row r="126" spans="1:19" ht="17.25" thickBot="1">
      <c r="A126" s="109" t="s">
        <v>71</v>
      </c>
      <c r="B126" s="110">
        <v>11.9</v>
      </c>
      <c r="C126" s="70">
        <v>8.4745762999999998E-3</v>
      </c>
      <c r="D126" s="15">
        <v>12</v>
      </c>
      <c r="E126" s="32">
        <f t="shared" ref="E126:E129" si="62">IF(ISNUMBER(D126), (D126 - $B126) / $B126, "")</f>
        <v>8.4033613445377853E-3</v>
      </c>
      <c r="F126" s="18">
        <f>IF(ISNUMBER(D126), $B145 * E126, "")</f>
        <v>1260.5042016806678</v>
      </c>
      <c r="G126" s="31">
        <v>12</v>
      </c>
      <c r="H126" s="32">
        <f t="shared" ref="H126:H129" si="63">IF(ISNUMBER(G126), (G126 - $B126) / $B126, "")</f>
        <v>8.4033613445377853E-3</v>
      </c>
      <c r="I126" s="91">
        <f>IF(ISNUMBER(G126), $B145 * H126, "")</f>
        <v>1260.5042016806678</v>
      </c>
      <c r="J126" s="15">
        <v>12</v>
      </c>
      <c r="K126" s="32">
        <f t="shared" ref="K126:K129" si="64">IF(ISNUMBER(J126), (J126 - $B126) / $B126, "")</f>
        <v>8.4033613445377853E-3</v>
      </c>
      <c r="L126" s="18">
        <f>IF(ISNUMBER(J126), $B145 * K126, "")</f>
        <v>1260.5042016806678</v>
      </c>
      <c r="M126" s="31">
        <v>12</v>
      </c>
      <c r="N126" s="32">
        <f t="shared" ref="N126:N129" si="65">IF(ISNUMBER(M126), (M126 - $B126) / $B126, "")</f>
        <v>8.4033613445377853E-3</v>
      </c>
      <c r="O126" s="18">
        <f>IF(ISNUMBER(M126), $B145 * N126, "")</f>
        <v>1260.5042016806678</v>
      </c>
      <c r="Q126" s="156"/>
      <c r="R126" s="156"/>
      <c r="S126" s="156"/>
    </row>
    <row r="127" spans="1:19" ht="17.25" thickBot="1">
      <c r="A127" s="109" t="s">
        <v>145</v>
      </c>
      <c r="B127" s="110">
        <v>72.8</v>
      </c>
      <c r="C127" s="70">
        <v>4.1379310000000001E-3</v>
      </c>
      <c r="D127" s="15">
        <v>73.2</v>
      </c>
      <c r="E127" s="32">
        <f t="shared" si="62"/>
        <v>5.494505494505573E-3</v>
      </c>
      <c r="F127" s="18">
        <f>IF(ISNUMBER(D127), $B145 * E127, "")</f>
        <v>824.17582417583594</v>
      </c>
      <c r="G127" s="31">
        <v>73.400000000000006</v>
      </c>
      <c r="H127" s="32">
        <f t="shared" si="63"/>
        <v>8.2417582417583599E-3</v>
      </c>
      <c r="I127" s="91">
        <f>IF(ISNUMBER(G127), $B145 * H127, "")</f>
        <v>1236.263736263754</v>
      </c>
      <c r="J127" s="15">
        <v>73.400000000000006</v>
      </c>
      <c r="K127" s="32">
        <f t="shared" si="64"/>
        <v>8.2417582417583599E-3</v>
      </c>
      <c r="L127" s="18">
        <f>IF(ISNUMBER(J127), $B145 * K127, "")</f>
        <v>1236.263736263754</v>
      </c>
      <c r="M127" s="31">
        <v>73.5</v>
      </c>
      <c r="N127" s="32">
        <f t="shared" si="65"/>
        <v>9.6153846153846541E-3</v>
      </c>
      <c r="O127" s="18">
        <f>IF(ISNUMBER(M127), $B145 * N127, "")</f>
        <v>1442.3076923076981</v>
      </c>
      <c r="Q127" s="161"/>
      <c r="R127" s="161"/>
      <c r="S127" s="161"/>
    </row>
    <row r="128" spans="1:19" ht="17.25" thickBot="1">
      <c r="A128" s="109" t="s">
        <v>350</v>
      </c>
      <c r="B128" s="110">
        <v>8.14</v>
      </c>
      <c r="C128" s="70">
        <v>3.6991368999999999E-3</v>
      </c>
      <c r="D128" s="15">
        <v>8</v>
      </c>
      <c r="E128" s="32">
        <f t="shared" si="62"/>
        <v>-1.7199017199017268E-2</v>
      </c>
      <c r="F128" s="18">
        <f>IF(ISNUMBER(D128), $B145 * E128, "")</f>
        <v>-2579.8525798525902</v>
      </c>
      <c r="G128" s="31">
        <v>7.86</v>
      </c>
      <c r="H128" s="32">
        <f t="shared" si="63"/>
        <v>-3.4398034398034426E-2</v>
      </c>
      <c r="I128" s="91">
        <f>IF(ISNUMBER(G128), $B145 * H128, "")</f>
        <v>-5159.7051597051641</v>
      </c>
      <c r="J128" s="15">
        <v>7.86</v>
      </c>
      <c r="K128" s="32">
        <f t="shared" si="64"/>
        <v>-3.4398034398034426E-2</v>
      </c>
      <c r="L128" s="18">
        <f>IF(ISNUMBER(J128), $B145 * K128, "")</f>
        <v>-5159.7051597051641</v>
      </c>
      <c r="M128" s="31">
        <v>7.93</v>
      </c>
      <c r="N128" s="32">
        <f t="shared" si="65"/>
        <v>-2.5798525798525901E-2</v>
      </c>
      <c r="O128" s="18">
        <f>IF(ISNUMBER(M128), $B145 * N128, "")</f>
        <v>-3869.7788697788851</v>
      </c>
      <c r="Q128" s="161"/>
      <c r="R128" s="161"/>
      <c r="S128" s="161"/>
    </row>
    <row r="129" spans="1:19" ht="17.25" thickBot="1">
      <c r="A129" s="111" t="s">
        <v>212</v>
      </c>
      <c r="B129" s="112">
        <v>86.3</v>
      </c>
      <c r="C129" s="71">
        <v>3.4883721E-3</v>
      </c>
      <c r="D129" s="20">
        <v>91.3</v>
      </c>
      <c r="E129" s="21">
        <f t="shared" si="62"/>
        <v>5.7937427578215531E-2</v>
      </c>
      <c r="F129" s="22">
        <f>IF(ISNUMBER(D129), $B145 * E129, "")</f>
        <v>8690.6141367323289</v>
      </c>
      <c r="G129" s="30">
        <v>87.5</v>
      </c>
      <c r="H129" s="21">
        <f t="shared" si="63"/>
        <v>1.3904982618771759E-2</v>
      </c>
      <c r="I129" s="95">
        <f>IF(ISNUMBER(G129), $B145 * H129, "")</f>
        <v>2085.7473928157638</v>
      </c>
      <c r="J129" s="20">
        <v>87.5</v>
      </c>
      <c r="K129" s="21">
        <f t="shared" si="64"/>
        <v>1.3904982618771759E-2</v>
      </c>
      <c r="L129" s="22">
        <f>IF(ISNUMBER(J129), $B145 * K129, "")</f>
        <v>2085.7473928157638</v>
      </c>
      <c r="M129" s="30">
        <v>88.7</v>
      </c>
      <c r="N129" s="21">
        <f t="shared" si="65"/>
        <v>2.7809965237543519E-2</v>
      </c>
      <c r="O129" s="22">
        <f>IF(ISNUMBER(M129), $B145 * N129, "")</f>
        <v>4171.4947856315275</v>
      </c>
      <c r="Q129" s="161"/>
      <c r="R129" s="161"/>
      <c r="S129" s="161"/>
    </row>
    <row r="130" spans="1:19" ht="17.25" thickBot="1">
      <c r="A130" s="109" t="s">
        <v>333</v>
      </c>
      <c r="B130" s="113">
        <v>63.8</v>
      </c>
      <c r="C130" s="73">
        <v>1.5698587E-3</v>
      </c>
      <c r="D130" s="96">
        <v>64.099999999999994</v>
      </c>
      <c r="E130" s="97">
        <f>IF(ISNUMBER(D130), (D130 - $B130) / $B130, "")</f>
        <v>4.7021943573667272E-3</v>
      </c>
      <c r="F130" s="98">
        <f>IF(ISNUMBER(D130), $B145 * E130, "")</f>
        <v>705.32915360500908</v>
      </c>
      <c r="G130" s="99">
        <v>64.3</v>
      </c>
      <c r="H130" s="97">
        <f>IF(ISNUMBER(G130), (G130 - $B130) / $B130, "")</f>
        <v>7.8369905956112863E-3</v>
      </c>
      <c r="I130" s="100">
        <f>IF(ISNUMBER(G130), $B145 * H130, "")</f>
        <v>1175.5485893416928</v>
      </c>
      <c r="J130" s="96">
        <v>64.3</v>
      </c>
      <c r="K130" s="97">
        <f>IF(ISNUMBER(J130), (J130 - $B130) / $B130, "")</f>
        <v>7.8369905956112863E-3</v>
      </c>
      <c r="L130" s="98">
        <f>IF(ISNUMBER(J130), $B145 * K130, "")</f>
        <v>1175.5485893416928</v>
      </c>
      <c r="M130" s="99">
        <v>64.7</v>
      </c>
      <c r="N130" s="97">
        <f>IF(ISNUMBER(M130), (M130 - $B130) / $B130, "")</f>
        <v>1.4106583072100403E-2</v>
      </c>
      <c r="O130" s="98">
        <f>IF(ISNUMBER(M130), $B145 * N130, "")</f>
        <v>2115.9874608150603</v>
      </c>
      <c r="Q130" s="161"/>
      <c r="R130" s="161"/>
      <c r="S130" s="161"/>
    </row>
    <row r="131" spans="1:19" ht="17.25" thickBot="1">
      <c r="A131" s="109" t="s">
        <v>220</v>
      </c>
      <c r="B131" s="110">
        <v>76.599999999999994</v>
      </c>
      <c r="C131" s="70">
        <v>1.3071895E-3</v>
      </c>
      <c r="D131" s="15">
        <v>78.5</v>
      </c>
      <c r="E131" s="32">
        <f t="shared" ref="E131:E134" si="66">IF(ISNUMBER(D131), (D131 - $B131) / $B131, "")</f>
        <v>2.4804177545691981E-2</v>
      </c>
      <c r="F131" s="18">
        <f>IF(ISNUMBER(D131), $B145 * E131, "")</f>
        <v>3720.6266318537973</v>
      </c>
      <c r="G131" s="31">
        <v>77.8</v>
      </c>
      <c r="H131" s="32">
        <f t="shared" ref="H131:H134" si="67">IF(ISNUMBER(G131), (G131 - $B131) / $B131, "")</f>
        <v>1.5665796344647556E-2</v>
      </c>
      <c r="I131" s="91">
        <f>IF(ISNUMBER(G131), $B145 * H131, "")</f>
        <v>2349.8694516971336</v>
      </c>
      <c r="J131" s="15">
        <v>77.8</v>
      </c>
      <c r="K131" s="32">
        <f t="shared" ref="K131:K134" si="68">IF(ISNUMBER(J131), (J131 - $B131) / $B131, "")</f>
        <v>1.5665796344647556E-2</v>
      </c>
      <c r="L131" s="18">
        <f>IF(ISNUMBER(J131), $B145 * K131, "")</f>
        <v>2349.8694516971336</v>
      </c>
      <c r="M131" s="31">
        <v>78.5</v>
      </c>
      <c r="N131" s="32">
        <f t="shared" ref="N131:N134" si="69">IF(ISNUMBER(M131), (M131 - $B131) / $B131, "")</f>
        <v>2.4804177545691981E-2</v>
      </c>
      <c r="O131" s="18">
        <f>IF(ISNUMBER(M131), $B145 * N131, "")</f>
        <v>3720.6266318537973</v>
      </c>
      <c r="Q131" s="161"/>
      <c r="R131" s="161"/>
      <c r="S131" s="161"/>
    </row>
    <row r="132" spans="1:19" ht="17.25" thickBot="1">
      <c r="A132" s="109" t="s">
        <v>64</v>
      </c>
      <c r="B132" s="110">
        <v>11.4</v>
      </c>
      <c r="C132" s="70">
        <v>0</v>
      </c>
      <c r="D132" s="15">
        <v>11.4</v>
      </c>
      <c r="E132" s="32">
        <f t="shared" si="66"/>
        <v>0</v>
      </c>
      <c r="F132" s="18">
        <f>IF(ISNUMBER(D132), $B145 * E132, "")</f>
        <v>0</v>
      </c>
      <c r="G132" s="31">
        <v>11.5</v>
      </c>
      <c r="H132" s="32">
        <f t="shared" si="67"/>
        <v>8.7719298245613718E-3</v>
      </c>
      <c r="I132" s="91">
        <f>IF(ISNUMBER(G132), $B145 * H132, "")</f>
        <v>1315.7894736842059</v>
      </c>
      <c r="J132" s="15">
        <v>11.5</v>
      </c>
      <c r="K132" s="32">
        <f t="shared" si="68"/>
        <v>8.7719298245613718E-3</v>
      </c>
      <c r="L132" s="18">
        <f>IF(ISNUMBER(J132), $B145 * K132, "")</f>
        <v>1315.7894736842059</v>
      </c>
      <c r="M132" s="31">
        <v>11.5</v>
      </c>
      <c r="N132" s="32">
        <f t="shared" si="69"/>
        <v>8.7719298245613718E-3</v>
      </c>
      <c r="O132" s="18">
        <f>IF(ISNUMBER(M132), $B145 * N132, "")</f>
        <v>1315.7894736842059</v>
      </c>
      <c r="Q132" s="161"/>
      <c r="R132" s="161"/>
      <c r="S132" s="161"/>
    </row>
    <row r="133" spans="1:19" ht="17.25" thickBot="1">
      <c r="A133" s="109" t="s">
        <v>97</v>
      </c>
      <c r="B133" s="110">
        <v>8.9999999999999998E-4</v>
      </c>
      <c r="C133" s="70">
        <v>0</v>
      </c>
      <c r="D133" s="15">
        <v>8.9999999999999998E-4</v>
      </c>
      <c r="E133" s="32">
        <f t="shared" si="66"/>
        <v>0</v>
      </c>
      <c r="F133" s="18">
        <f>IF(ISNUMBER(D133), $B145 * E133, "")</f>
        <v>0</v>
      </c>
      <c r="G133" s="31">
        <v>8.9999999999999998E-4</v>
      </c>
      <c r="H133" s="32">
        <f t="shared" si="67"/>
        <v>0</v>
      </c>
      <c r="I133" s="91">
        <f>IF(ISNUMBER(G133), $B145 * H133, "")</f>
        <v>0</v>
      </c>
      <c r="J133" s="15">
        <v>8.9999999999999998E-4</v>
      </c>
      <c r="K133" s="32">
        <f t="shared" si="68"/>
        <v>0</v>
      </c>
      <c r="L133" s="18">
        <f>IF(ISNUMBER(J133), $B145 * K133, "")</f>
        <v>0</v>
      </c>
      <c r="M133" s="31">
        <v>8.9999999999999998E-4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122</v>
      </c>
      <c r="B134" s="115">
        <v>25.4</v>
      </c>
      <c r="C134" s="72">
        <v>0</v>
      </c>
      <c r="D134" s="24">
        <v>25.4</v>
      </c>
      <c r="E134" s="25">
        <f t="shared" si="66"/>
        <v>0</v>
      </c>
      <c r="F134" s="94">
        <f>IF(ISNUMBER(D134), $B145 * E134, "")</f>
        <v>0</v>
      </c>
      <c r="G134" s="92">
        <v>26</v>
      </c>
      <c r="H134" s="25">
        <f t="shared" si="67"/>
        <v>2.3622047244094547E-2</v>
      </c>
      <c r="I134" s="93">
        <f>IF(ISNUMBER(G134), $B145 * H134, "")</f>
        <v>3543.307086614182</v>
      </c>
      <c r="J134" s="24">
        <v>26</v>
      </c>
      <c r="K134" s="25">
        <f t="shared" si="68"/>
        <v>2.3622047244094547E-2</v>
      </c>
      <c r="L134" s="94">
        <f>IF(ISNUMBER(J134), $B145 * K134, "")</f>
        <v>3543.307086614182</v>
      </c>
      <c r="M134" s="92">
        <v>25.8</v>
      </c>
      <c r="N134" s="25">
        <f t="shared" si="69"/>
        <v>1.5748031496063079E-2</v>
      </c>
      <c r="O134" s="94">
        <f>IF(ISNUMBER(M134), $B145 * N134, "")</f>
        <v>2362.204724409462</v>
      </c>
      <c r="Q134" s="170"/>
      <c r="R134" s="171"/>
      <c r="S134" s="172"/>
    </row>
    <row r="135" spans="1:19">
      <c r="A135" s="107" t="s">
        <v>191</v>
      </c>
      <c r="B135" s="108">
        <v>53.3</v>
      </c>
      <c r="C135" s="69">
        <v>0</v>
      </c>
      <c r="D135" s="13">
        <v>55.3</v>
      </c>
      <c r="E135" s="14">
        <f>IF(ISNUMBER(D135), (D135 - $B135) / $B135, "")</f>
        <v>3.7523452157598502E-2</v>
      </c>
      <c r="F135" s="16">
        <f>IF(ISNUMBER(D135), $B145 * E135, "")</f>
        <v>5628.5178236397751</v>
      </c>
      <c r="G135" s="29">
        <v>53.7</v>
      </c>
      <c r="H135" s="14">
        <f>IF(ISNUMBER(G135), (G135 - $B135) / $B135, "")</f>
        <v>7.5046904315198065E-3</v>
      </c>
      <c r="I135" s="90">
        <f>IF(ISNUMBER(G135), $B145 * H135, "")</f>
        <v>1125.7035647279711</v>
      </c>
      <c r="J135" s="13">
        <v>53.7</v>
      </c>
      <c r="K135" s="14">
        <f>IF(ISNUMBER(J135), (J135 - $B135) / $B135, "")</f>
        <v>7.5046904315198065E-3</v>
      </c>
      <c r="L135" s="16">
        <f>IF(ISNUMBER(J135), $B145 * K135, "")</f>
        <v>1125.7035647279711</v>
      </c>
      <c r="M135" s="29">
        <v>54.5</v>
      </c>
      <c r="N135" s="14">
        <f>IF(ISNUMBER(M135), (M135 - $B135) / $B135, "")</f>
        <v>2.2514071294559155E-2</v>
      </c>
      <c r="O135" s="16">
        <f>IF(ISNUMBER(M135), $B145 * N135, "")</f>
        <v>3377.1106941838734</v>
      </c>
      <c r="Q135" s="173"/>
      <c r="R135" s="174"/>
      <c r="S135" s="175"/>
    </row>
    <row r="136" spans="1:19" ht="17.25" thickBot="1">
      <c r="A136" s="109" t="s">
        <v>335</v>
      </c>
      <c r="B136" s="110">
        <v>3.8800000000000001E-2</v>
      </c>
      <c r="C136" s="70">
        <v>0</v>
      </c>
      <c r="D136" s="15">
        <v>3.8899999999999997E-2</v>
      </c>
      <c r="E136" s="32">
        <f t="shared" ref="E136:E139" si="70">IF(ISNUMBER(D136), (D136 - $B136) / $B136, "")</f>
        <v>2.577319587628761E-3</v>
      </c>
      <c r="F136" s="18">
        <f>IF(ISNUMBER(D136), $B145 * E136, "")</f>
        <v>386.59793814431413</v>
      </c>
      <c r="G136" s="31">
        <v>3.9300000000000002E-2</v>
      </c>
      <c r="H136" s="32">
        <f t="shared" ref="H136:H139" si="71">IF(ISNUMBER(G136), (G136 - $B136) / $B136, "")</f>
        <v>1.2886597938144341E-2</v>
      </c>
      <c r="I136" s="91">
        <f>IF(ISNUMBER(G136), $B145 * H136, "")</f>
        <v>1932.9896907216512</v>
      </c>
      <c r="J136" s="15">
        <v>3.9300000000000002E-2</v>
      </c>
      <c r="K136" s="32">
        <f t="shared" ref="K136:K139" si="72">IF(ISNUMBER(J136), (J136 - $B136) / $B136, "")</f>
        <v>1.2886597938144341E-2</v>
      </c>
      <c r="L136" s="18">
        <f>IF(ISNUMBER(J136), $B145 * K136, "")</f>
        <v>1932.9896907216512</v>
      </c>
      <c r="M136" s="31">
        <v>3.9300000000000002E-2</v>
      </c>
      <c r="N136" s="32">
        <f t="shared" ref="N136:N139" si="73">IF(ISNUMBER(M136), (M136 - $B136) / $B136, "")</f>
        <v>1.2886597938144341E-2</v>
      </c>
      <c r="O136" s="18">
        <f>IF(ISNUMBER(M136), $B145 * N136, "")</f>
        <v>1932.9896907216512</v>
      </c>
      <c r="Q136" s="176"/>
      <c r="R136" s="177"/>
      <c r="S136" s="178"/>
    </row>
    <row r="137" spans="1:19" ht="17.25" thickBot="1">
      <c r="A137" s="109" t="s">
        <v>228</v>
      </c>
      <c r="B137" s="110">
        <v>65</v>
      </c>
      <c r="C137" s="70">
        <v>-1.5360982999999999E-3</v>
      </c>
      <c r="D137" s="15">
        <v>65.900000000000006</v>
      </c>
      <c r="E137" s="32">
        <f t="shared" si="70"/>
        <v>1.3846153846153933E-2</v>
      </c>
      <c r="F137" s="18">
        <f>IF(ISNUMBER(D137), $B145 * E137, "")</f>
        <v>2076.9230769230899</v>
      </c>
      <c r="G137" s="31">
        <v>65.2</v>
      </c>
      <c r="H137" s="32">
        <f t="shared" si="71"/>
        <v>3.0769230769231207E-3</v>
      </c>
      <c r="I137" s="91">
        <f>IF(ISNUMBER(G137), $B145 * H137, "")</f>
        <v>461.53846153846808</v>
      </c>
      <c r="J137" s="15">
        <v>65.2</v>
      </c>
      <c r="K137" s="32">
        <f t="shared" si="72"/>
        <v>3.0769230769231207E-3</v>
      </c>
      <c r="L137" s="18">
        <f>IF(ISNUMBER(J137), $B145 * K137, "")</f>
        <v>461.53846153846808</v>
      </c>
      <c r="M137" s="31">
        <v>65.8</v>
      </c>
      <c r="N137" s="32">
        <f t="shared" si="73"/>
        <v>1.2307692307692264E-2</v>
      </c>
      <c r="O137" s="18">
        <f>IF(ISNUMBER(M137), $B145 * N137, "")</f>
        <v>1846.1538461538396</v>
      </c>
      <c r="Q137" s="161"/>
      <c r="R137" s="161"/>
      <c r="S137" s="161"/>
    </row>
    <row r="138" spans="1:19" ht="17.25" thickBot="1">
      <c r="A138" s="109" t="s">
        <v>132</v>
      </c>
      <c r="B138" s="110">
        <v>58.6</v>
      </c>
      <c r="C138" s="70">
        <v>-1.7035774999999999E-3</v>
      </c>
      <c r="D138" s="15">
        <v>58.8</v>
      </c>
      <c r="E138" s="32">
        <f t="shared" si="70"/>
        <v>3.4129692832763777E-3</v>
      </c>
      <c r="F138" s="18">
        <f>IF(ISNUMBER(D138), $B145 * E138, "")</f>
        <v>511.94539249145663</v>
      </c>
      <c r="G138" s="31">
        <v>58.8</v>
      </c>
      <c r="H138" s="32">
        <f t="shared" si="71"/>
        <v>3.4129692832763777E-3</v>
      </c>
      <c r="I138" s="91">
        <f>IF(ISNUMBER(G138), $B145 * H138, "")</f>
        <v>511.94539249145663</v>
      </c>
      <c r="J138" s="15">
        <v>58.8</v>
      </c>
      <c r="K138" s="32">
        <f t="shared" si="72"/>
        <v>3.4129692832763777E-3</v>
      </c>
      <c r="L138" s="18">
        <f>IF(ISNUMBER(J138), $B145 * K138, "")</f>
        <v>511.94539249145663</v>
      </c>
      <c r="M138" s="31">
        <v>58.9</v>
      </c>
      <c r="N138" s="32">
        <f t="shared" si="73"/>
        <v>5.119453924914627E-3</v>
      </c>
      <c r="O138" s="18">
        <f>IF(ISNUMBER(M138), $B145 * N138, "")</f>
        <v>767.91808873719401</v>
      </c>
      <c r="Q138" s="156"/>
      <c r="R138" s="156"/>
      <c r="S138" s="156"/>
    </row>
    <row r="139" spans="1:19" ht="17.25" thickBot="1">
      <c r="A139" s="111" t="s">
        <v>193</v>
      </c>
      <c r="B139" s="112">
        <v>19.7</v>
      </c>
      <c r="C139" s="71">
        <v>-5.0505050999999999E-3</v>
      </c>
      <c r="D139" s="20">
        <v>19.8</v>
      </c>
      <c r="E139" s="21">
        <f t="shared" si="70"/>
        <v>5.0761421319797679E-3</v>
      </c>
      <c r="F139" s="22">
        <f>IF(ISNUMBER(D139), $B145 * E139, "")</f>
        <v>761.42131979696524</v>
      </c>
      <c r="G139" s="30">
        <v>19.7</v>
      </c>
      <c r="H139" s="21">
        <f t="shared" si="71"/>
        <v>0</v>
      </c>
      <c r="I139" s="95">
        <f>IF(ISNUMBER(G139), $B145 * H139, "")</f>
        <v>0</v>
      </c>
      <c r="J139" s="20">
        <v>19.7</v>
      </c>
      <c r="K139" s="21">
        <f t="shared" si="72"/>
        <v>0</v>
      </c>
      <c r="L139" s="22">
        <f>IF(ISNUMBER(J139), $B145 * K139, "")</f>
        <v>0</v>
      </c>
      <c r="M139" s="30">
        <v>19.8</v>
      </c>
      <c r="N139" s="21">
        <f t="shared" si="73"/>
        <v>5.0761421319797679E-3</v>
      </c>
      <c r="O139" s="22">
        <f>IF(ISNUMBER(M139), $B145 * N139, "")</f>
        <v>761.42131979696524</v>
      </c>
      <c r="Q139" s="156"/>
      <c r="R139" s="156"/>
      <c r="S139" s="156"/>
    </row>
    <row r="140" spans="1:19" ht="17.25" thickBot="1">
      <c r="A140" s="109" t="s">
        <v>126</v>
      </c>
      <c r="B140" s="113">
        <v>29.5</v>
      </c>
      <c r="C140" s="73">
        <v>-6.7340066999999997E-3</v>
      </c>
      <c r="D140" s="96">
        <v>29.9</v>
      </c>
      <c r="E140" s="97">
        <f>IF(ISNUMBER(D140), (D140 - $B140) / $B140, "")</f>
        <v>1.3559322033898256E-2</v>
      </c>
      <c r="F140" s="98">
        <f>IF(ISNUMBER(D140), $B145 * E140, "")</f>
        <v>2033.8983050847385</v>
      </c>
      <c r="G140" s="99">
        <v>29.8</v>
      </c>
      <c r="H140" s="97">
        <f>IF(ISNUMBER(G140), (G140 - $B140) / $B140, "")</f>
        <v>1.0169491525423752E-2</v>
      </c>
      <c r="I140" s="100">
        <f>IF(ISNUMBER(G140), $B145 * H140, "")</f>
        <v>1525.4237288135628</v>
      </c>
      <c r="J140" s="96">
        <v>29.8</v>
      </c>
      <c r="K140" s="97">
        <f>IF(ISNUMBER(J140), (J140 - $B140) / $B140, "")</f>
        <v>1.0169491525423752E-2</v>
      </c>
      <c r="L140" s="98">
        <f>IF(ISNUMBER(J140), $B145 * K140, "")</f>
        <v>1525.4237288135628</v>
      </c>
      <c r="M140" s="99">
        <v>29.9</v>
      </c>
      <c r="N140" s="97">
        <f>IF(ISNUMBER(M140), (M140 - $B140) / $B140, "")</f>
        <v>1.3559322033898256E-2</v>
      </c>
      <c r="O140" s="98">
        <f>IF(ISNUMBER(M140), $B145 * N140, "")</f>
        <v>2033.8983050847385</v>
      </c>
      <c r="Q140" s="161"/>
      <c r="R140" s="161"/>
      <c r="S140" s="161"/>
    </row>
    <row r="141" spans="1:19" ht="17.25" thickBot="1">
      <c r="A141" s="109" t="s">
        <v>240</v>
      </c>
      <c r="B141" s="110">
        <v>30.3</v>
      </c>
      <c r="C141" s="70">
        <v>-9.8039215999999995E-3</v>
      </c>
      <c r="D141" s="15">
        <v>30.2</v>
      </c>
      <c r="E141" s="32">
        <f t="shared" ref="E141:E144" si="74">IF(ISNUMBER(D141), (D141 - $B141) / $B141, "")</f>
        <v>-3.3003300330033472E-3</v>
      </c>
      <c r="F141" s="18">
        <f>IF(ISNUMBER(D141), $B145 * E141, "")</f>
        <v>-495.04950495050207</v>
      </c>
      <c r="G141" s="31">
        <v>31.1</v>
      </c>
      <c r="H141" s="32">
        <f t="shared" ref="H141:H144" si="75">IF(ISNUMBER(G141), (G141 - $B141) / $B141, "")</f>
        <v>2.6402640264026424E-2</v>
      </c>
      <c r="I141" s="91">
        <f>IF(ISNUMBER(G141), $B145 * H141, "")</f>
        <v>3960.3960396039633</v>
      </c>
      <c r="J141" s="15">
        <v>31.1</v>
      </c>
      <c r="K141" s="32">
        <f t="shared" ref="K141:K144" si="76">IF(ISNUMBER(J141), (J141 - $B141) / $B141, "")</f>
        <v>2.6402640264026424E-2</v>
      </c>
      <c r="L141" s="18">
        <f>IF(ISNUMBER(J141), $B145 * K141, "")</f>
        <v>3960.3960396039633</v>
      </c>
      <c r="M141" s="31">
        <v>30.6</v>
      </c>
      <c r="N141" s="32">
        <f t="shared" ref="N141:N144" si="77">IF(ISNUMBER(M141), (M141 - $B141) / $B141, "")</f>
        <v>9.9009900990099237E-3</v>
      </c>
      <c r="O141" s="18">
        <f>IF(ISNUMBER(M141), $B145 * N141, "")</f>
        <v>1485.1485148514885</v>
      </c>
      <c r="Q141" s="161"/>
      <c r="R141" s="161"/>
      <c r="S141" s="161"/>
    </row>
    <row r="142" spans="1:19" ht="17.25" thickBot="1">
      <c r="A142" s="109" t="s">
        <v>138</v>
      </c>
      <c r="B142" s="110">
        <v>27.9</v>
      </c>
      <c r="C142" s="70">
        <v>-1.06382979E-2</v>
      </c>
      <c r="D142" s="15">
        <v>28.1</v>
      </c>
      <c r="E142" s="32">
        <f t="shared" si="74"/>
        <v>7.1684587813621095E-3</v>
      </c>
      <c r="F142" s="18">
        <f>IF(ISNUMBER(D142), $B145 * E142, "")</f>
        <v>1075.2688172043165</v>
      </c>
      <c r="G142" s="31">
        <v>28.2</v>
      </c>
      <c r="H142" s="32">
        <f t="shared" si="75"/>
        <v>1.0752688172043038E-2</v>
      </c>
      <c r="I142" s="91">
        <f>IF(ISNUMBER(G142), $B145 * H142, "")</f>
        <v>1612.9032258064556</v>
      </c>
      <c r="J142" s="15">
        <v>28.2</v>
      </c>
      <c r="K142" s="32">
        <f t="shared" si="76"/>
        <v>1.0752688172043038E-2</v>
      </c>
      <c r="L142" s="18">
        <f>IF(ISNUMBER(J142), $B145 * K142, "")</f>
        <v>1612.9032258064556</v>
      </c>
      <c r="M142" s="31">
        <v>28.4</v>
      </c>
      <c r="N142" s="32">
        <f t="shared" si="77"/>
        <v>1.7921146953405021E-2</v>
      </c>
      <c r="O142" s="18">
        <f>IF(ISNUMBER(M142), $B145 * N142, "")</f>
        <v>2688.172043010753</v>
      </c>
      <c r="Q142" s="161"/>
      <c r="R142" s="161"/>
      <c r="S142" s="161"/>
    </row>
    <row r="143" spans="1:19">
      <c r="A143" s="109" t="s">
        <v>336</v>
      </c>
      <c r="B143" s="110">
        <v>85</v>
      </c>
      <c r="C143" s="70">
        <v>-1.1627907E-2</v>
      </c>
      <c r="D143" s="15">
        <v>85.9</v>
      </c>
      <c r="E143" s="32">
        <f t="shared" si="74"/>
        <v>1.0588235294117714E-2</v>
      </c>
      <c r="F143" s="18">
        <f>IF(ISNUMBER(D143), $B145 * E143, "")</f>
        <v>1588.2352941176571</v>
      </c>
      <c r="G143" s="31">
        <v>85.7</v>
      </c>
      <c r="H143" s="32">
        <f t="shared" si="75"/>
        <v>8.2352941176470924E-3</v>
      </c>
      <c r="I143" s="91">
        <f>IF(ISNUMBER(G143), $B145 * H143, "")</f>
        <v>1235.2941176470638</v>
      </c>
      <c r="J143" s="15">
        <v>85.7</v>
      </c>
      <c r="K143" s="32">
        <f t="shared" si="76"/>
        <v>8.2352941176470924E-3</v>
      </c>
      <c r="L143" s="18">
        <f>IF(ISNUMBER(J143), $B145 * K143, "")</f>
        <v>1235.2941176470638</v>
      </c>
      <c r="M143" s="31">
        <v>85.7</v>
      </c>
      <c r="N143" s="32">
        <f t="shared" si="77"/>
        <v>8.2352941176470924E-3</v>
      </c>
      <c r="O143" s="18">
        <f>IF(ISNUMBER(M143), $B145 * N143, "")</f>
        <v>1235.2941176470638</v>
      </c>
      <c r="Q143" s="183"/>
      <c r="R143" s="184"/>
      <c r="S143" s="185"/>
    </row>
    <row r="144" spans="1:19" ht="17.25" thickBot="1">
      <c r="A144" s="114" t="s">
        <v>107</v>
      </c>
      <c r="B144" s="115">
        <v>42.2</v>
      </c>
      <c r="C144" s="72">
        <v>-1.4018691600000001E-2</v>
      </c>
      <c r="D144" s="24">
        <v>42.5</v>
      </c>
      <c r="E144" s="25">
        <f t="shared" si="74"/>
        <v>7.1090047393364249E-3</v>
      </c>
      <c r="F144" s="94">
        <f>IF(ISNUMBER(D144), $B145 * E144, "")</f>
        <v>1066.3507109004638</v>
      </c>
      <c r="G144" s="92">
        <v>42.3</v>
      </c>
      <c r="H144" s="25">
        <f t="shared" si="75"/>
        <v>2.3696682464453629E-3</v>
      </c>
      <c r="I144" s="93">
        <f>IF(ISNUMBER(G144), $B145 * H144, "")</f>
        <v>355.45023696680443</v>
      </c>
      <c r="J144" s="24">
        <v>42.3</v>
      </c>
      <c r="K144" s="25">
        <f t="shared" si="76"/>
        <v>2.3696682464453629E-3</v>
      </c>
      <c r="L144" s="94">
        <f>IF(ISNUMBER(J144), $B145 * K144, "")</f>
        <v>355.45023696680443</v>
      </c>
      <c r="M144" s="92">
        <v>42.1</v>
      </c>
      <c r="N144" s="25">
        <f t="shared" si="77"/>
        <v>-2.3696682464455312E-3</v>
      </c>
      <c r="O144" s="94">
        <f>IF(ISNUMBER(M144), $B145 * N144, "")</f>
        <v>-355.45023696682966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9.382787894801483E-3</v>
      </c>
      <c r="F145" s="28">
        <f>SUM(F125:F144)</f>
        <v>28148.363684404445</v>
      </c>
      <c r="G145" s="26" t="s">
        <v>261</v>
      </c>
      <c r="H145" s="27">
        <f>IF(COUNT(H125:H144), SUM(H125:H144) / COUNT(H125:H144), 0)</f>
        <v>6.5453706959508265E-3</v>
      </c>
      <c r="I145" s="28">
        <f>SUM(I125:I144)</f>
        <v>19636.112087852474</v>
      </c>
      <c r="J145" s="26" t="s">
        <v>261</v>
      </c>
      <c r="K145" s="27">
        <f>IF(COUNT(K125:K144), SUM(K125:K144) / COUNT(K125:K144), 0)</f>
        <v>6.5453706959508265E-3</v>
      </c>
      <c r="L145" s="28">
        <f>SUM(L125:L144)</f>
        <v>19636.112087852474</v>
      </c>
      <c r="M145" s="26" t="s">
        <v>261</v>
      </c>
      <c r="N145" s="27">
        <f>IF(COUNT(N125:N144), SUM(N125:N144) / COUNT(N125:N144), 0)</f>
        <v>9.5794070184176145E-3</v>
      </c>
      <c r="O145" s="28">
        <f>SUM(O125:O144)</f>
        <v>28738.221055252849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2022-12-10(토) 오전 00:00</v>
      </c>
      <c r="C150" s="199"/>
      <c r="D150" s="158" t="str">
        <f>TEXT($G$1, "[$-ko-KR]yyyy-mm-dd(ddd) ") &amp; "오후 14:00"</f>
        <v>2022-12-10(토) 오후 14:00</v>
      </c>
      <c r="E150" s="159"/>
      <c r="F150" s="160"/>
      <c r="G150" s="158" t="str">
        <f>TEXT($G$1, "[$-ko-KR]yyyy-mm-dd(ddd) ") &amp; "오후 19:00"</f>
        <v>2022-12-10(토) 오후 19:00</v>
      </c>
      <c r="H150" s="159"/>
      <c r="I150" s="160"/>
      <c r="J150" s="158" t="str">
        <f>TEXT($G$1, "[$-ko-KR]yyyy-mm-dd(ddd) ") &amp; "오후 21:00"</f>
        <v>2022-12-10(토) 오후 21:00</v>
      </c>
      <c r="K150" s="159"/>
      <c r="L150" s="160"/>
      <c r="M150" s="158" t="str">
        <f>TEXT($G$1+1, "[$-ko-KR]yyyy-mm-dd(ddd) ") &amp; "오전 00:00"</f>
        <v>2022-12-11(일)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81</v>
      </c>
      <c r="B152" s="108">
        <v>415</v>
      </c>
      <c r="C152" s="69">
        <v>-7.1770334999999999E-3</v>
      </c>
      <c r="D152" s="13">
        <v>416</v>
      </c>
      <c r="E152" s="14">
        <f>IF(ISNUMBER(D152), (D152 - $B152) / $B152, "")</f>
        <v>2.4096385542168677E-3</v>
      </c>
      <c r="F152" s="16">
        <f>IF(ISNUMBER(D152), $B172 * E152, "")</f>
        <v>361.44578313253015</v>
      </c>
      <c r="G152" s="29">
        <v>418</v>
      </c>
      <c r="H152" s="14">
        <f>IF(ISNUMBER(G152), (G152 - $B152) / $B152, "")</f>
        <v>7.2289156626506026E-3</v>
      </c>
      <c r="I152" s="90">
        <f>IF(ISNUMBER(G152), $B172 * H152, "")</f>
        <v>1084.3373493975903</v>
      </c>
      <c r="J152" s="13">
        <v>418</v>
      </c>
      <c r="K152" s="14">
        <f>IF(ISNUMBER(J152), (J152 - $B152) / $B152, "")</f>
        <v>7.2289156626506026E-3</v>
      </c>
      <c r="L152" s="16">
        <f>IF(ISNUMBER(J152), $B172 * K152, "")</f>
        <v>1084.3373493975903</v>
      </c>
      <c r="M152" s="29">
        <v>419</v>
      </c>
      <c r="N152" s="14">
        <f>IF(ISNUMBER(M152), (M152 - $B152) / $B152, "")</f>
        <v>9.6385542168674707E-3</v>
      </c>
      <c r="O152" s="16">
        <f>IF(ISNUMBER(M152), $B172 * N152, "")</f>
        <v>1445.7831325301206</v>
      </c>
      <c r="Q152" s="156"/>
      <c r="R152" s="156"/>
      <c r="S152" s="156"/>
    </row>
    <row r="153" spans="1:19" ht="17.25" thickBot="1">
      <c r="A153" s="109" t="s">
        <v>169</v>
      </c>
      <c r="B153" s="110">
        <v>275</v>
      </c>
      <c r="C153" s="70">
        <v>-7.2202166E-3</v>
      </c>
      <c r="D153" s="15">
        <v>278</v>
      </c>
      <c r="E153" s="32">
        <f t="shared" ref="E153:E156" si="78">IF(ISNUMBER(D153), (D153 - $B153) / $B153, "")</f>
        <v>1.090909090909091E-2</v>
      </c>
      <c r="F153" s="18">
        <f>IF(ISNUMBER(D153), $B172 * E153, "")</f>
        <v>1636.3636363636365</v>
      </c>
      <c r="G153" s="31">
        <v>279</v>
      </c>
      <c r="H153" s="32">
        <f t="shared" ref="H153:H156" si="79">IF(ISNUMBER(G153), (G153 - $B153) / $B153, "")</f>
        <v>1.4545454545454545E-2</v>
      </c>
      <c r="I153" s="91">
        <f>IF(ISNUMBER(G153), $B172 * H153, "")</f>
        <v>2181.818181818182</v>
      </c>
      <c r="J153" s="15">
        <v>279</v>
      </c>
      <c r="K153" s="32">
        <f t="shared" ref="K153:K156" si="80">IF(ISNUMBER(J153), (J153 - $B153) / $B153, "")</f>
        <v>1.4545454545454545E-2</v>
      </c>
      <c r="L153" s="18">
        <f>IF(ISNUMBER(J153), $B172 * K153, "")</f>
        <v>2181.818181818182</v>
      </c>
      <c r="M153" s="31">
        <v>279</v>
      </c>
      <c r="N153" s="32">
        <f t="shared" ref="N153:N156" si="81">IF(ISNUMBER(M153), (M153 - $B153) / $B153, "")</f>
        <v>1.4545454545454545E-2</v>
      </c>
      <c r="O153" s="18">
        <f>IF(ISNUMBER(M153), $B172 * N153, "")</f>
        <v>2181.818181818182</v>
      </c>
      <c r="Q153" s="156"/>
      <c r="R153" s="156"/>
      <c r="S153" s="156"/>
    </row>
    <row r="154" spans="1:19" ht="17.25" thickBot="1">
      <c r="A154" s="109" t="s">
        <v>204</v>
      </c>
      <c r="B154" s="110">
        <v>270</v>
      </c>
      <c r="C154" s="70">
        <v>-7.3529412000000001E-3</v>
      </c>
      <c r="D154" s="15">
        <v>272</v>
      </c>
      <c r="E154" s="32">
        <f t="shared" si="78"/>
        <v>7.4074074074074077E-3</v>
      </c>
      <c r="F154" s="18">
        <f>IF(ISNUMBER(D154), $B172 * E154, "")</f>
        <v>1111.1111111111111</v>
      </c>
      <c r="G154" s="31">
        <v>272</v>
      </c>
      <c r="H154" s="32">
        <f t="shared" si="79"/>
        <v>7.4074074074074077E-3</v>
      </c>
      <c r="I154" s="91">
        <f>IF(ISNUMBER(G154), $B172 * H154, "")</f>
        <v>1111.1111111111111</v>
      </c>
      <c r="J154" s="15">
        <v>272</v>
      </c>
      <c r="K154" s="32">
        <f t="shared" si="80"/>
        <v>7.4074074074074077E-3</v>
      </c>
      <c r="L154" s="18">
        <f>IF(ISNUMBER(J154), $B172 * K154, "")</f>
        <v>1111.1111111111111</v>
      </c>
      <c r="M154" s="31">
        <v>272</v>
      </c>
      <c r="N154" s="32">
        <f t="shared" si="81"/>
        <v>7.4074074074074077E-3</v>
      </c>
      <c r="O154" s="18">
        <f>IF(ISNUMBER(M154), $B172 * N154, "")</f>
        <v>1111.1111111111111</v>
      </c>
      <c r="Q154" s="161"/>
      <c r="R154" s="161"/>
      <c r="S154" s="161"/>
    </row>
    <row r="155" spans="1:19" ht="17.25" thickBot="1">
      <c r="A155" s="109" t="s">
        <v>51</v>
      </c>
      <c r="B155" s="110">
        <v>113</v>
      </c>
      <c r="C155" s="70">
        <v>-8.7719297999999998E-3</v>
      </c>
      <c r="D155" s="15">
        <v>115</v>
      </c>
      <c r="E155" s="32">
        <f t="shared" si="78"/>
        <v>1.7699115044247787E-2</v>
      </c>
      <c r="F155" s="18">
        <f>IF(ISNUMBER(D155), $B172 * E155, "")</f>
        <v>2654.8672566371679</v>
      </c>
      <c r="G155" s="31">
        <v>114</v>
      </c>
      <c r="H155" s="32">
        <f t="shared" si="79"/>
        <v>8.8495575221238937E-3</v>
      </c>
      <c r="I155" s="91">
        <f>IF(ISNUMBER(G155), $B172 * H155, "")</f>
        <v>1327.4336283185839</v>
      </c>
      <c r="J155" s="15">
        <v>114</v>
      </c>
      <c r="K155" s="32">
        <f t="shared" si="80"/>
        <v>8.8495575221238937E-3</v>
      </c>
      <c r="L155" s="18">
        <f>IF(ISNUMBER(J155), $B172 * K155, "")</f>
        <v>1327.4336283185839</v>
      </c>
      <c r="M155" s="31">
        <v>113</v>
      </c>
      <c r="N155" s="32">
        <f t="shared" si="81"/>
        <v>0</v>
      </c>
      <c r="O155" s="18">
        <f>IF(ISNUMBER(M155), $B172 * N155, "")</f>
        <v>0</v>
      </c>
      <c r="Q155" s="161"/>
      <c r="R155" s="161"/>
      <c r="S155" s="161"/>
    </row>
    <row r="156" spans="1:19" ht="17.25" thickBot="1">
      <c r="A156" s="111" t="s">
        <v>337</v>
      </c>
      <c r="B156" s="112">
        <v>323</v>
      </c>
      <c r="C156" s="71">
        <v>-9.2024540000000005E-3</v>
      </c>
      <c r="D156" s="20">
        <v>323</v>
      </c>
      <c r="E156" s="21">
        <f t="shared" si="78"/>
        <v>0</v>
      </c>
      <c r="F156" s="22">
        <f>IF(ISNUMBER(D156), $B172 * E156, "")</f>
        <v>0</v>
      </c>
      <c r="G156" s="30">
        <v>326</v>
      </c>
      <c r="H156" s="21">
        <f t="shared" si="79"/>
        <v>9.2879256965944269E-3</v>
      </c>
      <c r="I156" s="95">
        <f>IF(ISNUMBER(G156), $B172 * H156, "")</f>
        <v>1393.188854489164</v>
      </c>
      <c r="J156" s="20">
        <v>326</v>
      </c>
      <c r="K156" s="21">
        <f t="shared" si="80"/>
        <v>9.2879256965944269E-3</v>
      </c>
      <c r="L156" s="22">
        <f>IF(ISNUMBER(J156), $B172 * K156, "")</f>
        <v>1393.188854489164</v>
      </c>
      <c r="M156" s="30">
        <v>329</v>
      </c>
      <c r="N156" s="21">
        <f t="shared" si="81"/>
        <v>1.8575851393188854E-2</v>
      </c>
      <c r="O156" s="22">
        <f>IF(ISNUMBER(M156), $B172 * N156, "")</f>
        <v>2786.377708978328</v>
      </c>
      <c r="Q156" s="161"/>
      <c r="R156" s="161"/>
      <c r="S156" s="161"/>
    </row>
    <row r="157" spans="1:19" ht="17.25" thickBot="1">
      <c r="A157" s="109" t="s">
        <v>208</v>
      </c>
      <c r="B157" s="113">
        <v>107</v>
      </c>
      <c r="C157" s="73">
        <v>-9.2592592999999994E-3</v>
      </c>
      <c r="D157" s="96">
        <v>109</v>
      </c>
      <c r="E157" s="97">
        <f>IF(ISNUMBER(D157), (D157 - $B157) / $B157, "")</f>
        <v>1.8691588785046728E-2</v>
      </c>
      <c r="F157" s="98">
        <f>IF(ISNUMBER(D157), $B172 * E157, "")</f>
        <v>2803.7383177570091</v>
      </c>
      <c r="G157" s="99">
        <v>109</v>
      </c>
      <c r="H157" s="97">
        <f>IF(ISNUMBER(G157), (G157 - $B157) / $B157, "")</f>
        <v>1.8691588785046728E-2</v>
      </c>
      <c r="I157" s="100">
        <f>IF(ISNUMBER(G157), $B172 * H157, "")</f>
        <v>2803.7383177570091</v>
      </c>
      <c r="J157" s="96">
        <v>109</v>
      </c>
      <c r="K157" s="97">
        <f>IF(ISNUMBER(J157), (J157 - $B157) / $B157, "")</f>
        <v>1.8691588785046728E-2</v>
      </c>
      <c r="L157" s="98">
        <f>IF(ISNUMBER(J157), $B172 * K157, "")</f>
        <v>2803.7383177570091</v>
      </c>
      <c r="M157" s="99">
        <v>110</v>
      </c>
      <c r="N157" s="97">
        <f>IF(ISNUMBER(M157), (M157 - $B157) / $B157, "")</f>
        <v>2.8037383177570093E-2</v>
      </c>
      <c r="O157" s="98">
        <f>IF(ISNUMBER(M157), $B172 * N157, "")</f>
        <v>4205.6074766355141</v>
      </c>
      <c r="Q157" s="161"/>
      <c r="R157" s="161"/>
      <c r="S157" s="161"/>
    </row>
    <row r="158" spans="1:19" ht="17.25" thickBot="1">
      <c r="A158" s="109" t="s">
        <v>159</v>
      </c>
      <c r="B158" s="110">
        <v>202</v>
      </c>
      <c r="C158" s="70">
        <v>-9.8039215999999995E-3</v>
      </c>
      <c r="D158" s="15">
        <v>202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202</v>
      </c>
      <c r="H158" s="32">
        <f t="shared" ref="H158:H161" si="83">IF(ISNUMBER(G158), (G158 - $B158) / $B158, "")</f>
        <v>0</v>
      </c>
      <c r="I158" s="91">
        <f>IF(ISNUMBER(G158), $B172 * H158, "")</f>
        <v>0</v>
      </c>
      <c r="J158" s="15">
        <v>202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202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61"/>
      <c r="R158" s="161"/>
      <c r="S158" s="161"/>
    </row>
    <row r="159" spans="1:19" ht="17.25" thickBot="1">
      <c r="A159" s="109" t="s">
        <v>79</v>
      </c>
      <c r="B159" s="110">
        <v>299</v>
      </c>
      <c r="C159" s="70">
        <v>-9.9337747999999997E-3</v>
      </c>
      <c r="D159" s="15">
        <v>301</v>
      </c>
      <c r="E159" s="32">
        <f t="shared" si="82"/>
        <v>6.688963210702341E-3</v>
      </c>
      <c r="F159" s="18">
        <f>IF(ISNUMBER(D159), $B172 * E159, "")</f>
        <v>1003.3444816053511</v>
      </c>
      <c r="G159" s="31">
        <v>303</v>
      </c>
      <c r="H159" s="32">
        <f t="shared" si="83"/>
        <v>1.3377926421404682E-2</v>
      </c>
      <c r="I159" s="91">
        <f>IF(ISNUMBER(G159), $B172 * H159, "")</f>
        <v>2006.6889632107022</v>
      </c>
      <c r="J159" s="15">
        <v>303</v>
      </c>
      <c r="K159" s="32">
        <f t="shared" si="84"/>
        <v>1.3377926421404682E-2</v>
      </c>
      <c r="L159" s="18">
        <f>IF(ISNUMBER(J159), $B172 * K159, "")</f>
        <v>2006.6889632107022</v>
      </c>
      <c r="M159" s="31">
        <v>304</v>
      </c>
      <c r="N159" s="32">
        <f t="shared" si="85"/>
        <v>1.6722408026755852E-2</v>
      </c>
      <c r="O159" s="18">
        <f>IF(ISNUMBER(M159), $B172 * N159, "")</f>
        <v>2508.361204013378</v>
      </c>
      <c r="Q159" s="161"/>
      <c r="R159" s="161"/>
      <c r="S159" s="161"/>
    </row>
    <row r="160" spans="1:19" ht="17.25" thickBot="1">
      <c r="A160" s="109" t="s">
        <v>187</v>
      </c>
      <c r="B160" s="110">
        <v>795</v>
      </c>
      <c r="C160" s="70">
        <v>-9.9626400999999996E-3</v>
      </c>
      <c r="D160" s="15">
        <v>897</v>
      </c>
      <c r="E160" s="32">
        <f t="shared" si="82"/>
        <v>0.12830188679245283</v>
      </c>
      <c r="F160" s="18">
        <f>IF(ISNUMBER(D160), $B172 * E160, "")</f>
        <v>19245.283018867925</v>
      </c>
      <c r="G160" s="31">
        <v>832</v>
      </c>
      <c r="H160" s="32">
        <f t="shared" si="83"/>
        <v>4.6540880503144651E-2</v>
      </c>
      <c r="I160" s="91">
        <f>IF(ISNUMBER(G160), $B172 * H160, "")</f>
        <v>6981.132075471698</v>
      </c>
      <c r="J160" s="15">
        <v>832</v>
      </c>
      <c r="K160" s="32">
        <f t="shared" si="84"/>
        <v>4.6540880503144651E-2</v>
      </c>
      <c r="L160" s="18">
        <f>IF(ISNUMBER(J160), $B172 * K160, "")</f>
        <v>6981.132075471698</v>
      </c>
      <c r="M160" s="31">
        <v>834</v>
      </c>
      <c r="N160" s="32">
        <f t="shared" si="85"/>
        <v>4.9056603773584909E-2</v>
      </c>
      <c r="O160" s="18">
        <f>IF(ISNUMBER(M160), $B172 * N160, "")</f>
        <v>7358.4905660377362</v>
      </c>
      <c r="Q160" s="33"/>
      <c r="R160" s="33"/>
    </row>
    <row r="161" spans="1:19" ht="17.25" thickBot="1">
      <c r="A161" s="114" t="s">
        <v>89</v>
      </c>
      <c r="B161" s="115">
        <v>517</v>
      </c>
      <c r="C161" s="72">
        <v>-1.3358778599999999E-2</v>
      </c>
      <c r="D161" s="24">
        <v>516</v>
      </c>
      <c r="E161" s="25">
        <f t="shared" si="82"/>
        <v>-1.9342359767891683E-3</v>
      </c>
      <c r="F161" s="94">
        <f>IF(ISNUMBER(D161), $B172 * E161, "")</f>
        <v>-290.13539651837522</v>
      </c>
      <c r="G161" s="92">
        <v>517</v>
      </c>
      <c r="H161" s="25">
        <f t="shared" si="83"/>
        <v>0</v>
      </c>
      <c r="I161" s="93">
        <f>IF(ISNUMBER(G161), $B172 * H161, "")</f>
        <v>0</v>
      </c>
      <c r="J161" s="24">
        <v>517</v>
      </c>
      <c r="K161" s="25">
        <f t="shared" si="84"/>
        <v>0</v>
      </c>
      <c r="L161" s="94">
        <f>IF(ISNUMBER(J161), $B172 * K161, "")</f>
        <v>0</v>
      </c>
      <c r="M161" s="92">
        <v>518</v>
      </c>
      <c r="N161" s="25">
        <f t="shared" si="85"/>
        <v>1.9342359767891683E-3</v>
      </c>
      <c r="O161" s="94">
        <f>IF(ISNUMBER(M161), $B172 * N161, "")</f>
        <v>290.13539651837522</v>
      </c>
      <c r="Q161" s="170"/>
      <c r="R161" s="171"/>
      <c r="S161" s="172"/>
    </row>
    <row r="162" spans="1:19">
      <c r="A162" s="107" t="s">
        <v>340</v>
      </c>
      <c r="B162" s="108">
        <v>588</v>
      </c>
      <c r="C162" s="69">
        <v>-1.34228188E-2</v>
      </c>
      <c r="D162" s="13">
        <v>589</v>
      </c>
      <c r="E162" s="14">
        <f>IF(ISNUMBER(D162), (D162 - $B162) / $B162, "")</f>
        <v>1.7006802721088435E-3</v>
      </c>
      <c r="F162" s="16">
        <f>IF(ISNUMBER(D162), $B172 * E162, "")</f>
        <v>255.10204081632651</v>
      </c>
      <c r="G162" s="29">
        <v>594</v>
      </c>
      <c r="H162" s="14">
        <f>IF(ISNUMBER(G162), (G162 - $B162) / $B162, "")</f>
        <v>1.020408163265306E-2</v>
      </c>
      <c r="I162" s="90">
        <f>IF(ISNUMBER(G162), $B172 * H162, "")</f>
        <v>1530.612244897959</v>
      </c>
      <c r="J162" s="13">
        <v>594</v>
      </c>
      <c r="K162" s="14">
        <f>IF(ISNUMBER(J162), (J162 - $B162) / $B162, "")</f>
        <v>1.020408163265306E-2</v>
      </c>
      <c r="L162" s="16">
        <f>IF(ISNUMBER(J162), $B172 * K162, "")</f>
        <v>1530.612244897959</v>
      </c>
      <c r="M162" s="29">
        <v>594</v>
      </c>
      <c r="N162" s="14">
        <f>IF(ISNUMBER(M162), (M162 - $B162) / $B162, "")</f>
        <v>1.020408163265306E-2</v>
      </c>
      <c r="O162" s="16">
        <f>IF(ISNUMBER(M162), $B172 * N162, "")</f>
        <v>1530.612244897959</v>
      </c>
      <c r="Q162" s="173"/>
      <c r="R162" s="174"/>
      <c r="S162" s="175"/>
    </row>
    <row r="163" spans="1:19" ht="17.25" thickBot="1">
      <c r="A163" s="109" t="s">
        <v>130</v>
      </c>
      <c r="B163" s="110">
        <v>833</v>
      </c>
      <c r="C163" s="70">
        <v>-1.4201183399999999E-2</v>
      </c>
      <c r="D163" s="15">
        <v>843</v>
      </c>
      <c r="E163" s="32">
        <f t="shared" ref="E163:E166" si="86">IF(ISNUMBER(D163), (D163 - $B163) / $B163, "")</f>
        <v>1.2004801920768308E-2</v>
      </c>
      <c r="F163" s="18">
        <f>IF(ISNUMBER(D163), $B172 * E163, "")</f>
        <v>1800.7202881152461</v>
      </c>
      <c r="G163" s="31">
        <v>843</v>
      </c>
      <c r="H163" s="32">
        <f t="shared" ref="H163:H166" si="87">IF(ISNUMBER(G163), (G163 - $B163) / $B163, "")</f>
        <v>1.2004801920768308E-2</v>
      </c>
      <c r="I163" s="91">
        <f>IF(ISNUMBER(G163), $B172 * H163, "")</f>
        <v>1800.7202881152461</v>
      </c>
      <c r="J163" s="15">
        <v>843</v>
      </c>
      <c r="K163" s="32">
        <f t="shared" ref="K163:K166" si="88">IF(ISNUMBER(J163), (J163 - $B163) / $B163, "")</f>
        <v>1.2004801920768308E-2</v>
      </c>
      <c r="L163" s="18">
        <f>IF(ISNUMBER(J163), $B172 * K163, "")</f>
        <v>1800.7202881152461</v>
      </c>
      <c r="M163" s="31">
        <v>844</v>
      </c>
      <c r="N163" s="32">
        <f t="shared" ref="N163:N166" si="89">IF(ISNUMBER(M163), (M163 - $B163) / $B163, "")</f>
        <v>1.3205282112845138E-2</v>
      </c>
      <c r="O163" s="18">
        <f>IF(ISNUMBER(M163), $B172 * N163, "")</f>
        <v>1980.7923169267708</v>
      </c>
      <c r="Q163" s="176"/>
      <c r="R163" s="177"/>
      <c r="S163" s="178"/>
    </row>
    <row r="164" spans="1:19" ht="17.25" thickBot="1">
      <c r="A164" s="109" t="s">
        <v>352</v>
      </c>
      <c r="B164" s="110">
        <v>266</v>
      </c>
      <c r="C164" s="70">
        <v>-1.4814814799999999E-2</v>
      </c>
      <c r="D164" s="15">
        <v>266</v>
      </c>
      <c r="E164" s="32">
        <f t="shared" si="86"/>
        <v>0</v>
      </c>
      <c r="F164" s="18">
        <f>IF(ISNUMBER(D164), $B172 * E164, "")</f>
        <v>0</v>
      </c>
      <c r="G164" s="31">
        <v>264</v>
      </c>
      <c r="H164" s="32">
        <f t="shared" si="87"/>
        <v>-7.5187969924812026E-3</v>
      </c>
      <c r="I164" s="91">
        <f>IF(ISNUMBER(G164), $B172 * H164, "")</f>
        <v>-1127.8195488721803</v>
      </c>
      <c r="J164" s="15">
        <v>264</v>
      </c>
      <c r="K164" s="32">
        <f t="shared" si="88"/>
        <v>-7.5187969924812026E-3</v>
      </c>
      <c r="L164" s="18">
        <f>IF(ISNUMBER(J164), $B172 * K164, "")</f>
        <v>-1127.8195488721803</v>
      </c>
      <c r="M164" s="31">
        <v>264</v>
      </c>
      <c r="N164" s="32">
        <f t="shared" si="89"/>
        <v>-7.5187969924812026E-3</v>
      </c>
      <c r="O164" s="18">
        <f>IF(ISNUMBER(M164), $B172 * N164, "")</f>
        <v>-1127.8195488721803</v>
      </c>
      <c r="Q164" s="161"/>
      <c r="R164" s="161"/>
      <c r="S164" s="161"/>
    </row>
    <row r="165" spans="1:19" ht="17.25" thickBot="1">
      <c r="A165" s="109" t="s">
        <v>120</v>
      </c>
      <c r="B165" s="110">
        <v>129</v>
      </c>
      <c r="C165" s="70">
        <v>-1.52671756E-2</v>
      </c>
      <c r="D165" s="15">
        <v>130</v>
      </c>
      <c r="E165" s="32">
        <f t="shared" si="86"/>
        <v>7.7519379844961239E-3</v>
      </c>
      <c r="F165" s="18">
        <f>IF(ISNUMBER(D165), $B172 * E165, "")</f>
        <v>1162.7906976744187</v>
      </c>
      <c r="G165" s="31">
        <v>129</v>
      </c>
      <c r="H165" s="32">
        <f t="shared" si="87"/>
        <v>0</v>
      </c>
      <c r="I165" s="91">
        <f>IF(ISNUMBER(G165), $B172 * H165, "")</f>
        <v>0</v>
      </c>
      <c r="J165" s="15">
        <v>129</v>
      </c>
      <c r="K165" s="32">
        <f t="shared" si="88"/>
        <v>0</v>
      </c>
      <c r="L165" s="18">
        <f>IF(ISNUMBER(J165), $B172 * K165, "")</f>
        <v>0</v>
      </c>
      <c r="M165" s="31">
        <v>129</v>
      </c>
      <c r="N165" s="32">
        <f t="shared" si="89"/>
        <v>0</v>
      </c>
      <c r="O165" s="18">
        <f>IF(ISNUMBER(M165), $B172 * N165, "")</f>
        <v>0</v>
      </c>
      <c r="Q165" s="156"/>
      <c r="R165" s="156"/>
      <c r="S165" s="156"/>
    </row>
    <row r="166" spans="1:19" ht="17.25" thickBot="1">
      <c r="A166" s="111" t="s">
        <v>68</v>
      </c>
      <c r="B166" s="112">
        <v>374</v>
      </c>
      <c r="C166" s="71">
        <v>-1.8372703399999999E-2</v>
      </c>
      <c r="D166" s="20">
        <v>364</v>
      </c>
      <c r="E166" s="21">
        <f t="shared" si="86"/>
        <v>-2.6737967914438502E-2</v>
      </c>
      <c r="F166" s="22">
        <f>IF(ISNUMBER(D166), $B172 * E166, "")</f>
        <v>-4010.6951871657752</v>
      </c>
      <c r="G166" s="30">
        <v>365</v>
      </c>
      <c r="H166" s="21">
        <f t="shared" si="87"/>
        <v>-2.4064171122994651E-2</v>
      </c>
      <c r="I166" s="95">
        <f>IF(ISNUMBER(G166), $B172 * H166, "")</f>
        <v>-3609.6256684491977</v>
      </c>
      <c r="J166" s="20">
        <v>365</v>
      </c>
      <c r="K166" s="21">
        <f t="shared" si="88"/>
        <v>-2.4064171122994651E-2</v>
      </c>
      <c r="L166" s="22">
        <f>IF(ISNUMBER(J166), $B172 * K166, "")</f>
        <v>-3609.6256684491977</v>
      </c>
      <c r="M166" s="30">
        <v>366</v>
      </c>
      <c r="N166" s="21">
        <f t="shared" si="89"/>
        <v>-2.1390374331550801E-2</v>
      </c>
      <c r="O166" s="22">
        <f>IF(ISNUMBER(M166), $B172 * N166, "")</f>
        <v>-3208.5561497326203</v>
      </c>
      <c r="Q166" s="156"/>
      <c r="R166" s="156"/>
      <c r="S166" s="156"/>
    </row>
    <row r="167" spans="1:19" ht="17.25" thickBot="1">
      <c r="A167" s="109" t="s">
        <v>111</v>
      </c>
      <c r="B167" s="113">
        <v>774</v>
      </c>
      <c r="C167" s="73">
        <v>-1.9011406799999998E-2</v>
      </c>
      <c r="D167" s="96">
        <v>774</v>
      </c>
      <c r="E167" s="97">
        <f>IF(ISNUMBER(D167), (D167 - $B167) / $B167, "")</f>
        <v>0</v>
      </c>
      <c r="F167" s="98">
        <f>IF(ISNUMBER(D167), $B172 * E167, "")</f>
        <v>0</v>
      </c>
      <c r="G167" s="99">
        <v>782</v>
      </c>
      <c r="H167" s="97">
        <f>IF(ISNUMBER(G167), (G167 - $B167) / $B167, "")</f>
        <v>1.0335917312661499E-2</v>
      </c>
      <c r="I167" s="100">
        <f>IF(ISNUMBER(G167), $B172 * H167, "")</f>
        <v>1550.3875968992249</v>
      </c>
      <c r="J167" s="96">
        <v>782</v>
      </c>
      <c r="K167" s="97">
        <f>IF(ISNUMBER(J167), (J167 - $B167) / $B167, "")</f>
        <v>1.0335917312661499E-2</v>
      </c>
      <c r="L167" s="98">
        <f>IF(ISNUMBER(J167), $B172 * K167, "")</f>
        <v>1550.3875968992249</v>
      </c>
      <c r="M167" s="99">
        <v>781</v>
      </c>
      <c r="N167" s="97">
        <f>IF(ISNUMBER(M167), (M167 - $B167) / $B167, "")</f>
        <v>9.0439276485788107E-3</v>
      </c>
      <c r="O167" s="98">
        <f>IF(ISNUMBER(M167), $B172 * N167, "")</f>
        <v>1356.5891472868216</v>
      </c>
      <c r="Q167" s="161"/>
      <c r="R167" s="161"/>
      <c r="S167" s="161"/>
    </row>
    <row r="168" spans="1:19" ht="17.25" thickBot="1">
      <c r="A168" s="109" t="s">
        <v>85</v>
      </c>
      <c r="B168" s="110">
        <v>201</v>
      </c>
      <c r="C168" s="70">
        <v>-1.9512195100000001E-2</v>
      </c>
      <c r="D168" s="15">
        <v>201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200</v>
      </c>
      <c r="H168" s="32">
        <f t="shared" ref="H168:H171" si="91">IF(ISNUMBER(G168), (G168 - $B168) / $B168, "")</f>
        <v>-4.9751243781094526E-3</v>
      </c>
      <c r="I168" s="91">
        <f>IF(ISNUMBER(G168), $B172 * H168, "")</f>
        <v>-746.26865671641792</v>
      </c>
      <c r="J168" s="15">
        <v>200</v>
      </c>
      <c r="K168" s="32">
        <f t="shared" ref="K168:K171" si="92">IF(ISNUMBER(J168), (J168 - $B168) / $B168, "")</f>
        <v>-4.9751243781094526E-3</v>
      </c>
      <c r="L168" s="18">
        <f>IF(ISNUMBER(J168), $B172 * K168, "")</f>
        <v>-746.26865671641792</v>
      </c>
      <c r="M168" s="31">
        <v>202</v>
      </c>
      <c r="N168" s="32">
        <f t="shared" ref="N168:N171" si="93">IF(ISNUMBER(M168), (M168 - $B168) / $B168, "")</f>
        <v>4.9751243781094526E-3</v>
      </c>
      <c r="O168" s="18">
        <f>IF(ISNUMBER(M168), $B172 * N168, "")</f>
        <v>746.26865671641792</v>
      </c>
      <c r="Q168" s="161"/>
      <c r="R168" s="161"/>
      <c r="S168" s="161"/>
    </row>
    <row r="169" spans="1:19" ht="17.25" thickBot="1">
      <c r="A169" s="109" t="s">
        <v>349</v>
      </c>
      <c r="B169" s="110">
        <v>790</v>
      </c>
      <c r="C169" s="70">
        <v>-2.10656753E-2</v>
      </c>
      <c r="D169" s="15">
        <v>835</v>
      </c>
      <c r="E169" s="32">
        <f t="shared" si="90"/>
        <v>5.6962025316455694E-2</v>
      </c>
      <c r="F169" s="18">
        <f>IF(ISNUMBER(D169), $B172 * E169, "")</f>
        <v>8544.3037974683539</v>
      </c>
      <c r="G169" s="31">
        <v>815</v>
      </c>
      <c r="H169" s="32">
        <f t="shared" si="91"/>
        <v>3.1645569620253167E-2</v>
      </c>
      <c r="I169" s="91">
        <f>IF(ISNUMBER(G169), $B172 * H169, "")</f>
        <v>4746.835443037975</v>
      </c>
      <c r="J169" s="15">
        <v>815</v>
      </c>
      <c r="K169" s="32">
        <f t="shared" si="92"/>
        <v>3.1645569620253167E-2</v>
      </c>
      <c r="L169" s="18">
        <f>IF(ISNUMBER(J169), $B172 * K169, "")</f>
        <v>4746.835443037975</v>
      </c>
      <c r="M169" s="31">
        <v>815</v>
      </c>
      <c r="N169" s="32">
        <f t="shared" si="93"/>
        <v>3.1645569620253167E-2</v>
      </c>
      <c r="O169" s="18">
        <f>IF(ISNUMBER(M169), $B172 * N169, "")</f>
        <v>4746.835443037975</v>
      </c>
      <c r="Q169" s="161"/>
      <c r="R169" s="161"/>
      <c r="S169" s="161"/>
    </row>
    <row r="170" spans="1:19">
      <c r="A170" s="109" t="s">
        <v>346</v>
      </c>
      <c r="B170" s="110">
        <v>536</v>
      </c>
      <c r="C170" s="70">
        <v>-2.1897810199999999E-2</v>
      </c>
      <c r="D170" s="15">
        <v>534</v>
      </c>
      <c r="E170" s="32">
        <f t="shared" si="90"/>
        <v>-3.7313432835820895E-3</v>
      </c>
      <c r="F170" s="18">
        <f>IF(ISNUMBER(D170), $B172 * E170, "")</f>
        <v>-559.70149253731347</v>
      </c>
      <c r="G170" s="31">
        <v>535</v>
      </c>
      <c r="H170" s="32">
        <f t="shared" si="91"/>
        <v>-1.8656716417910447E-3</v>
      </c>
      <c r="I170" s="91">
        <f>IF(ISNUMBER(G170), $B172 * H170, "")</f>
        <v>-279.85074626865674</v>
      </c>
      <c r="J170" s="15">
        <v>535</v>
      </c>
      <c r="K170" s="32">
        <f t="shared" si="92"/>
        <v>-1.8656716417910447E-3</v>
      </c>
      <c r="L170" s="18">
        <f>IF(ISNUMBER(J170), $B172 * K170, "")</f>
        <v>-279.85074626865674</v>
      </c>
      <c r="M170" s="31">
        <v>538</v>
      </c>
      <c r="N170" s="32">
        <f t="shared" si="93"/>
        <v>3.7313432835820895E-3</v>
      </c>
      <c r="O170" s="18">
        <f>IF(ISNUMBER(M170), $B172 * N170, "")</f>
        <v>559.70149253731347</v>
      </c>
      <c r="Q170" s="183"/>
      <c r="R170" s="184"/>
      <c r="S170" s="185"/>
    </row>
    <row r="171" spans="1:19" ht="17.25" thickBot="1">
      <c r="A171" s="114" t="s">
        <v>256</v>
      </c>
      <c r="B171" s="115">
        <v>129</v>
      </c>
      <c r="C171" s="72">
        <v>-2.2727272699999999E-2</v>
      </c>
      <c r="D171" s="24">
        <v>130</v>
      </c>
      <c r="E171" s="25">
        <f t="shared" si="90"/>
        <v>7.7519379844961239E-3</v>
      </c>
      <c r="F171" s="94">
        <f>IF(ISNUMBER(D171), $B172 * E171, "")</f>
        <v>1162.7906976744187</v>
      </c>
      <c r="G171" s="92">
        <v>129</v>
      </c>
      <c r="H171" s="25">
        <f t="shared" si="91"/>
        <v>0</v>
      </c>
      <c r="I171" s="93">
        <f>IF(ISNUMBER(G171), $B172 * H171, "")</f>
        <v>0</v>
      </c>
      <c r="J171" s="24">
        <v>129</v>
      </c>
      <c r="K171" s="25">
        <f t="shared" si="92"/>
        <v>0</v>
      </c>
      <c r="L171" s="94">
        <f>IF(ISNUMBER(J171), $B172 * K171, "")</f>
        <v>0</v>
      </c>
      <c r="M171" s="92">
        <v>130</v>
      </c>
      <c r="N171" s="25">
        <f t="shared" si="93"/>
        <v>7.7519379844961239E-3</v>
      </c>
      <c r="O171" s="94">
        <f>IF(ISNUMBER(M171), $B172 * N171, "")</f>
        <v>1162.7906976744187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1.2293776350334009E-2</v>
      </c>
      <c r="F172" s="28">
        <f>SUM(F152:F171)</f>
        <v>36881.329051002031</v>
      </c>
      <c r="G172" s="26" t="s">
        <v>261</v>
      </c>
      <c r="H172" s="27">
        <f>IF(COUNT(H152:H171), SUM(H152:H171) / COUNT(H152:H171), 0)</f>
        <v>7.5848131447393318E-3</v>
      </c>
      <c r="I172" s="28">
        <f>SUM(I152:I171)</f>
        <v>22754.439434217991</v>
      </c>
      <c r="J172" s="26" t="s">
        <v>261</v>
      </c>
      <c r="K172" s="27">
        <f>IF(COUNT(K152:K171), SUM(K152:K171) / COUNT(K152:K171), 0)</f>
        <v>7.5848131447393318E-3</v>
      </c>
      <c r="L172" s="28">
        <f>SUM(L152:L171)</f>
        <v>22754.439434217991</v>
      </c>
      <c r="M172" s="26" t="s">
        <v>261</v>
      </c>
      <c r="N172" s="27">
        <f>IF(COUNT(N152:N171), SUM(N152:N171) / COUNT(N152:N171), 0)</f>
        <v>9.8782996927052058E-3</v>
      </c>
      <c r="O172" s="28">
        <f>SUM(O152:O171)</f>
        <v>29634.899078115617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2022-12-10(토) 오전 00:00</v>
      </c>
      <c r="C177" s="199"/>
      <c r="D177" s="158" t="str">
        <f>TEXT($G$1, "[$-ko-KR]yyyy-mm-dd(ddd) ") &amp; "오후 14:00"</f>
        <v>2022-12-10(토) 오후 14:00</v>
      </c>
      <c r="E177" s="159"/>
      <c r="F177" s="160"/>
      <c r="G177" s="158" t="str">
        <f>TEXT($G$1, "[$-ko-KR]yyyy-mm-dd(ddd) ") &amp; "오후 19:00"</f>
        <v>2022-12-10(토) 오후 19:00</v>
      </c>
      <c r="H177" s="159"/>
      <c r="I177" s="160"/>
      <c r="J177" s="158" t="str">
        <f>TEXT($G$1, "[$-ko-KR]yyyy-mm-dd(ddd) ") &amp; "오후 21:00"</f>
        <v>2022-12-10(토) 오후 21:00</v>
      </c>
      <c r="K177" s="159"/>
      <c r="L177" s="160"/>
      <c r="M177" s="158" t="str">
        <f>TEXT($G$1+1, "[$-ko-KR]yyyy-mm-dd(ddd) ") &amp; "오전 00:00"</f>
        <v>2022-12-11(일)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107</v>
      </c>
      <c r="B179" s="108">
        <v>42.2</v>
      </c>
      <c r="C179" s="69">
        <v>-1.4018691600000001E-2</v>
      </c>
      <c r="D179" s="13">
        <v>42.5</v>
      </c>
      <c r="E179" s="14">
        <f>IF(ISNUMBER(D179), (D179 - $B179) / $B179, "")</f>
        <v>7.1090047393364249E-3</v>
      </c>
      <c r="F179" s="16">
        <f>IF(ISNUMBER(D179), $B199 * E179, "")</f>
        <v>1066.3507109004638</v>
      </c>
      <c r="G179" s="29">
        <v>42.3</v>
      </c>
      <c r="H179" s="14">
        <f>IF(ISNUMBER(G179), (G179 - $B179) / $B179, "")</f>
        <v>2.3696682464453629E-3</v>
      </c>
      <c r="I179" s="90">
        <f>IF(ISNUMBER(G179), $B199 * H179, "")</f>
        <v>355.45023696680443</v>
      </c>
      <c r="J179" s="13">
        <v>42.3</v>
      </c>
      <c r="K179" s="14">
        <f>IF(ISNUMBER(J179), (J179 - $B179) / $B179, "")</f>
        <v>2.3696682464453629E-3</v>
      </c>
      <c r="L179" s="16">
        <f>IF(ISNUMBER(J179), $B199 * K179, "")</f>
        <v>355.45023696680443</v>
      </c>
      <c r="M179" s="29">
        <v>42.1</v>
      </c>
      <c r="N179" s="14">
        <f>IF(ISNUMBER(M179), (M179 - $B179) / $B179, "")</f>
        <v>-2.3696682464455312E-3</v>
      </c>
      <c r="O179" s="16">
        <f>IF(ISNUMBER(M179), $B199 * N179, "")</f>
        <v>-355.45023696682966</v>
      </c>
      <c r="Q179" s="156"/>
      <c r="R179" s="156"/>
      <c r="S179" s="156"/>
    </row>
    <row r="180" spans="1:19" ht="17.25" thickBot="1">
      <c r="A180" s="109" t="s">
        <v>130</v>
      </c>
      <c r="B180" s="110">
        <v>833</v>
      </c>
      <c r="C180" s="70">
        <v>-1.4201183399999999E-2</v>
      </c>
      <c r="D180" s="15">
        <v>843</v>
      </c>
      <c r="E180" s="32">
        <f t="shared" ref="E180:E183" si="94">IF(ISNUMBER(D180), (D180 - $B180) / $B180, "")</f>
        <v>1.2004801920768308E-2</v>
      </c>
      <c r="F180" s="18">
        <f>IF(ISNUMBER(D180), $B199 * E180, "")</f>
        <v>1800.7202881152461</v>
      </c>
      <c r="G180" s="31">
        <v>843</v>
      </c>
      <c r="H180" s="32">
        <f t="shared" ref="H180:H183" si="95">IF(ISNUMBER(G180), (G180 - $B180) / $B180, "")</f>
        <v>1.2004801920768308E-2</v>
      </c>
      <c r="I180" s="91">
        <f>IF(ISNUMBER(G180), $B199 * H180, "")</f>
        <v>1800.7202881152461</v>
      </c>
      <c r="J180" s="15">
        <v>843</v>
      </c>
      <c r="K180" s="32">
        <f t="shared" ref="K180:K183" si="96">IF(ISNUMBER(J180), (J180 - $B180) / $B180, "")</f>
        <v>1.2004801920768308E-2</v>
      </c>
      <c r="L180" s="18">
        <f>IF(ISNUMBER(J180), $B199 * K180, "")</f>
        <v>1800.7202881152461</v>
      </c>
      <c r="M180" s="31">
        <v>844</v>
      </c>
      <c r="N180" s="32">
        <f t="shared" ref="N180:N183" si="97">IF(ISNUMBER(M180), (M180 - $B180) / $B180, "")</f>
        <v>1.3205282112845138E-2</v>
      </c>
      <c r="O180" s="18">
        <f>IF(ISNUMBER(M180), $B199 * N180, "")</f>
        <v>1980.7923169267708</v>
      </c>
      <c r="Q180" s="156"/>
      <c r="R180" s="156"/>
      <c r="S180" s="156"/>
    </row>
    <row r="181" spans="1:19" ht="17.25" thickBot="1">
      <c r="A181" s="109" t="s">
        <v>352</v>
      </c>
      <c r="B181" s="110">
        <v>266</v>
      </c>
      <c r="C181" s="70">
        <v>-1.4814814799999999E-2</v>
      </c>
      <c r="D181" s="15">
        <v>266</v>
      </c>
      <c r="E181" s="32">
        <f t="shared" si="94"/>
        <v>0</v>
      </c>
      <c r="F181" s="18">
        <f>IF(ISNUMBER(D181), $B199 * E181, "")</f>
        <v>0</v>
      </c>
      <c r="G181" s="31">
        <v>264</v>
      </c>
      <c r="H181" s="32">
        <f t="shared" si="95"/>
        <v>-7.5187969924812026E-3</v>
      </c>
      <c r="I181" s="91">
        <f>IF(ISNUMBER(G181), $B199 * H181, "")</f>
        <v>-1127.8195488721803</v>
      </c>
      <c r="J181" s="15">
        <v>264</v>
      </c>
      <c r="K181" s="32">
        <f t="shared" si="96"/>
        <v>-7.5187969924812026E-3</v>
      </c>
      <c r="L181" s="18">
        <f>IF(ISNUMBER(J181), $B199 * K181, "")</f>
        <v>-1127.8195488721803</v>
      </c>
      <c r="M181" s="31">
        <v>264</v>
      </c>
      <c r="N181" s="32">
        <f t="shared" si="97"/>
        <v>-7.5187969924812026E-3</v>
      </c>
      <c r="O181" s="18">
        <f>IF(ISNUMBER(M181), $B199 * N181, "")</f>
        <v>-1127.8195488721803</v>
      </c>
      <c r="Q181" s="161"/>
      <c r="R181" s="161"/>
      <c r="S181" s="161"/>
    </row>
    <row r="182" spans="1:19" ht="17.25" thickBot="1">
      <c r="A182" s="109" t="s">
        <v>95</v>
      </c>
      <c r="B182" s="110">
        <v>1315</v>
      </c>
      <c r="C182" s="70">
        <v>-1.49812734E-2</v>
      </c>
      <c r="D182" s="15">
        <v>1315</v>
      </c>
      <c r="E182" s="32">
        <f t="shared" si="94"/>
        <v>0</v>
      </c>
      <c r="F182" s="18">
        <f>IF(ISNUMBER(D182), $B199 * E182, "")</f>
        <v>0</v>
      </c>
      <c r="G182" s="31">
        <v>1335</v>
      </c>
      <c r="H182" s="32">
        <f t="shared" si="95"/>
        <v>1.5209125475285171E-2</v>
      </c>
      <c r="I182" s="91">
        <f>IF(ISNUMBER(G182), $B199 * H182, "")</f>
        <v>2281.3688212927755</v>
      </c>
      <c r="J182" s="15">
        <v>1335</v>
      </c>
      <c r="K182" s="32">
        <f t="shared" si="96"/>
        <v>1.5209125475285171E-2</v>
      </c>
      <c r="L182" s="18">
        <f>IF(ISNUMBER(J182), $B199 * K182, "")</f>
        <v>2281.3688212927755</v>
      </c>
      <c r="M182" s="31">
        <v>1335</v>
      </c>
      <c r="N182" s="32">
        <f t="shared" si="97"/>
        <v>1.5209125475285171E-2</v>
      </c>
      <c r="O182" s="18">
        <f>IF(ISNUMBER(M182), $B199 * N182, "")</f>
        <v>2281.3688212927755</v>
      </c>
      <c r="Q182" s="161"/>
      <c r="R182" s="161"/>
      <c r="S182" s="161"/>
    </row>
    <row r="183" spans="1:19" ht="17.25" thickBot="1">
      <c r="A183" s="111" t="s">
        <v>120</v>
      </c>
      <c r="B183" s="112">
        <v>129</v>
      </c>
      <c r="C183" s="71">
        <v>-1.52671756E-2</v>
      </c>
      <c r="D183" s="20">
        <v>130</v>
      </c>
      <c r="E183" s="21">
        <f t="shared" si="94"/>
        <v>7.7519379844961239E-3</v>
      </c>
      <c r="F183" s="22">
        <f>IF(ISNUMBER(D183), $B199 * E183, "")</f>
        <v>1162.7906976744187</v>
      </c>
      <c r="G183" s="30">
        <v>129</v>
      </c>
      <c r="H183" s="21">
        <f t="shared" si="95"/>
        <v>0</v>
      </c>
      <c r="I183" s="95">
        <f>IF(ISNUMBER(G183), $B199 * H183, "")</f>
        <v>0</v>
      </c>
      <c r="J183" s="20">
        <v>129</v>
      </c>
      <c r="K183" s="21">
        <f t="shared" si="96"/>
        <v>0</v>
      </c>
      <c r="L183" s="22">
        <f>IF(ISNUMBER(J183), $B199 * K183, "")</f>
        <v>0</v>
      </c>
      <c r="M183" s="30">
        <v>129</v>
      </c>
      <c r="N183" s="21">
        <f t="shared" si="97"/>
        <v>0</v>
      </c>
      <c r="O183" s="22">
        <f>IF(ISNUMBER(M183), $B199 * N183, "")</f>
        <v>0</v>
      </c>
      <c r="Q183" s="161"/>
      <c r="R183" s="161"/>
      <c r="S183" s="161"/>
    </row>
    <row r="184" spans="1:19" ht="17.25" thickBot="1">
      <c r="A184" s="109" t="s">
        <v>322</v>
      </c>
      <c r="B184" s="113">
        <v>82330</v>
      </c>
      <c r="C184" s="73">
        <v>-1.6367980899999999E-2</v>
      </c>
      <c r="D184" s="96">
        <v>82130</v>
      </c>
      <c r="E184" s="97">
        <f>IF(ISNUMBER(D184), (D184 - $B184) / $B184, "")</f>
        <v>-2.4292481476982874E-3</v>
      </c>
      <c r="F184" s="98">
        <f>IF(ISNUMBER(D184), $B199 * E184, "")</f>
        <v>-364.38722215474309</v>
      </c>
      <c r="G184" s="99">
        <v>82680</v>
      </c>
      <c r="H184" s="97">
        <f>IF(ISNUMBER(G184), (G184 - $B184) / $B184, "")</f>
        <v>4.2511842584720032E-3</v>
      </c>
      <c r="I184" s="100">
        <f>IF(ISNUMBER(G184), $B199 * H184, "")</f>
        <v>637.67763877080051</v>
      </c>
      <c r="J184" s="96">
        <v>82680</v>
      </c>
      <c r="K184" s="97">
        <f>IF(ISNUMBER(J184), (J184 - $B184) / $B184, "")</f>
        <v>4.2511842584720032E-3</v>
      </c>
      <c r="L184" s="98">
        <f>IF(ISNUMBER(J184), $B199 * K184, "")</f>
        <v>637.67763877080051</v>
      </c>
      <c r="M184" s="99">
        <v>82340</v>
      </c>
      <c r="N184" s="97">
        <f>IF(ISNUMBER(M184), (M184 - $B184) / $B184, "")</f>
        <v>1.2146240738491437E-4</v>
      </c>
      <c r="O184" s="98">
        <f>IF(ISNUMBER(M184), $B199 * N184, "")</f>
        <v>18.219361107737157</v>
      </c>
      <c r="Q184" s="161"/>
      <c r="R184" s="161"/>
      <c r="S184" s="161"/>
    </row>
    <row r="185" spans="1:19" ht="17.25" thickBot="1">
      <c r="A185" s="109" t="s">
        <v>109</v>
      </c>
      <c r="B185" s="110">
        <v>1145</v>
      </c>
      <c r="C185" s="70">
        <v>-1.7167381999999998E-2</v>
      </c>
      <c r="D185" s="15">
        <v>1150</v>
      </c>
      <c r="E185" s="32">
        <f t="shared" ref="E185:E188" si="98">IF(ISNUMBER(D185), (D185 - $B185) / $B185, "")</f>
        <v>4.3668122270742356E-3</v>
      </c>
      <c r="F185" s="18">
        <f>IF(ISNUMBER(D185), $B199 * E185, "")</f>
        <v>655.02183406113534</v>
      </c>
      <c r="G185" s="31">
        <v>1155</v>
      </c>
      <c r="H185" s="32">
        <f t="shared" ref="H185:H188" si="99">IF(ISNUMBER(G185), (G185 - $B185) / $B185, "")</f>
        <v>8.7336244541484712E-3</v>
      </c>
      <c r="I185" s="91">
        <f>IF(ISNUMBER(G185), $B199 * H185, "")</f>
        <v>1310.0436681222707</v>
      </c>
      <c r="J185" s="15">
        <v>1155</v>
      </c>
      <c r="K185" s="32">
        <f t="shared" ref="K185:K188" si="100">IF(ISNUMBER(J185), (J185 - $B185) / $B185, "")</f>
        <v>8.7336244541484712E-3</v>
      </c>
      <c r="L185" s="18">
        <f>IF(ISNUMBER(J185), $B199 * K185, "")</f>
        <v>1310.0436681222707</v>
      </c>
      <c r="M185" s="31">
        <v>1150</v>
      </c>
      <c r="N185" s="32">
        <f t="shared" ref="N185:N188" si="101">IF(ISNUMBER(M185), (M185 - $B185) / $B185, "")</f>
        <v>4.3668122270742356E-3</v>
      </c>
      <c r="O185" s="18">
        <f>IF(ISNUMBER(M185), $B199 * N185, "")</f>
        <v>655.02183406113534</v>
      </c>
      <c r="Q185" s="161"/>
      <c r="R185" s="161"/>
      <c r="S185" s="161"/>
    </row>
    <row r="186" spans="1:19" ht="17.25" thickBot="1">
      <c r="A186" s="109" t="s">
        <v>68</v>
      </c>
      <c r="B186" s="110">
        <v>374</v>
      </c>
      <c r="C186" s="70">
        <v>-1.8372703399999999E-2</v>
      </c>
      <c r="D186" s="15">
        <v>364</v>
      </c>
      <c r="E186" s="32">
        <f t="shared" si="98"/>
        <v>-2.6737967914438502E-2</v>
      </c>
      <c r="F186" s="18">
        <f>IF(ISNUMBER(D186), $B199 * E186, "")</f>
        <v>-4010.6951871657752</v>
      </c>
      <c r="G186" s="31">
        <v>365</v>
      </c>
      <c r="H186" s="32">
        <f t="shared" si="99"/>
        <v>-2.4064171122994651E-2</v>
      </c>
      <c r="I186" s="91">
        <f>IF(ISNUMBER(G186), $B199 * H186, "")</f>
        <v>-3609.6256684491977</v>
      </c>
      <c r="J186" s="15">
        <v>365</v>
      </c>
      <c r="K186" s="32">
        <f t="shared" si="100"/>
        <v>-2.4064171122994651E-2</v>
      </c>
      <c r="L186" s="18">
        <f>IF(ISNUMBER(J186), $B199 * K186, "")</f>
        <v>-3609.6256684491977</v>
      </c>
      <c r="M186" s="31">
        <v>366</v>
      </c>
      <c r="N186" s="32">
        <f t="shared" si="101"/>
        <v>-2.1390374331550801E-2</v>
      </c>
      <c r="O186" s="18">
        <f>IF(ISNUMBER(M186), $B199 * N186, "")</f>
        <v>-3208.5561497326203</v>
      </c>
      <c r="Q186" s="161"/>
      <c r="R186" s="161"/>
      <c r="S186" s="161"/>
    </row>
    <row r="187" spans="1:19" ht="17.25" thickBot="1">
      <c r="A187" s="109" t="s">
        <v>111</v>
      </c>
      <c r="B187" s="110">
        <v>774</v>
      </c>
      <c r="C187" s="70">
        <v>-1.9011406799999998E-2</v>
      </c>
      <c r="D187" s="15">
        <v>774</v>
      </c>
      <c r="E187" s="32">
        <f t="shared" si="98"/>
        <v>0</v>
      </c>
      <c r="F187" s="18">
        <f>IF(ISNUMBER(D187), $B199 * E187, "")</f>
        <v>0</v>
      </c>
      <c r="G187" s="31">
        <v>782</v>
      </c>
      <c r="H187" s="32">
        <f t="shared" si="99"/>
        <v>1.0335917312661499E-2</v>
      </c>
      <c r="I187" s="91">
        <f>IF(ISNUMBER(G187), $B199 * H187, "")</f>
        <v>1550.3875968992249</v>
      </c>
      <c r="J187" s="15">
        <v>782</v>
      </c>
      <c r="K187" s="32">
        <f t="shared" si="100"/>
        <v>1.0335917312661499E-2</v>
      </c>
      <c r="L187" s="18">
        <f>IF(ISNUMBER(J187), $B199 * K187, "")</f>
        <v>1550.3875968992249</v>
      </c>
      <c r="M187" s="31">
        <v>781</v>
      </c>
      <c r="N187" s="32">
        <f t="shared" si="101"/>
        <v>9.0439276485788107E-3</v>
      </c>
      <c r="O187" s="18">
        <f>IF(ISNUMBER(M187), $B199 * N187, "")</f>
        <v>1356.5891472868216</v>
      </c>
      <c r="Q187" s="33"/>
      <c r="R187" s="33"/>
    </row>
    <row r="188" spans="1:19" ht="17.25" thickBot="1">
      <c r="A188" s="114" t="s">
        <v>85</v>
      </c>
      <c r="B188" s="115">
        <v>201</v>
      </c>
      <c r="C188" s="72">
        <v>-1.9512195100000001E-2</v>
      </c>
      <c r="D188" s="24">
        <v>201</v>
      </c>
      <c r="E188" s="25">
        <f t="shared" si="98"/>
        <v>0</v>
      </c>
      <c r="F188" s="94">
        <f>IF(ISNUMBER(D188), $B199 * E188, "")</f>
        <v>0</v>
      </c>
      <c r="G188" s="92">
        <v>200</v>
      </c>
      <c r="H188" s="25">
        <f t="shared" si="99"/>
        <v>-4.9751243781094526E-3</v>
      </c>
      <c r="I188" s="93">
        <f>IF(ISNUMBER(G188), $B199 * H188, "")</f>
        <v>-746.26865671641792</v>
      </c>
      <c r="J188" s="24">
        <v>200</v>
      </c>
      <c r="K188" s="25">
        <f t="shared" si="100"/>
        <v>-4.9751243781094526E-3</v>
      </c>
      <c r="L188" s="94">
        <f>IF(ISNUMBER(J188), $B199 * K188, "")</f>
        <v>-746.26865671641792</v>
      </c>
      <c r="M188" s="92">
        <v>202</v>
      </c>
      <c r="N188" s="25">
        <f t="shared" si="101"/>
        <v>4.9751243781094526E-3</v>
      </c>
      <c r="O188" s="94">
        <f>IF(ISNUMBER(M188), $B199 * N188, "")</f>
        <v>746.26865671641792</v>
      </c>
      <c r="Q188" s="170"/>
      <c r="R188" s="171"/>
      <c r="S188" s="172"/>
    </row>
    <row r="189" spans="1:19">
      <c r="A189" s="107" t="s">
        <v>75</v>
      </c>
      <c r="B189" s="108">
        <v>9140</v>
      </c>
      <c r="C189" s="69">
        <v>-1.9839142099999998E-2</v>
      </c>
      <c r="D189" s="13">
        <v>9100</v>
      </c>
      <c r="E189" s="14">
        <f>IF(ISNUMBER(D189), (D189 - $B189) / $B189, "")</f>
        <v>-4.3763676148796497E-3</v>
      </c>
      <c r="F189" s="16">
        <f>IF(ISNUMBER(D189), $B199 * E189, "")</f>
        <v>-656.45514223194743</v>
      </c>
      <c r="G189" s="29">
        <v>9145</v>
      </c>
      <c r="H189" s="14">
        <f>IF(ISNUMBER(G189), (G189 - $B189) / $B189, "")</f>
        <v>5.4704595185995622E-4</v>
      </c>
      <c r="I189" s="90">
        <f>IF(ISNUMBER(G189), $B199 * H189, "")</f>
        <v>82.056892778993429</v>
      </c>
      <c r="J189" s="13">
        <v>9145</v>
      </c>
      <c r="K189" s="14">
        <f>IF(ISNUMBER(J189), (J189 - $B189) / $B189, "")</f>
        <v>5.4704595185995622E-4</v>
      </c>
      <c r="L189" s="16">
        <f>IF(ISNUMBER(J189), $B199 * K189, "")</f>
        <v>82.056892778993429</v>
      </c>
      <c r="M189" s="29">
        <v>9205</v>
      </c>
      <c r="N189" s="14">
        <f>IF(ISNUMBER(M189), (M189 - $B189) / $B189, "")</f>
        <v>7.1115973741794312E-3</v>
      </c>
      <c r="O189" s="16">
        <f>IF(ISNUMBER(M189), $B199 * N189, "")</f>
        <v>1066.7396061269146</v>
      </c>
      <c r="Q189" s="173"/>
      <c r="R189" s="174"/>
      <c r="S189" s="175"/>
    </row>
    <row r="190" spans="1:19" ht="17.25" thickBot="1">
      <c r="A190" s="109" t="s">
        <v>349</v>
      </c>
      <c r="B190" s="110">
        <v>790</v>
      </c>
      <c r="C190" s="70">
        <v>-2.10656753E-2</v>
      </c>
      <c r="D190" s="15">
        <v>835</v>
      </c>
      <c r="E190" s="32">
        <f t="shared" ref="E190:E193" si="102">IF(ISNUMBER(D190), (D190 - $B190) / $B190, "")</f>
        <v>5.6962025316455694E-2</v>
      </c>
      <c r="F190" s="18">
        <f>IF(ISNUMBER(D190), $B199 * E190, "")</f>
        <v>8544.3037974683539</v>
      </c>
      <c r="G190" s="31">
        <v>815</v>
      </c>
      <c r="H190" s="32">
        <f t="shared" ref="H190:H193" si="103">IF(ISNUMBER(G190), (G190 - $B190) / $B190, "")</f>
        <v>3.1645569620253167E-2</v>
      </c>
      <c r="I190" s="91">
        <f>IF(ISNUMBER(G190), $B199 * H190, "")</f>
        <v>4746.835443037975</v>
      </c>
      <c r="J190" s="15">
        <v>815</v>
      </c>
      <c r="K190" s="32">
        <f t="shared" ref="K190:K193" si="104">IF(ISNUMBER(J190), (J190 - $B190) / $B190, "")</f>
        <v>3.1645569620253167E-2</v>
      </c>
      <c r="L190" s="18">
        <f>IF(ISNUMBER(J190), $B199 * K190, "")</f>
        <v>4746.835443037975</v>
      </c>
      <c r="M190" s="31">
        <v>815</v>
      </c>
      <c r="N190" s="32">
        <f t="shared" ref="N190:N193" si="105">IF(ISNUMBER(M190), (M190 - $B190) / $B190, "")</f>
        <v>3.1645569620253167E-2</v>
      </c>
      <c r="O190" s="18">
        <f>IF(ISNUMBER(M190), $B199 * N190, "")</f>
        <v>4746.835443037975</v>
      </c>
      <c r="Q190" s="176"/>
      <c r="R190" s="177"/>
      <c r="S190" s="178"/>
    </row>
    <row r="191" spans="1:19" ht="17.25" thickBot="1">
      <c r="A191" s="109" t="s">
        <v>189</v>
      </c>
      <c r="B191" s="110">
        <v>1365</v>
      </c>
      <c r="C191" s="70">
        <v>-2.15053763E-2</v>
      </c>
      <c r="D191" s="15">
        <v>1360</v>
      </c>
      <c r="E191" s="32">
        <f t="shared" si="102"/>
        <v>-3.663003663003663E-3</v>
      </c>
      <c r="F191" s="18">
        <f>IF(ISNUMBER(D191), $B199 * E191, "")</f>
        <v>-549.45054945054949</v>
      </c>
      <c r="G191" s="31">
        <v>1365</v>
      </c>
      <c r="H191" s="32">
        <f t="shared" si="103"/>
        <v>0</v>
      </c>
      <c r="I191" s="91">
        <f>IF(ISNUMBER(G191), $B199 * H191, "")</f>
        <v>0</v>
      </c>
      <c r="J191" s="15">
        <v>1365</v>
      </c>
      <c r="K191" s="32">
        <f t="shared" si="104"/>
        <v>0</v>
      </c>
      <c r="L191" s="18">
        <f>IF(ISNUMBER(J191), $B199 * K191, "")</f>
        <v>0</v>
      </c>
      <c r="M191" s="31">
        <v>1370</v>
      </c>
      <c r="N191" s="32">
        <f t="shared" si="105"/>
        <v>3.663003663003663E-3</v>
      </c>
      <c r="O191" s="18">
        <f>IF(ISNUMBER(M191), $B199 * N191, "")</f>
        <v>549.45054945054949</v>
      </c>
      <c r="Q191" s="161"/>
      <c r="R191" s="161"/>
      <c r="S191" s="161"/>
    </row>
    <row r="192" spans="1:19" ht="17.25" thickBot="1">
      <c r="A192" s="109" t="s">
        <v>346</v>
      </c>
      <c r="B192" s="110">
        <v>536</v>
      </c>
      <c r="C192" s="70">
        <v>-2.1897810199999999E-2</v>
      </c>
      <c r="D192" s="15">
        <v>534</v>
      </c>
      <c r="E192" s="32">
        <f t="shared" si="102"/>
        <v>-3.7313432835820895E-3</v>
      </c>
      <c r="F192" s="18">
        <f>IF(ISNUMBER(D192), $B199 * E192, "")</f>
        <v>-559.70149253731347</v>
      </c>
      <c r="G192" s="31">
        <v>535</v>
      </c>
      <c r="H192" s="32">
        <f t="shared" si="103"/>
        <v>-1.8656716417910447E-3</v>
      </c>
      <c r="I192" s="91">
        <f>IF(ISNUMBER(G192), $B199 * H192, "")</f>
        <v>-279.85074626865674</v>
      </c>
      <c r="J192" s="15">
        <v>535</v>
      </c>
      <c r="K192" s="32">
        <f t="shared" si="104"/>
        <v>-1.8656716417910447E-3</v>
      </c>
      <c r="L192" s="18">
        <f>IF(ISNUMBER(J192), $B199 * K192, "")</f>
        <v>-279.85074626865674</v>
      </c>
      <c r="M192" s="31">
        <v>538</v>
      </c>
      <c r="N192" s="32">
        <f t="shared" si="105"/>
        <v>3.7313432835820895E-3</v>
      </c>
      <c r="O192" s="18">
        <f>IF(ISNUMBER(M192), $B199 * N192, "")</f>
        <v>559.70149253731347</v>
      </c>
      <c r="Q192" s="156"/>
      <c r="R192" s="156"/>
      <c r="S192" s="156"/>
    </row>
    <row r="193" spans="1:19" ht="17.25" thickBot="1">
      <c r="A193" s="111" t="s">
        <v>256</v>
      </c>
      <c r="B193" s="112">
        <v>129</v>
      </c>
      <c r="C193" s="71">
        <v>-2.2727272699999999E-2</v>
      </c>
      <c r="D193" s="20">
        <v>130</v>
      </c>
      <c r="E193" s="21">
        <f t="shared" si="102"/>
        <v>7.7519379844961239E-3</v>
      </c>
      <c r="F193" s="22">
        <f>IF(ISNUMBER(D193), $B199 * E193, "")</f>
        <v>1162.7906976744187</v>
      </c>
      <c r="G193" s="30">
        <v>129</v>
      </c>
      <c r="H193" s="21">
        <f t="shared" si="103"/>
        <v>0</v>
      </c>
      <c r="I193" s="95">
        <f>IF(ISNUMBER(G193), $B199 * H193, "")</f>
        <v>0</v>
      </c>
      <c r="J193" s="20">
        <v>129</v>
      </c>
      <c r="K193" s="21">
        <f t="shared" si="104"/>
        <v>0</v>
      </c>
      <c r="L193" s="22">
        <f>IF(ISNUMBER(J193), $B199 * K193, "")</f>
        <v>0</v>
      </c>
      <c r="M193" s="30">
        <v>130</v>
      </c>
      <c r="N193" s="21">
        <f t="shared" si="105"/>
        <v>7.7519379844961239E-3</v>
      </c>
      <c r="O193" s="22">
        <f>IF(ISNUMBER(M193), $B199 * N193, "")</f>
        <v>1162.7906976744187</v>
      </c>
      <c r="Q193" s="156"/>
      <c r="R193" s="156"/>
      <c r="S193" s="156"/>
    </row>
    <row r="194" spans="1:19" ht="17.25" thickBot="1">
      <c r="A194" s="109" t="s">
        <v>344</v>
      </c>
      <c r="B194" s="113">
        <v>6405</v>
      </c>
      <c r="C194" s="73">
        <v>-2.2883295200000001E-2</v>
      </c>
      <c r="D194" s="96">
        <v>6405</v>
      </c>
      <c r="E194" s="97">
        <f>IF(ISNUMBER(D194), (D194 - $B194) / $B194, "")</f>
        <v>0</v>
      </c>
      <c r="F194" s="98">
        <f>IF(ISNUMBER(D194), $B199 * E194, "")</f>
        <v>0</v>
      </c>
      <c r="G194" s="99">
        <v>6410</v>
      </c>
      <c r="H194" s="97">
        <f>IF(ISNUMBER(G194), (G194 - $B194) / $B194, "")</f>
        <v>7.8064012490241998E-4</v>
      </c>
      <c r="I194" s="100">
        <f>IF(ISNUMBER(G194), $B199 * H194, "")</f>
        <v>117.096018735363</v>
      </c>
      <c r="J194" s="96">
        <v>6410</v>
      </c>
      <c r="K194" s="97">
        <f>IF(ISNUMBER(J194), (J194 - $B194) / $B194, "")</f>
        <v>7.8064012490241998E-4</v>
      </c>
      <c r="L194" s="98">
        <f>IF(ISNUMBER(J194), $B199 * K194, "")</f>
        <v>117.096018735363</v>
      </c>
      <c r="M194" s="99">
        <v>6425</v>
      </c>
      <c r="N194" s="97">
        <f>IF(ISNUMBER(M194), (M194 - $B194) / $B194, "")</f>
        <v>3.1225604996096799E-3</v>
      </c>
      <c r="O194" s="98">
        <f>IF(ISNUMBER(M194), $B199 * N194, "")</f>
        <v>468.38407494145201</v>
      </c>
      <c r="Q194" s="161"/>
      <c r="R194" s="161"/>
      <c r="S194" s="161"/>
    </row>
    <row r="195" spans="1:19" ht="17.25" thickBot="1">
      <c r="A195" s="109" t="s">
        <v>128</v>
      </c>
      <c r="B195" s="110">
        <v>7040</v>
      </c>
      <c r="C195" s="70">
        <v>-2.4930747900000001E-2</v>
      </c>
      <c r="D195" s="15">
        <v>7050</v>
      </c>
      <c r="E195" s="32">
        <f t="shared" ref="E195:E198" si="106">IF(ISNUMBER(D195), (D195 - $B195) / $B195, "")</f>
        <v>1.4204545454545455E-3</v>
      </c>
      <c r="F195" s="18">
        <f>IF(ISNUMBER(D195), $B199 * E195, "")</f>
        <v>213.06818181818181</v>
      </c>
      <c r="G195" s="31">
        <v>7080</v>
      </c>
      <c r="H195" s="32">
        <f t="shared" ref="H195:H198" si="107">IF(ISNUMBER(G195), (G195 - $B195) / $B195, "")</f>
        <v>5.681818181818182E-3</v>
      </c>
      <c r="I195" s="91">
        <f>IF(ISNUMBER(G195), $B199 * H195, "")</f>
        <v>852.27272727272725</v>
      </c>
      <c r="J195" s="15">
        <v>7080</v>
      </c>
      <c r="K195" s="32">
        <f t="shared" ref="K195:K198" si="108">IF(ISNUMBER(J195), (J195 - $B195) / $B195, "")</f>
        <v>5.681818181818182E-3</v>
      </c>
      <c r="L195" s="18">
        <f>IF(ISNUMBER(J195), $B199 * K195, "")</f>
        <v>852.27272727272725</v>
      </c>
      <c r="M195" s="31">
        <v>7065</v>
      </c>
      <c r="N195" s="32">
        <f t="shared" ref="N195:N198" si="109">IF(ISNUMBER(M195), (M195 - $B195) / $B195, "")</f>
        <v>3.5511363636363635E-3</v>
      </c>
      <c r="O195" s="18">
        <f>IF(ISNUMBER(M195), $B199 * N195, "")</f>
        <v>532.6704545454545</v>
      </c>
      <c r="Q195" s="161"/>
      <c r="R195" s="161"/>
      <c r="S195" s="161"/>
    </row>
    <row r="196" spans="1:19" ht="17.25" thickBot="1">
      <c r="A196" s="109" t="s">
        <v>147</v>
      </c>
      <c r="B196" s="110">
        <v>10700</v>
      </c>
      <c r="C196" s="70">
        <v>-2.81562216E-2</v>
      </c>
      <c r="D196" s="15">
        <v>10830</v>
      </c>
      <c r="E196" s="32">
        <f t="shared" si="106"/>
        <v>1.2149532710280374E-2</v>
      </c>
      <c r="F196" s="18">
        <f>IF(ISNUMBER(D196), $B199 * E196, "")</f>
        <v>1822.429906542056</v>
      </c>
      <c r="G196" s="31">
        <v>11230</v>
      </c>
      <c r="H196" s="32">
        <f t="shared" si="107"/>
        <v>4.9532710280373829E-2</v>
      </c>
      <c r="I196" s="91">
        <f>IF(ISNUMBER(G196), $B199 * H196, "")</f>
        <v>7429.9065420560746</v>
      </c>
      <c r="J196" s="15">
        <v>11230</v>
      </c>
      <c r="K196" s="32">
        <f t="shared" si="108"/>
        <v>4.9532710280373829E-2</v>
      </c>
      <c r="L196" s="18">
        <f>IF(ISNUMBER(J196), $B199 * K196, "")</f>
        <v>7429.9065420560746</v>
      </c>
      <c r="M196" s="31">
        <v>11230</v>
      </c>
      <c r="N196" s="32">
        <f t="shared" si="109"/>
        <v>4.9532710280373829E-2</v>
      </c>
      <c r="O196" s="18">
        <f>IF(ISNUMBER(M196), $B199 * N196, "")</f>
        <v>7429.9065420560746</v>
      </c>
      <c r="Q196" s="161"/>
      <c r="R196" s="161"/>
      <c r="S196" s="161"/>
    </row>
    <row r="197" spans="1:19">
      <c r="A197" s="109" t="s">
        <v>151</v>
      </c>
      <c r="B197" s="110">
        <v>2790</v>
      </c>
      <c r="C197" s="70">
        <v>-4.6153846200000001E-2</v>
      </c>
      <c r="D197" s="15">
        <v>2730</v>
      </c>
      <c r="E197" s="32">
        <f t="shared" si="106"/>
        <v>-2.1505376344086023E-2</v>
      </c>
      <c r="F197" s="18">
        <f>IF(ISNUMBER(D197), $B199 * E197, "")</f>
        <v>-3225.8064516129034</v>
      </c>
      <c r="G197" s="31">
        <v>2730</v>
      </c>
      <c r="H197" s="32">
        <f t="shared" si="107"/>
        <v>-2.1505376344086023E-2</v>
      </c>
      <c r="I197" s="91">
        <f>IF(ISNUMBER(G197), $B199 * H197, "")</f>
        <v>-3225.8064516129034</v>
      </c>
      <c r="J197" s="15">
        <v>2730</v>
      </c>
      <c r="K197" s="32">
        <f t="shared" si="108"/>
        <v>-2.1505376344086023E-2</v>
      </c>
      <c r="L197" s="18">
        <f>IF(ISNUMBER(J197), $B199 * K197, "")</f>
        <v>-3225.8064516129034</v>
      </c>
      <c r="M197" s="31">
        <v>2740</v>
      </c>
      <c r="N197" s="32">
        <f t="shared" si="109"/>
        <v>-1.7921146953405017E-2</v>
      </c>
      <c r="O197" s="18">
        <f>IF(ISNUMBER(M197), $B199 * N197, "")</f>
        <v>-2688.1720430107525</v>
      </c>
      <c r="Q197" s="183"/>
      <c r="R197" s="184"/>
      <c r="S197" s="185"/>
    </row>
    <row r="198" spans="1:19" ht="17.25" thickBot="1">
      <c r="A198" s="114" t="s">
        <v>113</v>
      </c>
      <c r="B198" s="115">
        <v>1605</v>
      </c>
      <c r="C198" s="72">
        <v>-8.5470085500000001E-2</v>
      </c>
      <c r="D198" s="24">
        <v>1500</v>
      </c>
      <c r="E198" s="25">
        <f t="shared" si="106"/>
        <v>-6.5420560747663545E-2</v>
      </c>
      <c r="F198" s="94">
        <f>IF(ISNUMBER(D198), $B199 * E198, "")</f>
        <v>-9813.0841121495323</v>
      </c>
      <c r="G198" s="92">
        <v>1455</v>
      </c>
      <c r="H198" s="25">
        <f t="shared" si="107"/>
        <v>-9.3457943925233641E-2</v>
      </c>
      <c r="I198" s="93">
        <f>IF(ISNUMBER(G198), $B199 * H198, "")</f>
        <v>-14018.691588785046</v>
      </c>
      <c r="J198" s="24">
        <v>1455</v>
      </c>
      <c r="K198" s="25">
        <f t="shared" si="108"/>
        <v>-9.3457943925233641E-2</v>
      </c>
      <c r="L198" s="94">
        <f>IF(ISNUMBER(J198), $B199 * K198, "")</f>
        <v>-14018.691588785046</v>
      </c>
      <c r="M198" s="92">
        <v>1470</v>
      </c>
      <c r="N198" s="25">
        <f t="shared" si="109"/>
        <v>-8.4112149532710276E-2</v>
      </c>
      <c r="O198" s="94">
        <f>IF(ISNUMBER(M198), $B199 * N198, "")</f>
        <v>-12616.82242990654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-9.1736801434949588E-4</v>
      </c>
      <c r="F199" s="28">
        <f>SUM(F179:F198)</f>
        <v>-2752.1040430484882</v>
      </c>
      <c r="G199" s="26" t="s">
        <v>261</v>
      </c>
      <c r="H199" s="27">
        <f>IF(COUNT(H179:H198), SUM(H179:H198) / COUNT(H179:H198), 0)</f>
        <v>-6.1474892888538292E-4</v>
      </c>
      <c r="I199" s="28">
        <f>SUM(I179:I198)</f>
        <v>-1844.2467866561474</v>
      </c>
      <c r="J199" s="26" t="s">
        <v>261</v>
      </c>
      <c r="K199" s="27">
        <f>IF(COUNT(K179:K198), SUM(K179:K198) / COUNT(K179:K198), 0)</f>
        <v>-6.1474892888538292E-4</v>
      </c>
      <c r="L199" s="28">
        <f>SUM(L179:L198)</f>
        <v>-1844.2467866561474</v>
      </c>
      <c r="M199" s="26" t="s">
        <v>261</v>
      </c>
      <c r="N199" s="27">
        <f>IF(COUNT(N179:N198), SUM(N179:N198) / COUNT(N179:N198), 0)</f>
        <v>1.1859728630909624E-3</v>
      </c>
      <c r="O199" s="28">
        <f>SUM(O179:O198)</f>
        <v>3557.9185892728856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C5E54-7B05-402C-B9F5-FA9A917618C9}">
  <sheetPr codeName="Sheet1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44906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-30,936 KRW (-1.03%)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-35,251 KRW (-1.18%)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-1,327 KRW (-0.04%)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-47,073 KRW (-1.57%)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2022-12-11(일) 오전 00:00</v>
      </c>
      <c r="C15" s="202"/>
      <c r="D15" s="158" t="str">
        <f>TEXT($G$1, "[$-ko-KR]yyyy-mm-dd(ddd) ") &amp; "오후 14:00"</f>
        <v>2022-12-11(일) 오후 14:00</v>
      </c>
      <c r="E15" s="159"/>
      <c r="F15" s="160"/>
      <c r="G15" s="158" t="str">
        <f>TEXT($G$1, "[$-ko-KR]yyyy-mm-dd(ddd) ") &amp; "오후 19:00"</f>
        <v>2022-12-11(일) 오후 19:00</v>
      </c>
      <c r="H15" s="159"/>
      <c r="I15" s="160"/>
      <c r="J15" s="158" t="str">
        <f>TEXT($G$1, "[$-ko-KR]yyyy-mm-dd(ddd) ") &amp; "오후 21:00"</f>
        <v>2022-12-11(일) 오후 21:00</v>
      </c>
      <c r="K15" s="159"/>
      <c r="L15" s="160"/>
      <c r="M15" s="158" t="str">
        <f>TEXT($G$1+1, "[$-ko-KR]yyyy-mm-dd(ddd) ") &amp; "오전 00:00"</f>
        <v>2022-12-12(월)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2022-12-11(일) 오전 00:00</v>
      </c>
      <c r="C42" s="199"/>
      <c r="D42" s="158" t="str">
        <f>TEXT($G$1, "[$-ko-KR]yyyy-mm-dd(ddd) ") &amp; "오후 14:00"</f>
        <v>2022-12-11(일) 오후 14:00</v>
      </c>
      <c r="E42" s="159"/>
      <c r="F42" s="160"/>
      <c r="G42" s="158" t="str">
        <f>TEXT($G$1, "[$-ko-KR]yyyy-mm-dd(ddd) ") &amp; "오후 19:00"</f>
        <v>2022-12-11(일) 오후 19:00</v>
      </c>
      <c r="H42" s="159"/>
      <c r="I42" s="160"/>
      <c r="J42" s="158" t="str">
        <f>TEXT($G$1, "[$-ko-KR]yyyy-mm-dd(ddd) ") &amp; "오후 21:00"</f>
        <v>2022-12-11(일) 오후 21:00</v>
      </c>
      <c r="K42" s="159"/>
      <c r="L42" s="160"/>
      <c r="M42" s="158" t="str">
        <f>TEXT($G$1+1, "[$-ko-KR]yyyy-mm-dd(ddd) ") &amp; "오전 00:00"</f>
        <v>2022-12-12(월)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210</v>
      </c>
      <c r="B44" s="108">
        <v>70.900000000000006</v>
      </c>
      <c r="C44" s="69">
        <v>4.7267356000000003E-2</v>
      </c>
      <c r="D44" s="13">
        <v>68.400000000000006</v>
      </c>
      <c r="E44" s="14">
        <f>IF(ISNUMBER(D44), (D44 - $B44) / $B44, "")</f>
        <v>-3.5260930888575452E-2</v>
      </c>
      <c r="F44" s="16">
        <f>IF(ISNUMBER(D44), $B64 * E44, "")</f>
        <v>-5289.1396332863178</v>
      </c>
      <c r="G44" s="29">
        <v>67.900000000000006</v>
      </c>
      <c r="H44" s="14">
        <f>IF(ISNUMBER(G44), (G44 - $B44) / $B44, "")</f>
        <v>-4.2313117066290547E-2</v>
      </c>
      <c r="I44" s="90">
        <f>IF(ISNUMBER(G44), $B64 * H44, "")</f>
        <v>-6346.9675599435823</v>
      </c>
      <c r="J44" s="13">
        <v>67.900000000000006</v>
      </c>
      <c r="K44" s="14">
        <f>IF(ISNUMBER(J44), (J44 - $B44) / $B44, "")</f>
        <v>-4.2313117066290547E-2</v>
      </c>
      <c r="L44" s="16">
        <f>IF(ISNUMBER(J44), $B64 * K44, "")</f>
        <v>-6346.9675599435823</v>
      </c>
      <c r="M44" s="29">
        <v>67.900000000000006</v>
      </c>
      <c r="N44" s="14">
        <f>IF(ISNUMBER(M44), (M44 - $B44) / $B44, "")</f>
        <v>-4.2313117066290547E-2</v>
      </c>
      <c r="O44" s="16">
        <f>IF(ISNUMBER(M44), $B64 * N44, "")</f>
        <v>-6346.9675599435823</v>
      </c>
      <c r="Q44" s="156"/>
      <c r="R44" s="156"/>
      <c r="S44" s="156"/>
    </row>
    <row r="45" spans="1:19" ht="17.25" customHeight="1" thickBot="1">
      <c r="A45" s="109" t="s">
        <v>212</v>
      </c>
      <c r="B45" s="110">
        <v>88.7</v>
      </c>
      <c r="C45" s="70">
        <v>2.9002320200000001E-2</v>
      </c>
      <c r="D45" s="15">
        <v>87.4</v>
      </c>
      <c r="E45" s="32">
        <f t="shared" ref="E45:E48" si="14">IF(ISNUMBER(D45), (D45 - $B45) / $B45, "")</f>
        <v>-1.4656144306651603E-2</v>
      </c>
      <c r="F45" s="18">
        <f>IF(ISNUMBER(D45), $B64 * E45, "")</f>
        <v>-2198.4216459977406</v>
      </c>
      <c r="G45" s="31">
        <v>86.9</v>
      </c>
      <c r="H45" s="32">
        <f t="shared" ref="H45:H48" si="15">IF(ISNUMBER(G45), (G45 - $B45) / $B45, "")</f>
        <v>-2.0293122886133001E-2</v>
      </c>
      <c r="I45" s="91">
        <f>IF(ISNUMBER(G45), $B64 * H45, "")</f>
        <v>-3043.9684329199499</v>
      </c>
      <c r="J45" s="15">
        <v>86.9</v>
      </c>
      <c r="K45" s="32">
        <f t="shared" ref="K45:K48" si="16">IF(ISNUMBER(J45), (J45 - $B45) / $B45, "")</f>
        <v>-2.0293122886133001E-2</v>
      </c>
      <c r="L45" s="18">
        <f>IF(ISNUMBER(J45), $B64 * K45, "")</f>
        <v>-3043.9684329199499</v>
      </c>
      <c r="M45" s="31">
        <v>86.7</v>
      </c>
      <c r="N45" s="32">
        <f t="shared" ref="N45:N48" si="17">IF(ISNUMBER(M45), (M45 - $B45) / $B45, "")</f>
        <v>-2.2547914317925591E-2</v>
      </c>
      <c r="O45" s="18">
        <f>IF(ISNUMBER(M45), $B64 * N45, "")</f>
        <v>-3382.1871476888386</v>
      </c>
      <c r="Q45" s="156"/>
      <c r="R45" s="156"/>
      <c r="S45" s="156"/>
    </row>
    <row r="46" spans="1:19" ht="17.25" customHeight="1" thickBot="1">
      <c r="A46" s="109" t="s">
        <v>220</v>
      </c>
      <c r="B46" s="110">
        <v>78.5</v>
      </c>
      <c r="C46" s="70">
        <v>2.0806241900000001E-2</v>
      </c>
      <c r="D46" s="15">
        <v>78.400000000000006</v>
      </c>
      <c r="E46" s="32">
        <f t="shared" si="14"/>
        <v>-1.2738853503183988E-3</v>
      </c>
      <c r="F46" s="18">
        <f>IF(ISNUMBER(D46), $B64 * E46, "")</f>
        <v>-191.08280254775983</v>
      </c>
      <c r="G46" s="31">
        <v>77.7</v>
      </c>
      <c r="H46" s="32">
        <f t="shared" si="15"/>
        <v>-1.0191082802547734E-2</v>
      </c>
      <c r="I46" s="91">
        <f>IF(ISNUMBER(G46), $B64 * H46, "")</f>
        <v>-1528.66242038216</v>
      </c>
      <c r="J46" s="15">
        <v>77.7</v>
      </c>
      <c r="K46" s="32">
        <f t="shared" si="16"/>
        <v>-1.0191082802547734E-2</v>
      </c>
      <c r="L46" s="18">
        <f>IF(ISNUMBER(J46), $B64 * K46, "")</f>
        <v>-1528.66242038216</v>
      </c>
      <c r="M46" s="31">
        <v>77.5</v>
      </c>
      <c r="N46" s="32">
        <f t="shared" si="17"/>
        <v>-1.2738853503184714E-2</v>
      </c>
      <c r="O46" s="18">
        <f>IF(ISNUMBER(M46), $B64 * N46, "")</f>
        <v>-1910.8280254777071</v>
      </c>
      <c r="Q46" s="161"/>
      <c r="R46" s="161"/>
      <c r="S46" s="161"/>
    </row>
    <row r="47" spans="1:19" ht="17.25" customHeight="1" thickBot="1">
      <c r="A47" s="109" t="s">
        <v>122</v>
      </c>
      <c r="B47" s="110">
        <v>25.8</v>
      </c>
      <c r="C47" s="70">
        <v>1.9762845800000001E-2</v>
      </c>
      <c r="D47" s="15">
        <v>25.6</v>
      </c>
      <c r="E47" s="32">
        <f t="shared" si="14"/>
        <v>-7.7519379844960962E-3</v>
      </c>
      <c r="F47" s="18">
        <f>IF(ISNUMBER(D47), $B64 * E47, "")</f>
        <v>-1162.7906976744143</v>
      </c>
      <c r="G47" s="31">
        <v>25.8</v>
      </c>
      <c r="H47" s="32">
        <f t="shared" si="15"/>
        <v>0</v>
      </c>
      <c r="I47" s="91">
        <f>IF(ISNUMBER(G47), $B64 * H47, "")</f>
        <v>0</v>
      </c>
      <c r="J47" s="15">
        <v>25.8</v>
      </c>
      <c r="K47" s="32">
        <f t="shared" si="16"/>
        <v>0</v>
      </c>
      <c r="L47" s="18">
        <f>IF(ISNUMBER(J47), $B64 * K47, "")</f>
        <v>0</v>
      </c>
      <c r="M47" s="31">
        <v>25.8</v>
      </c>
      <c r="N47" s="32">
        <f t="shared" si="17"/>
        <v>0</v>
      </c>
      <c r="O47" s="18">
        <f>IF(ISNUMBER(M47), $B64 * N47, "")</f>
        <v>0</v>
      </c>
      <c r="Q47" s="161"/>
      <c r="R47" s="161"/>
      <c r="S47" s="161"/>
    </row>
    <row r="48" spans="1:19" ht="17.25" customHeight="1" thickBot="1">
      <c r="A48" s="111" t="s">
        <v>230</v>
      </c>
      <c r="B48" s="112">
        <v>43.1</v>
      </c>
      <c r="C48" s="71">
        <v>1.8912529599999998E-2</v>
      </c>
      <c r="D48" s="20">
        <v>42.5</v>
      </c>
      <c r="E48" s="21">
        <f t="shared" si="14"/>
        <v>-1.392111368909516E-2</v>
      </c>
      <c r="F48" s="22">
        <f>IF(ISNUMBER(D48), $B64 * E48, "")</f>
        <v>-2088.1670533642741</v>
      </c>
      <c r="G48" s="30">
        <v>42.5</v>
      </c>
      <c r="H48" s="21">
        <f t="shared" si="15"/>
        <v>-1.392111368909516E-2</v>
      </c>
      <c r="I48" s="95">
        <f>IF(ISNUMBER(G48), $B64 * H48, "")</f>
        <v>-2088.1670533642741</v>
      </c>
      <c r="J48" s="20">
        <v>42.5</v>
      </c>
      <c r="K48" s="21">
        <f t="shared" si="16"/>
        <v>-1.392111368909516E-2</v>
      </c>
      <c r="L48" s="22">
        <f>IF(ISNUMBER(J48), $B64 * K48, "")</f>
        <v>-2088.1670533642741</v>
      </c>
      <c r="M48" s="30">
        <v>42.3</v>
      </c>
      <c r="N48" s="21">
        <f t="shared" si="17"/>
        <v>-1.8561484918793603E-2</v>
      </c>
      <c r="O48" s="22">
        <f>IF(ISNUMBER(M48), $B64 * N48, "")</f>
        <v>-2784.2227378190405</v>
      </c>
      <c r="Q48" s="161"/>
      <c r="R48" s="161"/>
      <c r="S48" s="161"/>
    </row>
    <row r="49" spans="1:19" ht="17.25" customHeight="1" thickBot="1">
      <c r="A49" s="109" t="s">
        <v>64</v>
      </c>
      <c r="B49" s="113">
        <v>11.5</v>
      </c>
      <c r="C49" s="73">
        <v>1.7699115000000001E-2</v>
      </c>
      <c r="D49" s="96">
        <v>11.6</v>
      </c>
      <c r="E49" s="97">
        <f>IF(ISNUMBER(D49), (D49 - $B49) / $B49, "")</f>
        <v>8.6956521739130124E-3</v>
      </c>
      <c r="F49" s="98">
        <f>IF(ISNUMBER(D49), $B64 * E49, "")</f>
        <v>1304.347826086952</v>
      </c>
      <c r="G49" s="99">
        <v>11.4</v>
      </c>
      <c r="H49" s="97">
        <f>IF(ISNUMBER(G49), (G49 - $B49) / $B49, "")</f>
        <v>-8.6956521739130124E-3</v>
      </c>
      <c r="I49" s="100">
        <f>IF(ISNUMBER(G49), $B64 * H49, "")</f>
        <v>-1304.347826086952</v>
      </c>
      <c r="J49" s="96">
        <v>11.4</v>
      </c>
      <c r="K49" s="97">
        <f>IF(ISNUMBER(J49), (J49 - $B49) / $B49, "")</f>
        <v>-8.6956521739130124E-3</v>
      </c>
      <c r="L49" s="98">
        <f>IF(ISNUMBER(J49), $B64 * K49, "")</f>
        <v>-1304.347826086952</v>
      </c>
      <c r="M49" s="99">
        <v>11.4</v>
      </c>
      <c r="N49" s="97">
        <f>IF(ISNUMBER(M49), (M49 - $B49) / $B49, "")</f>
        <v>-8.6956521739130124E-3</v>
      </c>
      <c r="O49" s="98">
        <f>IF(ISNUMBER(M49), $B64 * N49, "")</f>
        <v>-1304.347826086952</v>
      </c>
      <c r="Q49" s="161"/>
      <c r="R49" s="161"/>
      <c r="S49" s="161"/>
    </row>
    <row r="50" spans="1:19" ht="17.25" customHeight="1" thickBot="1">
      <c r="A50" s="109" t="s">
        <v>191</v>
      </c>
      <c r="B50" s="110">
        <v>54.5</v>
      </c>
      <c r="C50" s="70">
        <v>1.30111524E-2</v>
      </c>
      <c r="D50" s="15">
        <v>53.6</v>
      </c>
      <c r="E50" s="32">
        <f t="shared" ref="E50:E53" si="18">IF(ISNUMBER(D50), (D50 - $B50) / $B50, "")</f>
        <v>-1.6513761467889881E-2</v>
      </c>
      <c r="F50" s="18">
        <f>IF(ISNUMBER(D50), $B64 * E50, "")</f>
        <v>-2477.0642201834821</v>
      </c>
      <c r="G50" s="31">
        <v>53.4</v>
      </c>
      <c r="H50" s="32">
        <f t="shared" ref="H50:H53" si="19">IF(ISNUMBER(G50), (G50 - $B50) / $B50, "")</f>
        <v>-2.0183486238532135E-2</v>
      </c>
      <c r="I50" s="91">
        <f>IF(ISNUMBER(G50), $B64 * H50, "")</f>
        <v>-3027.5229357798203</v>
      </c>
      <c r="J50" s="15">
        <v>53.4</v>
      </c>
      <c r="K50" s="32">
        <f t="shared" ref="K50:K53" si="20">IF(ISNUMBER(J50), (J50 - $B50) / $B50, "")</f>
        <v>-2.0183486238532135E-2</v>
      </c>
      <c r="L50" s="18">
        <f>IF(ISNUMBER(J50), $B64 * K50, "")</f>
        <v>-3027.5229357798203</v>
      </c>
      <c r="M50" s="31">
        <v>53.4</v>
      </c>
      <c r="N50" s="32">
        <f t="shared" ref="N50:N53" si="21">IF(ISNUMBER(M50), (M50 - $B50) / $B50, "")</f>
        <v>-2.0183486238532135E-2</v>
      </c>
      <c r="O50" s="18">
        <f>IF(ISNUMBER(M50), $B64 * N50, "")</f>
        <v>-3027.5229357798203</v>
      </c>
      <c r="Q50" s="161"/>
      <c r="R50" s="161"/>
      <c r="S50" s="161"/>
    </row>
    <row r="51" spans="1:19" ht="17.25" customHeight="1" thickBot="1">
      <c r="A51" s="109" t="s">
        <v>138</v>
      </c>
      <c r="B51" s="110">
        <v>28.4</v>
      </c>
      <c r="C51" s="70">
        <v>1.06761566E-2</v>
      </c>
      <c r="D51" s="15">
        <v>28.8</v>
      </c>
      <c r="E51" s="32">
        <f t="shared" si="18"/>
        <v>1.4084507042253596E-2</v>
      </c>
      <c r="F51" s="18">
        <f>IF(ISNUMBER(D51), $B64 * E51, "")</f>
        <v>2112.6760563380394</v>
      </c>
      <c r="G51" s="31">
        <v>28.4</v>
      </c>
      <c r="H51" s="32">
        <f t="shared" si="19"/>
        <v>0</v>
      </c>
      <c r="I51" s="91">
        <f>IF(ISNUMBER(G51), $B64 * H51, "")</f>
        <v>0</v>
      </c>
      <c r="J51" s="15">
        <v>28.4</v>
      </c>
      <c r="K51" s="32">
        <f t="shared" si="20"/>
        <v>0</v>
      </c>
      <c r="L51" s="18">
        <f>IF(ISNUMBER(J51), $B64 * K51, "")</f>
        <v>0</v>
      </c>
      <c r="M51" s="31">
        <v>28.4</v>
      </c>
      <c r="N51" s="32">
        <f t="shared" si="21"/>
        <v>0</v>
      </c>
      <c r="O51" s="18">
        <f>IF(ISNUMBER(M51), $B64 * N51, "")</f>
        <v>0</v>
      </c>
      <c r="Q51" s="161"/>
      <c r="R51" s="161"/>
      <c r="S51" s="161"/>
    </row>
    <row r="52" spans="1:19" ht="17.25" customHeight="1" thickBot="1">
      <c r="A52" s="109" t="s">
        <v>335</v>
      </c>
      <c r="B52" s="110">
        <v>3.9300000000000002E-2</v>
      </c>
      <c r="C52" s="70">
        <v>1.0282776299999999E-2</v>
      </c>
      <c r="D52" s="15">
        <v>3.95E-2</v>
      </c>
      <c r="E52" s="32">
        <f t="shared" si="18"/>
        <v>5.0890585241729971E-3</v>
      </c>
      <c r="F52" s="18">
        <f>IF(ISNUMBER(D52), $B64 * E52, "")</f>
        <v>763.35877862594953</v>
      </c>
      <c r="G52" s="31">
        <v>3.9199999999999999E-2</v>
      </c>
      <c r="H52" s="32">
        <f t="shared" si="19"/>
        <v>-2.5445292620865866E-3</v>
      </c>
      <c r="I52" s="91">
        <f>IF(ISNUMBER(G52), $B64 * H52, "")</f>
        <v>-381.67938931298801</v>
      </c>
      <c r="J52" s="15">
        <v>3.9199999999999999E-2</v>
      </c>
      <c r="K52" s="32">
        <f t="shared" si="20"/>
        <v>-2.5445292620865866E-3</v>
      </c>
      <c r="L52" s="18">
        <f>IF(ISNUMBER(J52), $B64 * K52, "")</f>
        <v>-381.67938931298801</v>
      </c>
      <c r="M52" s="31">
        <v>3.9100000000000003E-2</v>
      </c>
      <c r="N52" s="32">
        <f t="shared" si="21"/>
        <v>-5.0890585241729971E-3</v>
      </c>
      <c r="O52" s="18">
        <f>IF(ISNUMBER(M52), $B64 * N52, "")</f>
        <v>-763.35877862594953</v>
      </c>
      <c r="Q52" s="33"/>
      <c r="R52" s="33"/>
    </row>
    <row r="53" spans="1:19" ht="17.25" customHeight="1" thickBot="1">
      <c r="A53" s="114" t="s">
        <v>240</v>
      </c>
      <c r="B53" s="115">
        <v>30.6</v>
      </c>
      <c r="C53" s="72">
        <v>9.9009900999999997E-3</v>
      </c>
      <c r="D53" s="24">
        <v>30.2</v>
      </c>
      <c r="E53" s="25">
        <f t="shared" si="18"/>
        <v>-1.3071895424836671E-2</v>
      </c>
      <c r="F53" s="94">
        <f>IF(ISNUMBER(D53), $B64 * E53, "")</f>
        <v>-1960.7843137255006</v>
      </c>
      <c r="G53" s="92">
        <v>30.2</v>
      </c>
      <c r="H53" s="25">
        <f t="shared" si="19"/>
        <v>-1.3071895424836671E-2</v>
      </c>
      <c r="I53" s="93">
        <f>IF(ISNUMBER(G53), $B64 * H53, "")</f>
        <v>-1960.7843137255006</v>
      </c>
      <c r="J53" s="24">
        <v>30.2</v>
      </c>
      <c r="K53" s="25">
        <f t="shared" si="20"/>
        <v>-1.3071895424836671E-2</v>
      </c>
      <c r="L53" s="94">
        <f>IF(ISNUMBER(J53), $B64 * K53, "")</f>
        <v>-1960.7843137255006</v>
      </c>
      <c r="M53" s="92">
        <v>29.8</v>
      </c>
      <c r="N53" s="25">
        <f t="shared" si="21"/>
        <v>-2.6143790849673224E-2</v>
      </c>
      <c r="O53" s="94">
        <f>IF(ISNUMBER(M53), $B64 * N53, "")</f>
        <v>-3921.5686274509835</v>
      </c>
      <c r="Q53" s="170"/>
      <c r="R53" s="171"/>
      <c r="S53" s="172"/>
    </row>
    <row r="54" spans="1:19" ht="17.25" customHeight="1">
      <c r="A54" s="107" t="s">
        <v>155</v>
      </c>
      <c r="B54" s="108">
        <v>31.1</v>
      </c>
      <c r="C54" s="69">
        <v>9.7402597E-3</v>
      </c>
      <c r="D54" s="13">
        <v>31.4</v>
      </c>
      <c r="E54" s="14">
        <f>IF(ISNUMBER(D54), (D54 - $B54) / $B54, "")</f>
        <v>9.6463022508037673E-3</v>
      </c>
      <c r="F54" s="16">
        <f>IF(ISNUMBER(D54), $B64 * E54, "")</f>
        <v>1446.9453376205652</v>
      </c>
      <c r="G54" s="29">
        <v>30.9</v>
      </c>
      <c r="H54" s="14">
        <f>IF(ISNUMBER(G54), (G54 - $B54) / $B54, "")</f>
        <v>-6.4308681672026633E-3</v>
      </c>
      <c r="I54" s="90">
        <f>IF(ISNUMBER(G54), $B64 * H54, "")</f>
        <v>-964.63022508039955</v>
      </c>
      <c r="J54" s="13">
        <v>30.9</v>
      </c>
      <c r="K54" s="14">
        <f>IF(ISNUMBER(J54), (J54 - $B54) / $B54, "")</f>
        <v>-6.4308681672026633E-3</v>
      </c>
      <c r="L54" s="16">
        <f>IF(ISNUMBER(J54), $B64 * K54, "")</f>
        <v>-964.63022508039955</v>
      </c>
      <c r="M54" s="29">
        <v>30.7</v>
      </c>
      <c r="N54" s="14">
        <f>IF(ISNUMBER(M54), (M54 - $B54) / $B54, "")</f>
        <v>-1.2861736334405212E-2</v>
      </c>
      <c r="O54" s="16">
        <f>IF(ISNUMBER(M54), $B64 * N54, "")</f>
        <v>-1929.2604501607818</v>
      </c>
      <c r="Q54" s="173"/>
      <c r="R54" s="174"/>
      <c r="S54" s="175"/>
    </row>
    <row r="55" spans="1:19" ht="17.25" customHeight="1" thickBot="1">
      <c r="A55" s="109" t="s">
        <v>145</v>
      </c>
      <c r="B55" s="110">
        <v>73.5</v>
      </c>
      <c r="C55" s="70">
        <v>8.2304526999999999E-3</v>
      </c>
      <c r="D55" s="15">
        <v>72.8</v>
      </c>
      <c r="E55" s="32">
        <f t="shared" ref="E55:E58" si="22">IF(ISNUMBER(D55), (D55 - $B55) / $B55, "")</f>
        <v>-9.5238095238095628E-3</v>
      </c>
      <c r="F55" s="18">
        <f>IF(ISNUMBER(D55), $B64 * E55, "")</f>
        <v>-1428.5714285714344</v>
      </c>
      <c r="G55" s="31">
        <v>72.5</v>
      </c>
      <c r="H55" s="32">
        <f t="shared" ref="H55:H58" si="23">IF(ISNUMBER(G55), (G55 - $B55) / $B55, "")</f>
        <v>-1.3605442176870748E-2</v>
      </c>
      <c r="I55" s="91">
        <f>IF(ISNUMBER(G55), $B64 * H55, "")</f>
        <v>-2040.8163265306121</v>
      </c>
      <c r="J55" s="15">
        <v>72.5</v>
      </c>
      <c r="K55" s="32">
        <f t="shared" ref="K55:K58" si="24">IF(ISNUMBER(J55), (J55 - $B55) / $B55, "")</f>
        <v>-1.3605442176870748E-2</v>
      </c>
      <c r="L55" s="18">
        <f>IF(ISNUMBER(J55), $B64 * K55, "")</f>
        <v>-2040.8163265306121</v>
      </c>
      <c r="M55" s="31">
        <v>72</v>
      </c>
      <c r="N55" s="32">
        <f t="shared" ref="N55:N58" si="25">IF(ISNUMBER(M55), (M55 - $B55) / $B55, "")</f>
        <v>-2.0408163265306121E-2</v>
      </c>
      <c r="O55" s="18">
        <f>IF(ISNUMBER(M55), $B64 * N55, "")</f>
        <v>-3061.2244897959181</v>
      </c>
      <c r="Q55" s="176"/>
      <c r="R55" s="177"/>
      <c r="S55" s="178"/>
    </row>
    <row r="56" spans="1:19" ht="17.25" customHeight="1" thickBot="1">
      <c r="A56" s="109" t="s">
        <v>126</v>
      </c>
      <c r="B56" s="110">
        <v>29.9</v>
      </c>
      <c r="C56" s="70">
        <v>6.7340066999999997E-3</v>
      </c>
      <c r="D56" s="15">
        <v>30.2</v>
      </c>
      <c r="E56" s="32">
        <f t="shared" si="22"/>
        <v>1.0033444816053536E-2</v>
      </c>
      <c r="F56" s="18">
        <f>IF(ISNUMBER(D56), $B64 * E56, "")</f>
        <v>1505.0167224080305</v>
      </c>
      <c r="G56" s="31">
        <v>29.9</v>
      </c>
      <c r="H56" s="32">
        <f t="shared" si="23"/>
        <v>0</v>
      </c>
      <c r="I56" s="91">
        <f>IF(ISNUMBER(G56), $B64 * H56, "")</f>
        <v>0</v>
      </c>
      <c r="J56" s="15">
        <v>29.9</v>
      </c>
      <c r="K56" s="32">
        <f t="shared" si="24"/>
        <v>0</v>
      </c>
      <c r="L56" s="18">
        <f>IF(ISNUMBER(J56), $B64 * K56, "")</f>
        <v>0</v>
      </c>
      <c r="M56" s="31">
        <v>29.6</v>
      </c>
      <c r="N56" s="32">
        <f t="shared" si="25"/>
        <v>-1.0033444816053417E-2</v>
      </c>
      <c r="O56" s="18">
        <f>IF(ISNUMBER(M56), $B64 * N56, "")</f>
        <v>-1505.0167224080126</v>
      </c>
      <c r="Q56" s="161"/>
      <c r="R56" s="161"/>
      <c r="S56" s="161"/>
    </row>
    <row r="57" spans="1:19" ht="17.25" customHeight="1" thickBot="1">
      <c r="A57" s="109" t="s">
        <v>333</v>
      </c>
      <c r="B57" s="110">
        <v>64.7</v>
      </c>
      <c r="C57" s="70">
        <v>6.2208398E-3</v>
      </c>
      <c r="D57" s="15">
        <v>64.5</v>
      </c>
      <c r="E57" s="32">
        <f t="shared" si="22"/>
        <v>-3.0911901081916975E-3</v>
      </c>
      <c r="F57" s="18">
        <f>IF(ISNUMBER(D57), $B64 * E57, "")</f>
        <v>-463.67851622875463</v>
      </c>
      <c r="G57" s="31">
        <v>64.400000000000006</v>
      </c>
      <c r="H57" s="32">
        <f t="shared" si="23"/>
        <v>-4.6367851622874361E-3</v>
      </c>
      <c r="I57" s="91">
        <f>IF(ISNUMBER(G57), $B64 * H57, "")</f>
        <v>-695.51777434311543</v>
      </c>
      <c r="J57" s="15">
        <v>64.400000000000006</v>
      </c>
      <c r="K57" s="32">
        <f t="shared" si="24"/>
        <v>-4.6367851622874361E-3</v>
      </c>
      <c r="L57" s="18">
        <f>IF(ISNUMBER(J57), $B64 * K57, "")</f>
        <v>-695.51777434311543</v>
      </c>
      <c r="M57" s="31">
        <v>64.400000000000006</v>
      </c>
      <c r="N57" s="32">
        <f t="shared" si="25"/>
        <v>-4.6367851622874361E-3</v>
      </c>
      <c r="O57" s="18">
        <f>IF(ISNUMBER(M57), $B64 * N57, "")</f>
        <v>-695.51777434311543</v>
      </c>
      <c r="Q57" s="156"/>
      <c r="R57" s="156"/>
      <c r="S57" s="156"/>
    </row>
    <row r="58" spans="1:19" ht="17.25" customHeight="1" thickBot="1">
      <c r="A58" s="111" t="s">
        <v>185</v>
      </c>
      <c r="B58" s="112">
        <v>32.9</v>
      </c>
      <c r="C58" s="71">
        <v>6.1162079999999997E-3</v>
      </c>
      <c r="D58" s="20">
        <v>32.9</v>
      </c>
      <c r="E58" s="21">
        <f t="shared" si="22"/>
        <v>0</v>
      </c>
      <c r="F58" s="22">
        <f>IF(ISNUMBER(D58), $B64 * E58, "")</f>
        <v>0</v>
      </c>
      <c r="G58" s="30">
        <v>33.1</v>
      </c>
      <c r="H58" s="21">
        <f t="shared" si="23"/>
        <v>6.079027355623187E-3</v>
      </c>
      <c r="I58" s="95">
        <f>IF(ISNUMBER(G58), $B64 * H58, "")</f>
        <v>911.85410334347807</v>
      </c>
      <c r="J58" s="20">
        <v>33.1</v>
      </c>
      <c r="K58" s="21">
        <f t="shared" si="24"/>
        <v>6.079027355623187E-3</v>
      </c>
      <c r="L58" s="22">
        <f>IF(ISNUMBER(J58), $B64 * K58, "")</f>
        <v>911.85410334347807</v>
      </c>
      <c r="M58" s="30">
        <v>33</v>
      </c>
      <c r="N58" s="21">
        <f t="shared" si="25"/>
        <v>3.0395136778115935E-3</v>
      </c>
      <c r="O58" s="22">
        <f>IF(ISNUMBER(M58), $B64 * N58, "")</f>
        <v>455.92705167173904</v>
      </c>
      <c r="Q58" s="156"/>
      <c r="R58" s="156"/>
      <c r="S58" s="156"/>
    </row>
    <row r="59" spans="1:19" ht="17.25" customHeight="1" thickBot="1">
      <c r="A59" s="109" t="s">
        <v>228</v>
      </c>
      <c r="B59" s="113">
        <v>65.8</v>
      </c>
      <c r="C59" s="73">
        <v>4.5801527000000003E-3</v>
      </c>
      <c r="D59" s="96">
        <v>65.900000000000006</v>
      </c>
      <c r="E59" s="97">
        <f>IF(ISNUMBER(D59), (D59 - $B59) / $B59, "")</f>
        <v>1.5197568389059047E-3</v>
      </c>
      <c r="F59" s="98">
        <f>IF(ISNUMBER(D59), $B64 * E59, "")</f>
        <v>227.96352583588572</v>
      </c>
      <c r="G59" s="99">
        <v>65.5</v>
      </c>
      <c r="H59" s="97">
        <f>IF(ISNUMBER(G59), (G59 - $B59) / $B59, "")</f>
        <v>-4.5592705167172825E-3</v>
      </c>
      <c r="I59" s="100">
        <f>IF(ISNUMBER(G59), $B64 * H59, "")</f>
        <v>-683.89057750759241</v>
      </c>
      <c r="J59" s="96">
        <v>65.5</v>
      </c>
      <c r="K59" s="97">
        <f>IF(ISNUMBER(J59), (J59 - $B59) / $B59, "")</f>
        <v>-4.5592705167172825E-3</v>
      </c>
      <c r="L59" s="98">
        <f>IF(ISNUMBER(J59), $B64 * K59, "")</f>
        <v>-683.89057750759241</v>
      </c>
      <c r="M59" s="99">
        <v>65.099999999999994</v>
      </c>
      <c r="N59" s="97">
        <f>IF(ISNUMBER(M59), (M59 - $B59) / $B59, "")</f>
        <v>-1.0638297872340469E-2</v>
      </c>
      <c r="O59" s="98">
        <f>IF(ISNUMBER(M59), $B64 * N59, "")</f>
        <v>-1595.7446808510704</v>
      </c>
      <c r="Q59" s="161"/>
      <c r="R59" s="161"/>
      <c r="S59" s="161"/>
    </row>
    <row r="60" spans="1:19" ht="17.25" customHeight="1" thickBot="1">
      <c r="A60" s="109" t="s">
        <v>336</v>
      </c>
      <c r="B60" s="110">
        <v>85.7</v>
      </c>
      <c r="C60" s="70">
        <v>2.3391813000000002E-3</v>
      </c>
      <c r="D60" s="15">
        <v>85.1</v>
      </c>
      <c r="E60" s="32">
        <f t="shared" ref="E60:E63" si="26">IF(ISNUMBER(D60), (D60 - $B60) / $B60, "")</f>
        <v>-7.0011668611436231E-3</v>
      </c>
      <c r="F60" s="18">
        <f>IF(ISNUMBER(D60), $B64 * E60, "")</f>
        <v>-1050.1750291715434</v>
      </c>
      <c r="G60" s="31">
        <v>84.8</v>
      </c>
      <c r="H60" s="32">
        <f t="shared" ref="H60:H63" si="27">IF(ISNUMBER(G60), (G60 - $B60) / $B60, "")</f>
        <v>-1.0501750291715352E-2</v>
      </c>
      <c r="I60" s="91">
        <f>IF(ISNUMBER(G60), $B64 * H60, "")</f>
        <v>-1575.2625437573029</v>
      </c>
      <c r="J60" s="15">
        <v>84.8</v>
      </c>
      <c r="K60" s="32">
        <f t="shared" ref="K60:K63" si="28">IF(ISNUMBER(J60), (J60 - $B60) / $B60, "")</f>
        <v>-1.0501750291715352E-2</v>
      </c>
      <c r="L60" s="18">
        <f>IF(ISNUMBER(J60), $B64 * K60, "")</f>
        <v>-1575.2625437573029</v>
      </c>
      <c r="M60" s="31">
        <v>84.5</v>
      </c>
      <c r="N60" s="32">
        <f t="shared" ref="N60:N63" si="29">IF(ISNUMBER(M60), (M60 - $B60) / $B60, "")</f>
        <v>-1.4002333722287081E-2</v>
      </c>
      <c r="O60" s="18">
        <f>IF(ISNUMBER(M60), $B64 * N60, "")</f>
        <v>-2100.3500583430623</v>
      </c>
      <c r="Q60" s="161"/>
      <c r="R60" s="161"/>
      <c r="S60" s="161"/>
    </row>
    <row r="61" spans="1:19" ht="17.25" customHeight="1" thickBot="1">
      <c r="A61" s="109" t="s">
        <v>141</v>
      </c>
      <c r="B61" s="110">
        <v>3.51</v>
      </c>
      <c r="C61" s="70">
        <v>0</v>
      </c>
      <c r="D61" s="15">
        <v>3.51</v>
      </c>
      <c r="E61" s="32">
        <f t="shared" si="26"/>
        <v>0</v>
      </c>
      <c r="F61" s="18">
        <f>IF(ISNUMBER(D61), $B64 * E61, "")</f>
        <v>0</v>
      </c>
      <c r="G61" s="31">
        <v>3.46</v>
      </c>
      <c r="H61" s="32">
        <f t="shared" si="27"/>
        <v>-1.4245014245014195E-2</v>
      </c>
      <c r="I61" s="91">
        <f>IF(ISNUMBER(G61), $B64 * H61, "")</f>
        <v>-2136.7521367521294</v>
      </c>
      <c r="J61" s="15">
        <v>3.46</v>
      </c>
      <c r="K61" s="32">
        <f t="shared" si="28"/>
        <v>-1.4245014245014195E-2</v>
      </c>
      <c r="L61" s="18">
        <f>IF(ISNUMBER(J61), $B64 * K61, "")</f>
        <v>-2136.7521367521294</v>
      </c>
      <c r="M61" s="31">
        <v>3.46</v>
      </c>
      <c r="N61" s="32">
        <f t="shared" si="29"/>
        <v>-1.4245014245014195E-2</v>
      </c>
      <c r="O61" s="18">
        <f>IF(ISNUMBER(M61), $B64 * N61, "")</f>
        <v>-2136.7521367521294</v>
      </c>
      <c r="Q61" s="161"/>
      <c r="R61" s="161"/>
      <c r="S61" s="161"/>
    </row>
    <row r="62" spans="1:19" ht="17.25" customHeight="1">
      <c r="A62" s="109" t="s">
        <v>97</v>
      </c>
      <c r="B62" s="110">
        <v>8.9999999999999998E-4</v>
      </c>
      <c r="C62" s="70">
        <v>0</v>
      </c>
      <c r="D62" s="15">
        <v>8.9999999999999998E-4</v>
      </c>
      <c r="E62" s="32">
        <f t="shared" si="26"/>
        <v>0</v>
      </c>
      <c r="F62" s="18">
        <f>IF(ISNUMBER(D62), $B64 * E62, "")</f>
        <v>0</v>
      </c>
      <c r="G62" s="31">
        <v>8.9999999999999998E-4</v>
      </c>
      <c r="H62" s="32">
        <f t="shared" si="27"/>
        <v>0</v>
      </c>
      <c r="I62" s="91">
        <f>IF(ISNUMBER(G62), $B64 * H62, "")</f>
        <v>0</v>
      </c>
      <c r="J62" s="15">
        <v>8.9999999999999998E-4</v>
      </c>
      <c r="K62" s="32">
        <f t="shared" si="28"/>
        <v>0</v>
      </c>
      <c r="L62" s="18">
        <f>IF(ISNUMBER(J62), $B64 * K62, "")</f>
        <v>0</v>
      </c>
      <c r="M62" s="31">
        <v>8.9999999999999998E-4</v>
      </c>
      <c r="N62" s="32">
        <f t="shared" si="29"/>
        <v>0</v>
      </c>
      <c r="O62" s="18">
        <f>IF(ISNUMBER(M62), $B64 * N62, "")</f>
        <v>0</v>
      </c>
      <c r="Q62" s="183"/>
      <c r="R62" s="184"/>
      <c r="S62" s="185"/>
    </row>
    <row r="63" spans="1:19" ht="17.25" customHeight="1" thickBot="1">
      <c r="A63" s="114" t="s">
        <v>193</v>
      </c>
      <c r="B63" s="115">
        <v>19.8</v>
      </c>
      <c r="C63" s="72">
        <v>0</v>
      </c>
      <c r="D63" s="24">
        <v>20</v>
      </c>
      <c r="E63" s="25">
        <f t="shared" si="26"/>
        <v>1.0101010101010065E-2</v>
      </c>
      <c r="F63" s="94">
        <f>IF(ISNUMBER(D63), $B64 * E63, "")</f>
        <v>1515.1515151515098</v>
      </c>
      <c r="G63" s="92">
        <v>19.899999999999999</v>
      </c>
      <c r="H63" s="25">
        <f t="shared" si="27"/>
        <v>5.0505050505049425E-3</v>
      </c>
      <c r="I63" s="93">
        <f>IF(ISNUMBER(G63), $B64 * H63, "")</f>
        <v>757.57575757574136</v>
      </c>
      <c r="J63" s="24">
        <v>19.899999999999999</v>
      </c>
      <c r="K63" s="25">
        <f t="shared" si="28"/>
        <v>5.0505050505049425E-3</v>
      </c>
      <c r="L63" s="94">
        <f>IF(ISNUMBER(J63), $B64 * K63, "")</f>
        <v>757.57575757574136</v>
      </c>
      <c r="M63" s="92">
        <v>19.899999999999999</v>
      </c>
      <c r="N63" s="25">
        <f t="shared" si="29"/>
        <v>5.0505050505049425E-3</v>
      </c>
      <c r="O63" s="94">
        <f>IF(ISNUMBER(M63), $B64 * N63, "")</f>
        <v>757.57575757574136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-3.144805192894764E-3</v>
      </c>
      <c r="F64" s="28">
        <f>SUM(F44:F63)</f>
        <v>-9434.4155786842875</v>
      </c>
      <c r="G64" s="26" t="s">
        <v>261</v>
      </c>
      <c r="H64" s="27">
        <f>IF(COUNT(H44:H63), SUM(H44:H63) / COUNT(H44:H63), 0)</f>
        <v>-8.7031798848557201E-3</v>
      </c>
      <c r="I64" s="28">
        <f>SUM(I44:I63)</f>
        <v>-26109.539654567157</v>
      </c>
      <c r="J64" s="26" t="s">
        <v>261</v>
      </c>
      <c r="K64" s="27">
        <f>IF(COUNT(K44:K63), SUM(K44:K63) / COUNT(K44:K63), 0)</f>
        <v>-8.7031798848557201E-3</v>
      </c>
      <c r="L64" s="28">
        <f>SUM(L44:L63)</f>
        <v>-26109.539654567157</v>
      </c>
      <c r="M64" s="26" t="s">
        <v>261</v>
      </c>
      <c r="N64" s="27">
        <f>IF(COUNT(N44:N63), SUM(N44:N63) / COUNT(N44:N63), 0)</f>
        <v>-1.175045571409316E-2</v>
      </c>
      <c r="O64" s="28">
        <f>SUM(O44:O63)</f>
        <v>-35251.367142279494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2022-12-11(일) 오전 00:00</v>
      </c>
      <c r="C69" s="199"/>
      <c r="D69" s="158" t="str">
        <f>TEXT($G$1, "[$-ko-KR]yyyy-mm-dd(ddd) ") &amp; "오후 14:00"</f>
        <v>2022-12-11(일) 오후 14:00</v>
      </c>
      <c r="E69" s="159"/>
      <c r="F69" s="160"/>
      <c r="G69" s="158" t="str">
        <f>TEXT($G$1, "[$-ko-KR]yyyy-mm-dd(ddd) ") &amp; "오후 19:00"</f>
        <v>2022-12-11(일) 오후 19:00</v>
      </c>
      <c r="H69" s="159"/>
      <c r="I69" s="160"/>
      <c r="J69" s="158" t="str">
        <f>TEXT($G$1, "[$-ko-KR]yyyy-mm-dd(ddd) ") &amp; "오후 21:00"</f>
        <v>2022-12-11(일) 오후 21:00</v>
      </c>
      <c r="K69" s="159"/>
      <c r="L69" s="160"/>
      <c r="M69" s="158" t="str">
        <f>TEXT($G$1+1, "[$-ko-KR]yyyy-mm-dd(ddd) ") &amp; "오전 00:00"</f>
        <v>2022-12-12(월)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161</v>
      </c>
      <c r="B71" s="108">
        <v>392</v>
      </c>
      <c r="C71" s="69">
        <v>0.10734463280000001</v>
      </c>
      <c r="D71" s="13">
        <v>378</v>
      </c>
      <c r="E71" s="14">
        <f>IF(ISNUMBER(D71), (D71 - $B71) / $B71, "")</f>
        <v>-3.5714285714285712E-2</v>
      </c>
      <c r="F71" s="16">
        <f>IF(ISNUMBER(D71), $B91 * E71, "")</f>
        <v>-5357.1428571428569</v>
      </c>
      <c r="G71" s="29">
        <v>400</v>
      </c>
      <c r="H71" s="14">
        <f>IF(ISNUMBER(G71), (G71 - $B71) / $B71, "")</f>
        <v>2.0408163265306121E-2</v>
      </c>
      <c r="I71" s="90">
        <f>IF(ISNUMBER(G71), $B91 * H71, "")</f>
        <v>3061.2244897959181</v>
      </c>
      <c r="J71" s="13">
        <v>400</v>
      </c>
      <c r="K71" s="14">
        <f>IF(ISNUMBER(J71), (J71 - $B71) / $B71, "")</f>
        <v>2.0408163265306121E-2</v>
      </c>
      <c r="L71" s="16">
        <f>IF(ISNUMBER(J71), $B91 * K71, "")</f>
        <v>3061.2244897959181</v>
      </c>
      <c r="M71" s="29">
        <v>380</v>
      </c>
      <c r="N71" s="14">
        <f>IF(ISNUMBER(M71), (M71 - $B71) / $B71, "")</f>
        <v>-3.0612244897959183E-2</v>
      </c>
      <c r="O71" s="16">
        <f>IF(ISNUMBER(M71), $B91 * N71, "")</f>
        <v>-4591.8367346938776</v>
      </c>
      <c r="Q71" s="156"/>
      <c r="R71" s="156"/>
      <c r="S71" s="156"/>
    </row>
    <row r="72" spans="1:19" ht="17.25" thickBot="1">
      <c r="A72" s="109" t="s">
        <v>187</v>
      </c>
      <c r="B72" s="110">
        <v>834</v>
      </c>
      <c r="C72" s="70">
        <v>4.2500000000000003E-2</v>
      </c>
      <c r="D72" s="15">
        <v>831</v>
      </c>
      <c r="E72" s="32">
        <f t="shared" ref="E72:E75" si="30">IF(ISNUMBER(D72), (D72 - $B72) / $B72, "")</f>
        <v>-3.5971223021582736E-3</v>
      </c>
      <c r="F72" s="18">
        <f>IF(ISNUMBER(D72), $B91 * E72, "")</f>
        <v>-539.56834532374103</v>
      </c>
      <c r="G72" s="31">
        <v>827</v>
      </c>
      <c r="H72" s="32">
        <f t="shared" ref="H72:H75" si="31">IF(ISNUMBER(G72), (G72 - $B72) / $B72, "")</f>
        <v>-8.3932853717026377E-3</v>
      </c>
      <c r="I72" s="91">
        <f>IF(ISNUMBER(G72), $B91 * H72, "")</f>
        <v>-1258.9928057553957</v>
      </c>
      <c r="J72" s="15">
        <v>827</v>
      </c>
      <c r="K72" s="32">
        <f t="shared" ref="K72:K75" si="32">IF(ISNUMBER(J72), (J72 - $B72) / $B72, "")</f>
        <v>-8.3932853717026377E-3</v>
      </c>
      <c r="L72" s="18">
        <f>IF(ISNUMBER(J72), $B91 * K72, "")</f>
        <v>-1258.9928057553957</v>
      </c>
      <c r="M72" s="31">
        <v>824</v>
      </c>
      <c r="N72" s="32">
        <f t="shared" ref="N72:N75" si="33">IF(ISNUMBER(M72), (M72 - $B72) / $B72, "")</f>
        <v>-1.1990407673860911E-2</v>
      </c>
      <c r="O72" s="18">
        <f>IF(ISNUMBER(M72), $B91 * N72, "")</f>
        <v>-1798.5611510791366</v>
      </c>
      <c r="Q72" s="156"/>
      <c r="R72" s="156"/>
      <c r="S72" s="156"/>
    </row>
    <row r="73" spans="1:19" ht="17.25" thickBot="1">
      <c r="A73" s="109" t="s">
        <v>208</v>
      </c>
      <c r="B73" s="110">
        <v>110</v>
      </c>
      <c r="C73" s="70">
        <v>2.8037383200000002E-2</v>
      </c>
      <c r="D73" s="15">
        <v>112</v>
      </c>
      <c r="E73" s="32">
        <f t="shared" si="30"/>
        <v>1.8181818181818181E-2</v>
      </c>
      <c r="F73" s="18">
        <f>IF(ISNUMBER(D73), $B91 * E73, "")</f>
        <v>2727.272727272727</v>
      </c>
      <c r="G73" s="31">
        <v>112</v>
      </c>
      <c r="H73" s="32">
        <f t="shared" si="31"/>
        <v>1.8181818181818181E-2</v>
      </c>
      <c r="I73" s="91">
        <f>IF(ISNUMBER(G73), $B91 * H73, "")</f>
        <v>2727.272727272727</v>
      </c>
      <c r="J73" s="15">
        <v>112</v>
      </c>
      <c r="K73" s="32">
        <f t="shared" si="32"/>
        <v>1.8181818181818181E-2</v>
      </c>
      <c r="L73" s="18">
        <f>IF(ISNUMBER(J73), $B91 * K73, "")</f>
        <v>2727.272727272727</v>
      </c>
      <c r="M73" s="31">
        <v>112</v>
      </c>
      <c r="N73" s="32">
        <f t="shared" si="33"/>
        <v>1.8181818181818181E-2</v>
      </c>
      <c r="O73" s="18">
        <f>IF(ISNUMBER(M73), $B91 * N73, "")</f>
        <v>2727.272727272727</v>
      </c>
      <c r="Q73" s="161"/>
      <c r="R73" s="161"/>
      <c r="S73" s="161"/>
    </row>
    <row r="74" spans="1:19" ht="17.25" thickBot="1">
      <c r="A74" s="109" t="s">
        <v>218</v>
      </c>
      <c r="B74" s="110">
        <v>361</v>
      </c>
      <c r="C74" s="70">
        <v>2.2662889499999998E-2</v>
      </c>
      <c r="D74" s="15">
        <v>362</v>
      </c>
      <c r="E74" s="32">
        <f t="shared" si="30"/>
        <v>2.7700831024930748E-3</v>
      </c>
      <c r="F74" s="18">
        <f>IF(ISNUMBER(D74), $B91 * E74, "")</f>
        <v>415.51246537396122</v>
      </c>
      <c r="G74" s="31">
        <v>357</v>
      </c>
      <c r="H74" s="32">
        <f t="shared" si="31"/>
        <v>-1.1080332409972299E-2</v>
      </c>
      <c r="I74" s="91">
        <f>IF(ISNUMBER(G74), $B91 * H74, "")</f>
        <v>-1662.0498614958449</v>
      </c>
      <c r="J74" s="15">
        <v>357</v>
      </c>
      <c r="K74" s="32">
        <f t="shared" si="32"/>
        <v>-1.1080332409972299E-2</v>
      </c>
      <c r="L74" s="18">
        <f>IF(ISNUMBER(J74), $B91 * K74, "")</f>
        <v>-1662.0498614958449</v>
      </c>
      <c r="M74" s="31">
        <v>355</v>
      </c>
      <c r="N74" s="32">
        <f t="shared" si="33"/>
        <v>-1.662049861495845E-2</v>
      </c>
      <c r="O74" s="18">
        <f>IF(ISNUMBER(M74), $B91 * N74, "")</f>
        <v>-2493.0747922437677</v>
      </c>
      <c r="Q74" s="161"/>
      <c r="R74" s="161"/>
      <c r="S74" s="161"/>
    </row>
    <row r="75" spans="1:19" ht="17.25" thickBot="1">
      <c r="A75" s="111" t="s">
        <v>105</v>
      </c>
      <c r="B75" s="112">
        <v>245</v>
      </c>
      <c r="C75" s="71">
        <v>2.08333333E-2</v>
      </c>
      <c r="D75" s="20">
        <v>246</v>
      </c>
      <c r="E75" s="21">
        <f t="shared" si="30"/>
        <v>4.0816326530612249E-3</v>
      </c>
      <c r="F75" s="22">
        <f>IF(ISNUMBER(D75), $B91 * E75, "")</f>
        <v>612.24489795918373</v>
      </c>
      <c r="G75" s="30">
        <v>244</v>
      </c>
      <c r="H75" s="21">
        <f t="shared" si="31"/>
        <v>-4.0816326530612249E-3</v>
      </c>
      <c r="I75" s="95">
        <f>IF(ISNUMBER(G75), $B91 * H75, "")</f>
        <v>-612.24489795918373</v>
      </c>
      <c r="J75" s="20">
        <v>244</v>
      </c>
      <c r="K75" s="21">
        <f t="shared" si="32"/>
        <v>-4.0816326530612249E-3</v>
      </c>
      <c r="L75" s="22">
        <f>IF(ISNUMBER(J75), $B91 * K75, "")</f>
        <v>-612.24489795918373</v>
      </c>
      <c r="M75" s="30">
        <v>244</v>
      </c>
      <c r="N75" s="21">
        <f t="shared" si="33"/>
        <v>-4.0816326530612249E-3</v>
      </c>
      <c r="O75" s="22">
        <f>IF(ISNUMBER(M75), $B91 * N75, "")</f>
        <v>-612.24489795918373</v>
      </c>
      <c r="Q75" s="161"/>
      <c r="R75" s="161"/>
      <c r="S75" s="161"/>
    </row>
    <row r="76" spans="1:19" ht="17.25" thickBot="1">
      <c r="A76" s="109" t="s">
        <v>101</v>
      </c>
      <c r="B76" s="113">
        <v>247</v>
      </c>
      <c r="C76" s="73">
        <v>2.0661156999999999E-2</v>
      </c>
      <c r="D76" s="96">
        <v>247</v>
      </c>
      <c r="E76" s="97">
        <f>IF(ISNUMBER(D76), (D76 - $B76) / $B76, "")</f>
        <v>0</v>
      </c>
      <c r="F76" s="98">
        <f>IF(ISNUMBER(D76), $B91 * E76, "")</f>
        <v>0</v>
      </c>
      <c r="G76" s="99">
        <v>249</v>
      </c>
      <c r="H76" s="97">
        <f>IF(ISNUMBER(G76), (G76 - $B76) / $B76, "")</f>
        <v>8.0971659919028341E-3</v>
      </c>
      <c r="I76" s="100">
        <f>IF(ISNUMBER(G76), $B91 * H76, "")</f>
        <v>1214.5748987854251</v>
      </c>
      <c r="J76" s="96">
        <v>249</v>
      </c>
      <c r="K76" s="97">
        <f>IF(ISNUMBER(J76), (J76 - $B76) / $B76, "")</f>
        <v>8.0971659919028341E-3</v>
      </c>
      <c r="L76" s="98">
        <f>IF(ISNUMBER(J76), $B91 * K76, "")</f>
        <v>1214.5748987854251</v>
      </c>
      <c r="M76" s="99">
        <v>249</v>
      </c>
      <c r="N76" s="97">
        <f>IF(ISNUMBER(M76), (M76 - $B76) / $B76, "")</f>
        <v>8.0971659919028341E-3</v>
      </c>
      <c r="O76" s="98">
        <f>IF(ISNUMBER(M76), $B91 * N76, "")</f>
        <v>1214.5748987854251</v>
      </c>
      <c r="Q76" s="161"/>
      <c r="R76" s="161"/>
      <c r="S76" s="161"/>
    </row>
    <row r="77" spans="1:19" ht="17.25" thickBot="1">
      <c r="A77" s="109" t="s">
        <v>167</v>
      </c>
      <c r="B77" s="110">
        <v>202</v>
      </c>
      <c r="C77" s="70">
        <v>2.02020202E-2</v>
      </c>
      <c r="D77" s="15">
        <v>203</v>
      </c>
      <c r="E77" s="32">
        <f t="shared" ref="E77:E80" si="34">IF(ISNUMBER(D77), (D77 - $B77) / $B77, "")</f>
        <v>4.9504950495049506E-3</v>
      </c>
      <c r="F77" s="18">
        <f>IF(ISNUMBER(D77), $B91 * E77, "")</f>
        <v>742.57425742574253</v>
      </c>
      <c r="G77" s="31">
        <v>203</v>
      </c>
      <c r="H77" s="32">
        <f t="shared" ref="H77:H80" si="35">IF(ISNUMBER(G77), (G77 - $B77) / $B77, "")</f>
        <v>4.9504950495049506E-3</v>
      </c>
      <c r="I77" s="91">
        <f>IF(ISNUMBER(G77), $B91 * H77, "")</f>
        <v>742.57425742574253</v>
      </c>
      <c r="J77" s="15">
        <v>203</v>
      </c>
      <c r="K77" s="32">
        <f t="shared" ref="K77:K80" si="36">IF(ISNUMBER(J77), (J77 - $B77) / $B77, "")</f>
        <v>4.9504950495049506E-3</v>
      </c>
      <c r="L77" s="18">
        <f>IF(ISNUMBER(J77), $B91 * K77, "")</f>
        <v>742.57425742574253</v>
      </c>
      <c r="M77" s="31">
        <v>205</v>
      </c>
      <c r="N77" s="32">
        <f t="shared" ref="N77:N80" si="37">IF(ISNUMBER(M77), (M77 - $B77) / $B77, "")</f>
        <v>1.4851485148514851E-2</v>
      </c>
      <c r="O77" s="18">
        <f>IF(ISNUMBER(M77), $B91 * N77, "")</f>
        <v>2227.7227722772277</v>
      </c>
      <c r="Q77" s="161"/>
      <c r="R77" s="161"/>
      <c r="S77" s="161"/>
    </row>
    <row r="78" spans="1:19" ht="17.25" thickBot="1">
      <c r="A78" s="109" t="s">
        <v>337</v>
      </c>
      <c r="B78" s="110">
        <v>329</v>
      </c>
      <c r="C78" s="70">
        <v>1.8575851399999999E-2</v>
      </c>
      <c r="D78" s="15">
        <v>333</v>
      </c>
      <c r="E78" s="32">
        <f t="shared" si="34"/>
        <v>1.2158054711246201E-2</v>
      </c>
      <c r="F78" s="18">
        <f>IF(ISNUMBER(D78), $B91 * E78, "")</f>
        <v>1823.70820668693</v>
      </c>
      <c r="G78" s="31">
        <v>331</v>
      </c>
      <c r="H78" s="32">
        <f t="shared" si="35"/>
        <v>6.0790273556231003E-3</v>
      </c>
      <c r="I78" s="91">
        <f>IF(ISNUMBER(G78), $B91 * H78, "")</f>
        <v>911.854103343465</v>
      </c>
      <c r="J78" s="15">
        <v>331</v>
      </c>
      <c r="K78" s="32">
        <f t="shared" si="36"/>
        <v>6.0790273556231003E-3</v>
      </c>
      <c r="L78" s="18">
        <f>IF(ISNUMBER(J78), $B91 * K78, "")</f>
        <v>911.854103343465</v>
      </c>
      <c r="M78" s="31">
        <v>329</v>
      </c>
      <c r="N78" s="32">
        <f t="shared" si="37"/>
        <v>0</v>
      </c>
      <c r="O78" s="18">
        <f>IF(ISNUMBER(M78), $B91 * N78, "")</f>
        <v>0</v>
      </c>
      <c r="Q78" s="161"/>
      <c r="R78" s="161"/>
      <c r="S78" s="161"/>
    </row>
    <row r="79" spans="1:19" ht="17.25" thickBot="1">
      <c r="A79" s="109" t="s">
        <v>332</v>
      </c>
      <c r="B79" s="110">
        <v>306</v>
      </c>
      <c r="C79" s="70">
        <v>1.6611295700000001E-2</v>
      </c>
      <c r="D79" s="15">
        <v>306</v>
      </c>
      <c r="E79" s="32">
        <f t="shared" si="34"/>
        <v>0</v>
      </c>
      <c r="F79" s="18">
        <f>IF(ISNUMBER(D79), $B91 * E79, "")</f>
        <v>0</v>
      </c>
      <c r="G79" s="31">
        <v>301</v>
      </c>
      <c r="H79" s="32">
        <f t="shared" si="35"/>
        <v>-1.6339869281045753E-2</v>
      </c>
      <c r="I79" s="91">
        <f>IF(ISNUMBER(G79), $B91 * H79, "")</f>
        <v>-2450.9803921568628</v>
      </c>
      <c r="J79" s="15">
        <v>301</v>
      </c>
      <c r="K79" s="32">
        <f t="shared" si="36"/>
        <v>-1.6339869281045753E-2</v>
      </c>
      <c r="L79" s="18">
        <f>IF(ISNUMBER(J79), $B91 * K79, "")</f>
        <v>-2450.9803921568628</v>
      </c>
      <c r="M79" s="31">
        <v>299</v>
      </c>
      <c r="N79" s="32">
        <f t="shared" si="37"/>
        <v>-2.2875816993464051E-2</v>
      </c>
      <c r="O79" s="18">
        <f>IF(ISNUMBER(M79), $B91 * N79, "")</f>
        <v>-3431.3725490196075</v>
      </c>
      <c r="Q79" s="33"/>
      <c r="R79" s="33"/>
    </row>
    <row r="80" spans="1:19" ht="17.25" thickBot="1">
      <c r="A80" s="114" t="s">
        <v>103</v>
      </c>
      <c r="B80" s="115">
        <v>256</v>
      </c>
      <c r="C80" s="72">
        <v>1.5873015899999999E-2</v>
      </c>
      <c r="D80" s="24">
        <v>259</v>
      </c>
      <c r="E80" s="25">
        <f t="shared" si="34"/>
        <v>1.171875E-2</v>
      </c>
      <c r="F80" s="94">
        <f>IF(ISNUMBER(D80), $B91 * E80, "")</f>
        <v>1757.8125</v>
      </c>
      <c r="G80" s="92">
        <v>261</v>
      </c>
      <c r="H80" s="25">
        <f t="shared" si="35"/>
        <v>1.953125E-2</v>
      </c>
      <c r="I80" s="93">
        <f>IF(ISNUMBER(G80), $B91 * H80, "")</f>
        <v>2929.6875</v>
      </c>
      <c r="J80" s="24">
        <v>261</v>
      </c>
      <c r="K80" s="25">
        <f t="shared" si="36"/>
        <v>1.953125E-2</v>
      </c>
      <c r="L80" s="94">
        <f>IF(ISNUMBER(J80), $B91 * K80, "")</f>
        <v>2929.6875</v>
      </c>
      <c r="M80" s="92">
        <v>261</v>
      </c>
      <c r="N80" s="25">
        <f t="shared" si="37"/>
        <v>1.953125E-2</v>
      </c>
      <c r="O80" s="94">
        <f>IF(ISNUMBER(M80), $B91 * N80, "")</f>
        <v>2929.6875</v>
      </c>
      <c r="Q80" s="170"/>
      <c r="R80" s="171"/>
      <c r="S80" s="172"/>
    </row>
    <row r="81" spans="1:19">
      <c r="A81" s="107" t="s">
        <v>169</v>
      </c>
      <c r="B81" s="108">
        <v>279</v>
      </c>
      <c r="C81" s="69">
        <v>1.4545454500000001E-2</v>
      </c>
      <c r="D81" s="13">
        <v>280</v>
      </c>
      <c r="E81" s="14">
        <f>IF(ISNUMBER(D81), (D81 - $B81) / $B81, "")</f>
        <v>3.5842293906810036E-3</v>
      </c>
      <c r="F81" s="16">
        <f>IF(ISNUMBER(D81), $B91 * E81, "")</f>
        <v>537.63440860215053</v>
      </c>
      <c r="G81" s="29">
        <v>279</v>
      </c>
      <c r="H81" s="14">
        <f>IF(ISNUMBER(G81), (G81 - $B81) / $B81, "")</f>
        <v>0</v>
      </c>
      <c r="I81" s="90">
        <f>IF(ISNUMBER(G81), $B91 * H81, "")</f>
        <v>0</v>
      </c>
      <c r="J81" s="13">
        <v>279</v>
      </c>
      <c r="K81" s="14">
        <f>IF(ISNUMBER(J81), (J81 - $B81) / $B81, "")</f>
        <v>0</v>
      </c>
      <c r="L81" s="16">
        <f>IF(ISNUMBER(J81), $B91 * K81, "")</f>
        <v>0</v>
      </c>
      <c r="M81" s="29">
        <v>280</v>
      </c>
      <c r="N81" s="14">
        <f>IF(ISNUMBER(M81), (M81 - $B81) / $B81, "")</f>
        <v>3.5842293906810036E-3</v>
      </c>
      <c r="O81" s="16">
        <f>IF(ISNUMBER(M81), $B91 * N81, "")</f>
        <v>537.63440860215053</v>
      </c>
      <c r="Q81" s="173"/>
      <c r="R81" s="174"/>
      <c r="S81" s="175"/>
    </row>
    <row r="82" spans="1:19" ht="17.25" thickBot="1">
      <c r="A82" s="109" t="s">
        <v>349</v>
      </c>
      <c r="B82" s="110">
        <v>815</v>
      </c>
      <c r="C82" s="70">
        <v>1.3681591999999999E-2</v>
      </c>
      <c r="D82" s="15">
        <v>795</v>
      </c>
      <c r="E82" s="32">
        <f t="shared" ref="E82:E85" si="38">IF(ISNUMBER(D82), (D82 - $B82) / $B82, "")</f>
        <v>-2.4539877300613498E-2</v>
      </c>
      <c r="F82" s="18">
        <f>IF(ISNUMBER(D82), $B91 * E82, "")</f>
        <v>-3680.9815950920247</v>
      </c>
      <c r="G82" s="31">
        <v>789</v>
      </c>
      <c r="H82" s="32">
        <f t="shared" ref="H82:H85" si="39">IF(ISNUMBER(G82), (G82 - $B82) / $B82, "")</f>
        <v>-3.1901840490797549E-2</v>
      </c>
      <c r="I82" s="91">
        <f>IF(ISNUMBER(G82), $B91 * H82, "")</f>
        <v>-4785.2760736196324</v>
      </c>
      <c r="J82" s="15">
        <v>789</v>
      </c>
      <c r="K82" s="32">
        <f t="shared" ref="K82:K85" si="40">IF(ISNUMBER(J82), (J82 - $B82) / $B82, "")</f>
        <v>-3.1901840490797549E-2</v>
      </c>
      <c r="L82" s="18">
        <f>IF(ISNUMBER(J82), $B91 * K82, "")</f>
        <v>-4785.2760736196324</v>
      </c>
      <c r="M82" s="31">
        <v>779</v>
      </c>
      <c r="N82" s="32">
        <f t="shared" ref="N82:N85" si="41">IF(ISNUMBER(M82), (M82 - $B82) / $B82, "")</f>
        <v>-4.4171779141104296E-2</v>
      </c>
      <c r="O82" s="18">
        <f>IF(ISNUMBER(M82), $B91 * N82, "")</f>
        <v>-6625.7668711656443</v>
      </c>
      <c r="Q82" s="176"/>
      <c r="R82" s="177"/>
      <c r="S82" s="178"/>
    </row>
    <row r="83" spans="1:19" ht="17.25" thickBot="1">
      <c r="A83" s="109" t="s">
        <v>79</v>
      </c>
      <c r="B83" s="110">
        <v>304</v>
      </c>
      <c r="C83" s="70">
        <v>1.33333333E-2</v>
      </c>
      <c r="D83" s="15">
        <v>303</v>
      </c>
      <c r="E83" s="32">
        <f t="shared" si="38"/>
        <v>-3.2894736842105261E-3</v>
      </c>
      <c r="F83" s="18">
        <f>IF(ISNUMBER(D83), $B91 * E83, "")</f>
        <v>-493.4210526315789</v>
      </c>
      <c r="G83" s="31">
        <v>303</v>
      </c>
      <c r="H83" s="32">
        <f t="shared" si="39"/>
        <v>-3.2894736842105261E-3</v>
      </c>
      <c r="I83" s="91">
        <f>IF(ISNUMBER(G83), $B91 * H83, "")</f>
        <v>-493.4210526315789</v>
      </c>
      <c r="J83" s="15">
        <v>303</v>
      </c>
      <c r="K83" s="32">
        <f t="shared" si="40"/>
        <v>-3.2894736842105261E-3</v>
      </c>
      <c r="L83" s="18">
        <f>IF(ISNUMBER(J83), $B91 * K83, "")</f>
        <v>-493.4210526315789</v>
      </c>
      <c r="M83" s="31">
        <v>303</v>
      </c>
      <c r="N83" s="32">
        <f t="shared" si="41"/>
        <v>-3.2894736842105261E-3</v>
      </c>
      <c r="O83" s="18">
        <f>IF(ISNUMBER(M83), $B91 * N83, "")</f>
        <v>-493.4210526315789</v>
      </c>
      <c r="Q83" s="161"/>
      <c r="R83" s="161"/>
      <c r="S83" s="161"/>
    </row>
    <row r="84" spans="1:19" ht="17.25" thickBot="1">
      <c r="A84" s="109" t="s">
        <v>226</v>
      </c>
      <c r="B84" s="110">
        <v>239</v>
      </c>
      <c r="C84" s="70">
        <v>1.27118644E-2</v>
      </c>
      <c r="D84" s="15">
        <v>241</v>
      </c>
      <c r="E84" s="32">
        <f t="shared" si="38"/>
        <v>8.368200836820083E-3</v>
      </c>
      <c r="F84" s="18">
        <f>IF(ISNUMBER(D84), $B91 * E84, "")</f>
        <v>1255.2301255230125</v>
      </c>
      <c r="G84" s="31">
        <v>240</v>
      </c>
      <c r="H84" s="32">
        <f t="shared" si="39"/>
        <v>4.1841004184100415E-3</v>
      </c>
      <c r="I84" s="91">
        <f>IF(ISNUMBER(G84), $B91 * H84, "")</f>
        <v>627.61506276150624</v>
      </c>
      <c r="J84" s="15">
        <v>240</v>
      </c>
      <c r="K84" s="32">
        <f t="shared" si="40"/>
        <v>4.1841004184100415E-3</v>
      </c>
      <c r="L84" s="18">
        <f>IF(ISNUMBER(J84), $B91 * K84, "")</f>
        <v>627.61506276150624</v>
      </c>
      <c r="M84" s="31">
        <v>239</v>
      </c>
      <c r="N84" s="32">
        <f t="shared" si="41"/>
        <v>0</v>
      </c>
      <c r="O84" s="18">
        <f>IF(ISNUMBER(M84), $B91 * N84, "")</f>
        <v>0</v>
      </c>
      <c r="Q84" s="156"/>
      <c r="R84" s="156"/>
      <c r="S84" s="156"/>
    </row>
    <row r="85" spans="1:19" ht="17.25" thickBot="1">
      <c r="A85" s="111" t="s">
        <v>216</v>
      </c>
      <c r="B85" s="112">
        <v>526</v>
      </c>
      <c r="C85" s="71">
        <v>1.15384615E-2</v>
      </c>
      <c r="D85" s="20">
        <v>543</v>
      </c>
      <c r="E85" s="21">
        <f t="shared" si="38"/>
        <v>3.2319391634980987E-2</v>
      </c>
      <c r="F85" s="22">
        <f>IF(ISNUMBER(D85), $B91 * E85, "")</f>
        <v>4847.9087452471485</v>
      </c>
      <c r="G85" s="30">
        <v>544</v>
      </c>
      <c r="H85" s="21">
        <f t="shared" si="39"/>
        <v>3.4220532319391636E-2</v>
      </c>
      <c r="I85" s="95">
        <f>IF(ISNUMBER(G85), $B91 * H85, "")</f>
        <v>5133.0798479087453</v>
      </c>
      <c r="J85" s="20">
        <v>544</v>
      </c>
      <c r="K85" s="21">
        <f t="shared" si="40"/>
        <v>3.4220532319391636E-2</v>
      </c>
      <c r="L85" s="22">
        <f>IF(ISNUMBER(J85), $B91 * K85, "")</f>
        <v>5133.0798479087453</v>
      </c>
      <c r="M85" s="30">
        <v>539</v>
      </c>
      <c r="N85" s="21">
        <f t="shared" si="41"/>
        <v>2.4714828897338403E-2</v>
      </c>
      <c r="O85" s="22">
        <f>IF(ISNUMBER(M85), $B91 * N85, "")</f>
        <v>3707.2243346007604</v>
      </c>
      <c r="Q85" s="156"/>
      <c r="R85" s="156"/>
      <c r="S85" s="156"/>
    </row>
    <row r="86" spans="1:19" ht="17.25" thickBot="1">
      <c r="A86" s="109" t="s">
        <v>130</v>
      </c>
      <c r="B86" s="113">
        <v>844</v>
      </c>
      <c r="C86" s="73">
        <v>9.5693779999999999E-3</v>
      </c>
      <c r="D86" s="96">
        <v>857</v>
      </c>
      <c r="E86" s="97">
        <f>IF(ISNUMBER(D86), (D86 - $B86) / $B86, "")</f>
        <v>1.5402843601895734E-2</v>
      </c>
      <c r="F86" s="98">
        <f>IF(ISNUMBER(D86), $B91 * E86, "")</f>
        <v>2310.4265402843603</v>
      </c>
      <c r="G86" s="99">
        <v>863</v>
      </c>
      <c r="H86" s="97">
        <f>IF(ISNUMBER(G86), (G86 - $B86) / $B86, "")</f>
        <v>2.2511848341232227E-2</v>
      </c>
      <c r="I86" s="100">
        <f>IF(ISNUMBER(G86), $B91 * H86, "")</f>
        <v>3376.7772511848343</v>
      </c>
      <c r="J86" s="96">
        <v>863</v>
      </c>
      <c r="K86" s="97">
        <f>IF(ISNUMBER(J86), (J86 - $B86) / $B86, "")</f>
        <v>2.2511848341232227E-2</v>
      </c>
      <c r="L86" s="98">
        <f>IF(ISNUMBER(J86), $B91 * K86, "")</f>
        <v>3376.7772511848343</v>
      </c>
      <c r="M86" s="99">
        <v>867</v>
      </c>
      <c r="N86" s="97">
        <f>IF(ISNUMBER(M86), (M86 - $B86) / $B86, "")</f>
        <v>2.7251184834123223E-2</v>
      </c>
      <c r="O86" s="98">
        <f>IF(ISNUMBER(M86), $B91 * N86, "")</f>
        <v>4087.6777251184835</v>
      </c>
      <c r="Q86" s="161"/>
      <c r="R86" s="161"/>
      <c r="S86" s="161"/>
    </row>
    <row r="87" spans="1:19" ht="17.25" thickBot="1">
      <c r="A87" s="109" t="s">
        <v>60</v>
      </c>
      <c r="B87" s="110">
        <v>533</v>
      </c>
      <c r="C87" s="70">
        <v>9.4696969999999991E-3</v>
      </c>
      <c r="D87" s="15">
        <v>534</v>
      </c>
      <c r="E87" s="32">
        <f t="shared" ref="E87:E90" si="42">IF(ISNUMBER(D87), (D87 - $B87) / $B87, "")</f>
        <v>1.876172607879925E-3</v>
      </c>
      <c r="F87" s="18">
        <f>IF(ISNUMBER(D87), $B91 * E87, "")</f>
        <v>281.42589118198873</v>
      </c>
      <c r="G87" s="31">
        <v>531</v>
      </c>
      <c r="H87" s="32">
        <f t="shared" ref="H87:H90" si="43">IF(ISNUMBER(G87), (G87 - $B87) / $B87, "")</f>
        <v>-3.7523452157598499E-3</v>
      </c>
      <c r="I87" s="91">
        <f>IF(ISNUMBER(G87), $B91 * H87, "")</f>
        <v>-562.85178236397746</v>
      </c>
      <c r="J87" s="15">
        <v>531</v>
      </c>
      <c r="K87" s="32">
        <f t="shared" ref="K87:K90" si="44">IF(ISNUMBER(J87), (J87 - $B87) / $B87, "")</f>
        <v>-3.7523452157598499E-3</v>
      </c>
      <c r="L87" s="18">
        <f>IF(ISNUMBER(J87), $B91 * K87, "")</f>
        <v>-562.85178236397746</v>
      </c>
      <c r="M87" s="31">
        <v>530</v>
      </c>
      <c r="N87" s="32">
        <f t="shared" ref="N87:N90" si="45">IF(ISNUMBER(M87), (M87 - $B87) / $B87, "")</f>
        <v>-5.6285178236397749E-3</v>
      </c>
      <c r="O87" s="18">
        <f>IF(ISNUMBER(M87), $B91 * N87, "")</f>
        <v>-844.27767354596619</v>
      </c>
      <c r="Q87" s="161"/>
      <c r="R87" s="161"/>
      <c r="S87" s="161"/>
    </row>
    <row r="88" spans="1:19" ht="17.25" thickBot="1">
      <c r="A88" s="109" t="s">
        <v>153</v>
      </c>
      <c r="B88" s="110">
        <v>433</v>
      </c>
      <c r="C88" s="70">
        <v>9.3240093E-3</v>
      </c>
      <c r="D88" s="15">
        <v>437</v>
      </c>
      <c r="E88" s="32">
        <f t="shared" si="42"/>
        <v>9.2378752886836026E-3</v>
      </c>
      <c r="F88" s="18">
        <f>IF(ISNUMBER(D88), $B91 * E88, "")</f>
        <v>1385.6812933025403</v>
      </c>
      <c r="G88" s="31">
        <v>434</v>
      </c>
      <c r="H88" s="32">
        <f t="shared" si="43"/>
        <v>2.3094688221709007E-3</v>
      </c>
      <c r="I88" s="91">
        <f>IF(ISNUMBER(G88), $B91 * H88, "")</f>
        <v>346.42032332563508</v>
      </c>
      <c r="J88" s="15">
        <v>434</v>
      </c>
      <c r="K88" s="32">
        <f t="shared" si="44"/>
        <v>2.3094688221709007E-3</v>
      </c>
      <c r="L88" s="18">
        <f>IF(ISNUMBER(J88), $B91 * K88, "")</f>
        <v>346.42032332563508</v>
      </c>
      <c r="M88" s="31">
        <v>432</v>
      </c>
      <c r="N88" s="32">
        <f t="shared" si="45"/>
        <v>-2.3094688221709007E-3</v>
      </c>
      <c r="O88" s="18">
        <f>IF(ISNUMBER(M88), $B91 * N88, "")</f>
        <v>-346.42032332563508</v>
      </c>
      <c r="Q88" s="161"/>
      <c r="R88" s="161"/>
      <c r="S88" s="161"/>
    </row>
    <row r="89" spans="1:19">
      <c r="A89" s="109" t="s">
        <v>340</v>
      </c>
      <c r="B89" s="110">
        <v>594</v>
      </c>
      <c r="C89" s="70">
        <v>8.4889643000000004E-3</v>
      </c>
      <c r="D89" s="15">
        <v>596</v>
      </c>
      <c r="E89" s="32">
        <f t="shared" si="42"/>
        <v>3.3670033670033669E-3</v>
      </c>
      <c r="F89" s="18">
        <f>IF(ISNUMBER(D89), $B91 * E89, "")</f>
        <v>505.05050505050502</v>
      </c>
      <c r="G89" s="31">
        <v>594</v>
      </c>
      <c r="H89" s="32">
        <f t="shared" si="43"/>
        <v>0</v>
      </c>
      <c r="I89" s="91">
        <f>IF(ISNUMBER(G89), $B91 * H89, "")</f>
        <v>0</v>
      </c>
      <c r="J89" s="15">
        <v>594</v>
      </c>
      <c r="K89" s="32">
        <f t="shared" si="44"/>
        <v>0</v>
      </c>
      <c r="L89" s="18">
        <f>IF(ISNUMBER(J89), $B91 * K89, "")</f>
        <v>0</v>
      </c>
      <c r="M89" s="31">
        <v>590</v>
      </c>
      <c r="N89" s="32">
        <f t="shared" si="45"/>
        <v>-6.7340067340067337E-3</v>
      </c>
      <c r="O89" s="18">
        <f>IF(ISNUMBER(M89), $B91 * N89, "")</f>
        <v>-1010.10101010101</v>
      </c>
      <c r="Q89" s="183"/>
      <c r="R89" s="184"/>
      <c r="S89" s="185"/>
    </row>
    <row r="90" spans="1:19" ht="17.25" thickBot="1">
      <c r="A90" s="114" t="s">
        <v>120</v>
      </c>
      <c r="B90" s="115">
        <v>129</v>
      </c>
      <c r="C90" s="72">
        <v>7.8125E-3</v>
      </c>
      <c r="D90" s="24">
        <v>133</v>
      </c>
      <c r="E90" s="25">
        <f t="shared" si="42"/>
        <v>3.1007751937984496E-2</v>
      </c>
      <c r="F90" s="94">
        <f>IF(ISNUMBER(D90), $B91 * E90, "")</f>
        <v>4651.1627906976746</v>
      </c>
      <c r="G90" s="92">
        <v>134</v>
      </c>
      <c r="H90" s="25">
        <f t="shared" si="43"/>
        <v>3.875968992248062E-2</v>
      </c>
      <c r="I90" s="93">
        <f>IF(ISNUMBER(G90), $B91 * H90, "")</f>
        <v>5813.9534883720926</v>
      </c>
      <c r="J90" s="24">
        <v>134</v>
      </c>
      <c r="K90" s="25">
        <f t="shared" si="44"/>
        <v>3.875968992248062E-2</v>
      </c>
      <c r="L90" s="94">
        <f>IF(ISNUMBER(J90), $B91 * K90, "")</f>
        <v>5813.9534883720926</v>
      </c>
      <c r="M90" s="92">
        <v>132</v>
      </c>
      <c r="N90" s="25">
        <f t="shared" si="45"/>
        <v>2.3255813953488372E-2</v>
      </c>
      <c r="O90" s="94">
        <f>IF(ISNUMBER(M90), $B91 * N90, "")</f>
        <v>3488.3720930232557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4.5941771681392409E-3</v>
      </c>
      <c r="F91" s="28">
        <f>SUM(F71:F90)</f>
        <v>13782.531504417726</v>
      </c>
      <c r="G91" s="26" t="s">
        <v>261</v>
      </c>
      <c r="H91" s="27">
        <f>IF(COUNT(H71:H90), SUM(H71:H90) / COUNT(H71:H90), 0)</f>
        <v>5.019739028064539E-3</v>
      </c>
      <c r="I91" s="28">
        <f>SUM(I71:I90)</f>
        <v>15059.217084193617</v>
      </c>
      <c r="J91" s="26" t="s">
        <v>261</v>
      </c>
      <c r="K91" s="27">
        <f>IF(COUNT(K71:K90), SUM(K71:K90) / COUNT(K71:K90), 0)</f>
        <v>5.019739028064539E-3</v>
      </c>
      <c r="L91" s="28">
        <f>SUM(L71:L90)</f>
        <v>15059.217084193617</v>
      </c>
      <c r="M91" s="26" t="s">
        <v>261</v>
      </c>
      <c r="N91" s="27">
        <f>IF(COUNT(N71:N90), SUM(N71:N90) / COUNT(N71:N90), 0)</f>
        <v>-4.4230353202845895E-4</v>
      </c>
      <c r="O91" s="28">
        <f>SUM(O71:O90)</f>
        <v>-1326.9105960853767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2022-12-11(일) 오전 00:00</v>
      </c>
      <c r="C96" s="199"/>
      <c r="D96" s="158" t="str">
        <f>TEXT($G$1, "[$-ko-KR]yyyy-mm-dd(ddd) ") &amp; "오후 14:00"</f>
        <v>2022-12-11(일) 오후 14:00</v>
      </c>
      <c r="E96" s="159"/>
      <c r="F96" s="160"/>
      <c r="G96" s="158" t="str">
        <f>TEXT($G$1, "[$-ko-KR]yyyy-mm-dd(ddd) ") &amp; "오후 19:00"</f>
        <v>2022-12-11(일) 오후 19:00</v>
      </c>
      <c r="H96" s="159"/>
      <c r="I96" s="160"/>
      <c r="J96" s="158" t="str">
        <f>TEXT($G$1, "[$-ko-KR]yyyy-mm-dd(ddd) ") &amp; "오후 21:00"</f>
        <v>2022-12-11(일) 오후 21:00</v>
      </c>
      <c r="K96" s="159"/>
      <c r="L96" s="160"/>
      <c r="M96" s="158" t="str">
        <f>TEXT($G$1+1, "[$-ko-KR]yyyy-mm-dd(ddd) ") &amp; "오전 00:00"</f>
        <v>2022-12-12(월)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62</v>
      </c>
      <c r="B98" s="108">
        <v>10480</v>
      </c>
      <c r="C98" s="69">
        <v>0.11727078890000001</v>
      </c>
      <c r="D98" s="13">
        <v>10480</v>
      </c>
      <c r="E98" s="14">
        <f>IF(ISNUMBER(D98), (D98 - $B98) / $B98, "")</f>
        <v>0</v>
      </c>
      <c r="F98" s="16">
        <f>IF(ISNUMBER(D98), $B118 * E98, "")</f>
        <v>0</v>
      </c>
      <c r="G98" s="29">
        <v>10580</v>
      </c>
      <c r="H98" s="14">
        <f>IF(ISNUMBER(G98), (G98 - $B98) / $B98, "")</f>
        <v>9.5419847328244278E-3</v>
      </c>
      <c r="I98" s="90">
        <f>IF(ISNUMBER(G98), $B118 * H98, "")</f>
        <v>1431.2977099236641</v>
      </c>
      <c r="J98" s="13">
        <v>10580</v>
      </c>
      <c r="K98" s="14">
        <f>IF(ISNUMBER(J98), (J98 - $B98) / $B98, "")</f>
        <v>9.5419847328244278E-3</v>
      </c>
      <c r="L98" s="16">
        <f>IF(ISNUMBER(J98), $B118 * K98, "")</f>
        <v>1431.2977099236641</v>
      </c>
      <c r="M98" s="29">
        <v>10190</v>
      </c>
      <c r="N98" s="14">
        <f>IF(ISNUMBER(M98), (M98 - $B98) / $B98, "")</f>
        <v>-2.7671755725190841E-2</v>
      </c>
      <c r="O98" s="16">
        <f>IF(ISNUMBER(M98), $B118 * N98, "")</f>
        <v>-4150.7633587786258</v>
      </c>
      <c r="Q98" s="156"/>
      <c r="R98" s="156"/>
      <c r="S98" s="156"/>
    </row>
    <row r="99" spans="1:19" ht="17.25" thickBot="1">
      <c r="A99" s="109" t="s">
        <v>161</v>
      </c>
      <c r="B99" s="110">
        <v>392</v>
      </c>
      <c r="C99" s="70">
        <v>0.10734463280000001</v>
      </c>
      <c r="D99" s="15">
        <v>378</v>
      </c>
      <c r="E99" s="32">
        <f t="shared" ref="E99:E102" si="46">IF(ISNUMBER(D99), (D99 - $B99) / $B99, "")</f>
        <v>-3.5714285714285712E-2</v>
      </c>
      <c r="F99" s="18">
        <f>IF(ISNUMBER(D99), $B118 * E99, "")</f>
        <v>-5357.1428571428569</v>
      </c>
      <c r="G99" s="31">
        <v>400</v>
      </c>
      <c r="H99" s="32">
        <f t="shared" ref="H99:H102" si="47">IF(ISNUMBER(G99), (G99 - $B99) / $B99, "")</f>
        <v>2.0408163265306121E-2</v>
      </c>
      <c r="I99" s="91">
        <f>IF(ISNUMBER(G99), $B118 * H99, "")</f>
        <v>3061.2244897959181</v>
      </c>
      <c r="J99" s="15">
        <v>400</v>
      </c>
      <c r="K99" s="32">
        <f t="shared" ref="K99:K102" si="48">IF(ISNUMBER(J99), (J99 - $B99) / $B99, "")</f>
        <v>2.0408163265306121E-2</v>
      </c>
      <c r="L99" s="18">
        <f>IF(ISNUMBER(J99), $B118 * K99, "")</f>
        <v>3061.2244897959181</v>
      </c>
      <c r="M99" s="31">
        <v>380</v>
      </c>
      <c r="N99" s="32">
        <f t="shared" ref="N99:N102" si="49">IF(ISNUMBER(M99), (M99 - $B99) / $B99, "")</f>
        <v>-3.0612244897959183E-2</v>
      </c>
      <c r="O99" s="18">
        <f>IF(ISNUMBER(M99), $B118 * N99, "")</f>
        <v>-4591.8367346938776</v>
      </c>
      <c r="Q99" s="156"/>
      <c r="R99" s="156"/>
      <c r="S99" s="156"/>
    </row>
    <row r="100" spans="1:19" ht="17.25" thickBot="1">
      <c r="A100" s="109" t="s">
        <v>147</v>
      </c>
      <c r="B100" s="110">
        <v>11230</v>
      </c>
      <c r="C100" s="70">
        <v>5.1498127300000002E-2</v>
      </c>
      <c r="D100" s="15">
        <v>10940</v>
      </c>
      <c r="E100" s="32">
        <f t="shared" si="46"/>
        <v>-2.5823686553873553E-2</v>
      </c>
      <c r="F100" s="18">
        <f>IF(ISNUMBER(D100), $B118 * E100, "")</f>
        <v>-3873.5529830810328</v>
      </c>
      <c r="G100" s="31">
        <v>10800</v>
      </c>
      <c r="H100" s="32">
        <f t="shared" si="47"/>
        <v>-3.8290293855743542E-2</v>
      </c>
      <c r="I100" s="91">
        <f>IF(ISNUMBER(G100), $B118 * H100, "")</f>
        <v>-5743.5440783615313</v>
      </c>
      <c r="J100" s="15">
        <v>10800</v>
      </c>
      <c r="K100" s="32">
        <f t="shared" si="48"/>
        <v>-3.8290293855743542E-2</v>
      </c>
      <c r="L100" s="18">
        <f>IF(ISNUMBER(J100), $B118 * K100, "")</f>
        <v>-5743.5440783615313</v>
      </c>
      <c r="M100" s="31">
        <v>10770</v>
      </c>
      <c r="N100" s="32">
        <f t="shared" si="49"/>
        <v>-4.0961709706144253E-2</v>
      </c>
      <c r="O100" s="18">
        <f>IF(ISNUMBER(M100), $B118 * N100, "")</f>
        <v>-6144.256455921638</v>
      </c>
      <c r="Q100" s="161"/>
      <c r="R100" s="161"/>
      <c r="S100" s="161"/>
    </row>
    <row r="101" spans="1:19" ht="17.25" thickBot="1">
      <c r="A101" s="109" t="s">
        <v>210</v>
      </c>
      <c r="B101" s="110">
        <v>70.900000000000006</v>
      </c>
      <c r="C101" s="70">
        <v>4.7267356000000003E-2</v>
      </c>
      <c r="D101" s="15">
        <v>68.400000000000006</v>
      </c>
      <c r="E101" s="32">
        <f t="shared" si="46"/>
        <v>-3.5260930888575452E-2</v>
      </c>
      <c r="F101" s="18">
        <f>IF(ISNUMBER(D101), $B118 * E101, "")</f>
        <v>-5289.1396332863178</v>
      </c>
      <c r="G101" s="31">
        <v>67.900000000000006</v>
      </c>
      <c r="H101" s="32">
        <f t="shared" si="47"/>
        <v>-4.2313117066290547E-2</v>
      </c>
      <c r="I101" s="91">
        <f>IF(ISNUMBER(G101), $B118 * H101, "")</f>
        <v>-6346.9675599435823</v>
      </c>
      <c r="J101" s="15">
        <v>67.900000000000006</v>
      </c>
      <c r="K101" s="32">
        <f t="shared" si="48"/>
        <v>-4.2313117066290547E-2</v>
      </c>
      <c r="L101" s="18">
        <f>IF(ISNUMBER(J101), $B118 * K101, "")</f>
        <v>-6346.9675599435823</v>
      </c>
      <c r="M101" s="31">
        <v>67.900000000000006</v>
      </c>
      <c r="N101" s="32">
        <f t="shared" si="49"/>
        <v>-4.2313117066290547E-2</v>
      </c>
      <c r="O101" s="18">
        <f>IF(ISNUMBER(M101), $B118 * N101, "")</f>
        <v>-6346.9675599435823</v>
      </c>
      <c r="Q101" s="161"/>
      <c r="R101" s="161"/>
      <c r="S101" s="161"/>
    </row>
    <row r="102" spans="1:19" ht="17.25" thickBot="1">
      <c r="A102" s="111" t="s">
        <v>187</v>
      </c>
      <c r="B102" s="112">
        <v>834</v>
      </c>
      <c r="C102" s="71">
        <v>4.2500000000000003E-2</v>
      </c>
      <c r="D102" s="20">
        <v>831</v>
      </c>
      <c r="E102" s="21">
        <f t="shared" si="46"/>
        <v>-3.5971223021582736E-3</v>
      </c>
      <c r="F102" s="22">
        <f>IF(ISNUMBER(D102), $B118 * E102, "")</f>
        <v>-539.56834532374103</v>
      </c>
      <c r="G102" s="30">
        <v>827</v>
      </c>
      <c r="H102" s="21">
        <f t="shared" si="47"/>
        <v>-8.3932853717026377E-3</v>
      </c>
      <c r="I102" s="95">
        <f>IF(ISNUMBER(G102), $B118 * H102, "")</f>
        <v>-1258.9928057553957</v>
      </c>
      <c r="J102" s="20">
        <v>827</v>
      </c>
      <c r="K102" s="21">
        <f t="shared" si="48"/>
        <v>-8.3932853717026377E-3</v>
      </c>
      <c r="L102" s="22">
        <f>IF(ISNUMBER(J102), $B118 * K102, "")</f>
        <v>-1258.9928057553957</v>
      </c>
      <c r="M102" s="30">
        <v>824</v>
      </c>
      <c r="N102" s="21">
        <f t="shared" si="49"/>
        <v>-1.1990407673860911E-2</v>
      </c>
      <c r="O102" s="22">
        <f>IF(ISNUMBER(M102), $B118 * N102, "")</f>
        <v>-1798.5611510791366</v>
      </c>
      <c r="Q102" s="161"/>
      <c r="R102" s="161"/>
      <c r="S102" s="161"/>
    </row>
    <row r="103" spans="1:19" ht="17.25" thickBot="1">
      <c r="A103" s="109" t="s">
        <v>172</v>
      </c>
      <c r="B103" s="113">
        <v>3020</v>
      </c>
      <c r="C103" s="73">
        <v>3.7800687299999997E-2</v>
      </c>
      <c r="D103" s="96">
        <v>3035</v>
      </c>
      <c r="E103" s="97">
        <f>IF(ISNUMBER(D103), (D103 - $B103) / $B103, "")</f>
        <v>4.9668874172185433E-3</v>
      </c>
      <c r="F103" s="98">
        <f>IF(ISNUMBER(D103), $B118 * E103, "")</f>
        <v>745.03311258278154</v>
      </c>
      <c r="G103" s="99">
        <v>3050</v>
      </c>
      <c r="H103" s="97">
        <f>IF(ISNUMBER(G103), (G103 - $B103) / $B103, "")</f>
        <v>9.9337748344370865E-3</v>
      </c>
      <c r="I103" s="100">
        <f>IF(ISNUMBER(G103), $B118 * H103, "")</f>
        <v>1490.0662251655631</v>
      </c>
      <c r="J103" s="96">
        <v>3050</v>
      </c>
      <c r="K103" s="97">
        <f>IF(ISNUMBER(J103), (J103 - $B103) / $B103, "")</f>
        <v>9.9337748344370865E-3</v>
      </c>
      <c r="L103" s="98">
        <f>IF(ISNUMBER(J103), $B118 * K103, "")</f>
        <v>1490.0662251655631</v>
      </c>
      <c r="M103" s="99">
        <v>3025</v>
      </c>
      <c r="N103" s="97">
        <f>IF(ISNUMBER(M103), (M103 - $B103) / $B103, "")</f>
        <v>1.6556291390728477E-3</v>
      </c>
      <c r="O103" s="98">
        <f>IF(ISNUMBER(M103), $B118 * N103, "")</f>
        <v>248.34437086092714</v>
      </c>
      <c r="Q103" s="161"/>
      <c r="R103" s="161"/>
      <c r="S103" s="161"/>
    </row>
    <row r="104" spans="1:19" ht="17.25" thickBot="1">
      <c r="A104" s="109" t="s">
        <v>212</v>
      </c>
      <c r="B104" s="110">
        <v>88.7</v>
      </c>
      <c r="C104" s="70">
        <v>2.9002320200000001E-2</v>
      </c>
      <c r="D104" s="15">
        <v>87.4</v>
      </c>
      <c r="E104" s="32">
        <f t="shared" ref="E104:E107" si="50">IF(ISNUMBER(D104), (D104 - $B104) / $B104, "")</f>
        <v>-1.4656144306651603E-2</v>
      </c>
      <c r="F104" s="18">
        <f>IF(ISNUMBER(D104), $B118 * E104, "")</f>
        <v>-2198.4216459977406</v>
      </c>
      <c r="G104" s="31">
        <v>86.9</v>
      </c>
      <c r="H104" s="32">
        <f t="shared" ref="H104:H107" si="51">IF(ISNUMBER(G104), (G104 - $B104) / $B104, "")</f>
        <v>-2.0293122886133001E-2</v>
      </c>
      <c r="I104" s="91">
        <f>IF(ISNUMBER(G104), $B118 * H104, "")</f>
        <v>-3043.9684329199499</v>
      </c>
      <c r="J104" s="15">
        <v>86.9</v>
      </c>
      <c r="K104" s="32">
        <f t="shared" ref="K104:K107" si="52">IF(ISNUMBER(J104), (J104 - $B104) / $B104, "")</f>
        <v>-2.0293122886133001E-2</v>
      </c>
      <c r="L104" s="18">
        <f>IF(ISNUMBER(J104), $B118 * K104, "")</f>
        <v>-3043.9684329199499</v>
      </c>
      <c r="M104" s="31">
        <v>86.7</v>
      </c>
      <c r="N104" s="32">
        <f t="shared" ref="N104:N107" si="53">IF(ISNUMBER(M104), (M104 - $B104) / $B104, "")</f>
        <v>-2.2547914317925591E-2</v>
      </c>
      <c r="O104" s="18">
        <f>IF(ISNUMBER(M104), $B118 * N104, "")</f>
        <v>-3382.1871476888386</v>
      </c>
      <c r="Q104" s="161"/>
      <c r="R104" s="161"/>
      <c r="S104" s="161"/>
    </row>
    <row r="105" spans="1:19" ht="17.25" thickBot="1">
      <c r="A105" s="109" t="s">
        <v>208</v>
      </c>
      <c r="B105" s="110">
        <v>110</v>
      </c>
      <c r="C105" s="70">
        <v>2.8037383200000002E-2</v>
      </c>
      <c r="D105" s="15">
        <v>112</v>
      </c>
      <c r="E105" s="32">
        <f t="shared" si="50"/>
        <v>1.8181818181818181E-2</v>
      </c>
      <c r="F105" s="18">
        <f>IF(ISNUMBER(D105), $B118 * E105, "")</f>
        <v>2727.272727272727</v>
      </c>
      <c r="G105" s="31">
        <v>112</v>
      </c>
      <c r="H105" s="32">
        <f t="shared" si="51"/>
        <v>1.8181818181818181E-2</v>
      </c>
      <c r="I105" s="91">
        <f>IF(ISNUMBER(G105), $B118 * H105, "")</f>
        <v>2727.272727272727</v>
      </c>
      <c r="J105" s="15">
        <v>112</v>
      </c>
      <c r="K105" s="32">
        <f t="shared" si="52"/>
        <v>1.8181818181818181E-2</v>
      </c>
      <c r="L105" s="18">
        <f>IF(ISNUMBER(J105), $B118 * K105, "")</f>
        <v>2727.272727272727</v>
      </c>
      <c r="M105" s="31">
        <v>112</v>
      </c>
      <c r="N105" s="32">
        <f t="shared" si="53"/>
        <v>1.8181818181818181E-2</v>
      </c>
      <c r="O105" s="18">
        <f>IF(ISNUMBER(M105), $B118 * N105, "")</f>
        <v>2727.272727272727</v>
      </c>
      <c r="Q105" s="161"/>
      <c r="R105" s="161"/>
      <c r="S105" s="161"/>
    </row>
    <row r="106" spans="1:19" ht="17.25" thickBot="1">
      <c r="A106" s="109" t="s">
        <v>218</v>
      </c>
      <c r="B106" s="110">
        <v>361</v>
      </c>
      <c r="C106" s="70">
        <v>2.2662889499999998E-2</v>
      </c>
      <c r="D106" s="15">
        <v>362</v>
      </c>
      <c r="E106" s="32">
        <f t="shared" si="50"/>
        <v>2.7700831024930748E-3</v>
      </c>
      <c r="F106" s="18">
        <f>IF(ISNUMBER(D106), $B118 * E106, "")</f>
        <v>415.51246537396122</v>
      </c>
      <c r="G106" s="31">
        <v>357</v>
      </c>
      <c r="H106" s="32">
        <f t="shared" si="51"/>
        <v>-1.1080332409972299E-2</v>
      </c>
      <c r="I106" s="91">
        <f>IF(ISNUMBER(G106), $B118 * H106, "")</f>
        <v>-1662.0498614958449</v>
      </c>
      <c r="J106" s="15">
        <v>357</v>
      </c>
      <c r="K106" s="32">
        <f t="shared" si="52"/>
        <v>-1.1080332409972299E-2</v>
      </c>
      <c r="L106" s="18">
        <f>IF(ISNUMBER(J106), $B118 * K106, "")</f>
        <v>-1662.0498614958449</v>
      </c>
      <c r="M106" s="31">
        <v>355</v>
      </c>
      <c r="N106" s="32">
        <f t="shared" si="53"/>
        <v>-1.662049861495845E-2</v>
      </c>
      <c r="O106" s="18">
        <f>IF(ISNUMBER(M106), $B118 * N106, "")</f>
        <v>-2493.0747922437677</v>
      </c>
      <c r="Q106" s="33"/>
      <c r="R106" s="33"/>
    </row>
    <row r="107" spans="1:19" ht="17.25" thickBot="1">
      <c r="A107" s="114" t="s">
        <v>105</v>
      </c>
      <c r="B107" s="115">
        <v>245</v>
      </c>
      <c r="C107" s="72">
        <v>2.08333333E-2</v>
      </c>
      <c r="D107" s="24">
        <v>246</v>
      </c>
      <c r="E107" s="25">
        <f t="shared" si="50"/>
        <v>4.0816326530612249E-3</v>
      </c>
      <c r="F107" s="94">
        <f>IF(ISNUMBER(D107), $B118 * E107, "")</f>
        <v>612.24489795918373</v>
      </c>
      <c r="G107" s="92">
        <v>244</v>
      </c>
      <c r="H107" s="25">
        <f t="shared" si="51"/>
        <v>-4.0816326530612249E-3</v>
      </c>
      <c r="I107" s="93">
        <f>IF(ISNUMBER(G107), $B118 * H107, "")</f>
        <v>-612.24489795918373</v>
      </c>
      <c r="J107" s="24">
        <v>244</v>
      </c>
      <c r="K107" s="25">
        <f t="shared" si="52"/>
        <v>-4.0816326530612249E-3</v>
      </c>
      <c r="L107" s="94">
        <f>IF(ISNUMBER(J107), $B118 * K107, "")</f>
        <v>-612.24489795918373</v>
      </c>
      <c r="M107" s="92">
        <v>244</v>
      </c>
      <c r="N107" s="25">
        <f t="shared" si="53"/>
        <v>-4.0816326530612249E-3</v>
      </c>
      <c r="O107" s="94">
        <f>IF(ISNUMBER(M107), $B118 * N107, "")</f>
        <v>-612.24489795918373</v>
      </c>
      <c r="Q107" s="170"/>
      <c r="R107" s="171"/>
      <c r="S107" s="172"/>
    </row>
    <row r="108" spans="1:19">
      <c r="A108" s="107" t="s">
        <v>220</v>
      </c>
      <c r="B108" s="108">
        <v>78.5</v>
      </c>
      <c r="C108" s="69">
        <v>2.0806241900000001E-2</v>
      </c>
      <c r="D108" s="13">
        <v>78.400000000000006</v>
      </c>
      <c r="E108" s="14">
        <f>IF(ISNUMBER(D108), (D108 - $B108) / $B108, "")</f>
        <v>-1.2738853503183988E-3</v>
      </c>
      <c r="F108" s="16">
        <f>IF(ISNUMBER(D108), $B118 * E108, "")</f>
        <v>-191.08280254775983</v>
      </c>
      <c r="G108" s="29">
        <v>77.7</v>
      </c>
      <c r="H108" s="14">
        <f>IF(ISNUMBER(G108), (G108 - $B108) / $B108, "")</f>
        <v>-1.0191082802547734E-2</v>
      </c>
      <c r="I108" s="90">
        <f>IF(ISNUMBER(G108), $B118 * H108, "")</f>
        <v>-1528.66242038216</v>
      </c>
      <c r="J108" s="13">
        <v>77.7</v>
      </c>
      <c r="K108" s="14">
        <f>IF(ISNUMBER(J108), (J108 - $B108) / $B108, "")</f>
        <v>-1.0191082802547734E-2</v>
      </c>
      <c r="L108" s="16">
        <f>IF(ISNUMBER(J108), $B118 * K108, "")</f>
        <v>-1528.66242038216</v>
      </c>
      <c r="M108" s="29">
        <v>77.5</v>
      </c>
      <c r="N108" s="14">
        <f>IF(ISNUMBER(M108), (M108 - $B108) / $B108, "")</f>
        <v>-1.2738853503184714E-2</v>
      </c>
      <c r="O108" s="16">
        <f>IF(ISNUMBER(M108), $B118 * N108, "")</f>
        <v>-1910.8280254777071</v>
      </c>
      <c r="Q108" s="173"/>
      <c r="R108" s="174"/>
      <c r="S108" s="175"/>
    </row>
    <row r="109" spans="1:19" ht="17.25" thickBot="1">
      <c r="A109" s="109" t="s">
        <v>101</v>
      </c>
      <c r="B109" s="110">
        <v>247</v>
      </c>
      <c r="C109" s="70">
        <v>2.0661156999999999E-2</v>
      </c>
      <c r="D109" s="15">
        <v>247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249</v>
      </c>
      <c r="H109" s="32">
        <f t="shared" ref="H109:H112" si="55">IF(ISNUMBER(G109), (G109 - $B109) / $B109, "")</f>
        <v>8.0971659919028341E-3</v>
      </c>
      <c r="I109" s="91">
        <f>IF(ISNUMBER(G109), $B118 * H109, "")</f>
        <v>1214.5748987854251</v>
      </c>
      <c r="J109" s="15">
        <v>249</v>
      </c>
      <c r="K109" s="32">
        <f t="shared" ref="K109:K112" si="56">IF(ISNUMBER(J109), (J109 - $B109) / $B109, "")</f>
        <v>8.0971659919028341E-3</v>
      </c>
      <c r="L109" s="18">
        <f>IF(ISNUMBER(J109), $B118 * K109, "")</f>
        <v>1214.5748987854251</v>
      </c>
      <c r="M109" s="31">
        <v>249</v>
      </c>
      <c r="N109" s="32">
        <f t="shared" ref="N109:N112" si="57">IF(ISNUMBER(M109), (M109 - $B109) / $B109, "")</f>
        <v>8.0971659919028341E-3</v>
      </c>
      <c r="O109" s="18">
        <f>IF(ISNUMBER(M109), $B118 * N109, "")</f>
        <v>1214.5748987854251</v>
      </c>
      <c r="Q109" s="176"/>
      <c r="R109" s="177"/>
      <c r="S109" s="178"/>
    </row>
    <row r="110" spans="1:19" ht="17.25" thickBot="1">
      <c r="A110" s="109" t="s">
        <v>167</v>
      </c>
      <c r="B110" s="110">
        <v>202</v>
      </c>
      <c r="C110" s="70">
        <v>2.02020202E-2</v>
      </c>
      <c r="D110" s="15">
        <v>203</v>
      </c>
      <c r="E110" s="32">
        <f t="shared" si="54"/>
        <v>4.9504950495049506E-3</v>
      </c>
      <c r="F110" s="18">
        <f>IF(ISNUMBER(D110), $B118 * E110, "")</f>
        <v>742.57425742574253</v>
      </c>
      <c r="G110" s="31">
        <v>203</v>
      </c>
      <c r="H110" s="32">
        <f t="shared" si="55"/>
        <v>4.9504950495049506E-3</v>
      </c>
      <c r="I110" s="91">
        <f>IF(ISNUMBER(G110), $B118 * H110, "")</f>
        <v>742.57425742574253</v>
      </c>
      <c r="J110" s="15">
        <v>203</v>
      </c>
      <c r="K110" s="32">
        <f t="shared" si="56"/>
        <v>4.9504950495049506E-3</v>
      </c>
      <c r="L110" s="18">
        <f>IF(ISNUMBER(J110), $B118 * K110, "")</f>
        <v>742.57425742574253</v>
      </c>
      <c r="M110" s="31">
        <v>205</v>
      </c>
      <c r="N110" s="32">
        <f t="shared" si="57"/>
        <v>1.4851485148514851E-2</v>
      </c>
      <c r="O110" s="18">
        <f>IF(ISNUMBER(M110), $B118 * N110, "")</f>
        <v>2227.7227722772277</v>
      </c>
      <c r="Q110" s="161"/>
      <c r="R110" s="161"/>
      <c r="S110" s="161"/>
    </row>
    <row r="111" spans="1:19" ht="17.25" thickBot="1">
      <c r="A111" s="109" t="s">
        <v>122</v>
      </c>
      <c r="B111" s="110">
        <v>25.8</v>
      </c>
      <c r="C111" s="70">
        <v>1.9762845800000001E-2</v>
      </c>
      <c r="D111" s="15">
        <v>25.6</v>
      </c>
      <c r="E111" s="32">
        <f t="shared" si="54"/>
        <v>-7.7519379844960962E-3</v>
      </c>
      <c r="F111" s="18">
        <f>IF(ISNUMBER(D111), $B118 * E111, "")</f>
        <v>-1162.7906976744143</v>
      </c>
      <c r="G111" s="31">
        <v>25.8</v>
      </c>
      <c r="H111" s="32">
        <f t="shared" si="55"/>
        <v>0</v>
      </c>
      <c r="I111" s="91">
        <f>IF(ISNUMBER(G111), $B118 * H111, "")</f>
        <v>0</v>
      </c>
      <c r="J111" s="15">
        <v>25.8</v>
      </c>
      <c r="K111" s="32">
        <f t="shared" si="56"/>
        <v>0</v>
      </c>
      <c r="L111" s="18">
        <f>IF(ISNUMBER(J111), $B118 * K111, "")</f>
        <v>0</v>
      </c>
      <c r="M111" s="31">
        <v>25.8</v>
      </c>
      <c r="N111" s="32">
        <f t="shared" si="57"/>
        <v>0</v>
      </c>
      <c r="O111" s="18">
        <f>IF(ISNUMBER(M111), $B118 * N111, "")</f>
        <v>0</v>
      </c>
      <c r="Q111" s="156"/>
      <c r="R111" s="156"/>
      <c r="S111" s="156"/>
    </row>
    <row r="112" spans="1:19" ht="17.25" thickBot="1">
      <c r="A112" s="111" t="s">
        <v>134</v>
      </c>
      <c r="B112" s="112">
        <v>1595</v>
      </c>
      <c r="C112" s="71">
        <v>1.91693291E-2</v>
      </c>
      <c r="D112" s="20">
        <v>1590</v>
      </c>
      <c r="E112" s="21">
        <f t="shared" si="54"/>
        <v>-3.134796238244514E-3</v>
      </c>
      <c r="F112" s="22">
        <f>IF(ISNUMBER(D112), $B118 * E112, "")</f>
        <v>-470.2194357366771</v>
      </c>
      <c r="G112" s="30">
        <v>1595</v>
      </c>
      <c r="H112" s="21">
        <f t="shared" si="55"/>
        <v>0</v>
      </c>
      <c r="I112" s="95">
        <f>IF(ISNUMBER(G112), $B118 * H112, "")</f>
        <v>0</v>
      </c>
      <c r="J112" s="20">
        <v>1595</v>
      </c>
      <c r="K112" s="21">
        <f t="shared" si="56"/>
        <v>0</v>
      </c>
      <c r="L112" s="22">
        <f>IF(ISNUMBER(J112), $B118 * K112, "")</f>
        <v>0</v>
      </c>
      <c r="M112" s="30">
        <v>1600</v>
      </c>
      <c r="N112" s="21">
        <f t="shared" si="57"/>
        <v>3.134796238244514E-3</v>
      </c>
      <c r="O112" s="22">
        <f>IF(ISNUMBER(M112), $B118 * N112, "")</f>
        <v>470.2194357366771</v>
      </c>
      <c r="Q112" s="156"/>
      <c r="R112" s="156"/>
      <c r="S112" s="156"/>
    </row>
    <row r="113" spans="1:19" ht="17.25" thickBot="1">
      <c r="A113" s="109" t="s">
        <v>230</v>
      </c>
      <c r="B113" s="113">
        <v>43.1</v>
      </c>
      <c r="C113" s="73">
        <v>1.8912529599999998E-2</v>
      </c>
      <c r="D113" s="96">
        <v>42.5</v>
      </c>
      <c r="E113" s="97">
        <f>IF(ISNUMBER(D113), (D113 - $B113) / $B113, "")</f>
        <v>-1.392111368909516E-2</v>
      </c>
      <c r="F113" s="98">
        <f>IF(ISNUMBER(D113), $B118 * E113, "")</f>
        <v>-2088.1670533642741</v>
      </c>
      <c r="G113" s="99">
        <v>42.5</v>
      </c>
      <c r="H113" s="97">
        <f>IF(ISNUMBER(G113), (G113 - $B113) / $B113, "")</f>
        <v>-1.392111368909516E-2</v>
      </c>
      <c r="I113" s="100">
        <f>IF(ISNUMBER(G113), $B118 * H113, "")</f>
        <v>-2088.1670533642741</v>
      </c>
      <c r="J113" s="96">
        <v>42.5</v>
      </c>
      <c r="K113" s="97">
        <f>IF(ISNUMBER(J113), (J113 - $B113) / $B113, "")</f>
        <v>-1.392111368909516E-2</v>
      </c>
      <c r="L113" s="98">
        <f>IF(ISNUMBER(J113), $B118 * K113, "")</f>
        <v>-2088.1670533642741</v>
      </c>
      <c r="M113" s="99">
        <v>42.3</v>
      </c>
      <c r="N113" s="97">
        <f>IF(ISNUMBER(M113), (M113 - $B113) / $B113, "")</f>
        <v>-1.8561484918793603E-2</v>
      </c>
      <c r="O113" s="98">
        <f>IF(ISNUMBER(M113), $B118 * N113, "")</f>
        <v>-2784.2227378190405</v>
      </c>
      <c r="Q113" s="161"/>
      <c r="R113" s="161"/>
      <c r="S113" s="161"/>
    </row>
    <row r="114" spans="1:19" ht="17.25" thickBot="1">
      <c r="A114" s="109" t="s">
        <v>337</v>
      </c>
      <c r="B114" s="110">
        <v>329</v>
      </c>
      <c r="C114" s="70">
        <v>1.8575851399999999E-2</v>
      </c>
      <c r="D114" s="15">
        <v>333</v>
      </c>
      <c r="E114" s="32">
        <f t="shared" ref="E114:E117" si="58">IF(ISNUMBER(D114), (D114 - $B114) / $B114, "")</f>
        <v>1.2158054711246201E-2</v>
      </c>
      <c r="F114" s="18">
        <f>IF(ISNUMBER(D114), $B118 * E114, "")</f>
        <v>1823.70820668693</v>
      </c>
      <c r="G114" s="31">
        <v>331</v>
      </c>
      <c r="H114" s="32">
        <f t="shared" ref="H114:H117" si="59">IF(ISNUMBER(G114), (G114 - $B114) / $B114, "")</f>
        <v>6.0790273556231003E-3</v>
      </c>
      <c r="I114" s="91">
        <f>IF(ISNUMBER(G114), $B118 * H114, "")</f>
        <v>911.854103343465</v>
      </c>
      <c r="J114" s="15">
        <v>331</v>
      </c>
      <c r="K114" s="32">
        <f t="shared" ref="K114:K117" si="60">IF(ISNUMBER(J114), (J114 - $B114) / $B114, "")</f>
        <v>6.0790273556231003E-3</v>
      </c>
      <c r="L114" s="18">
        <f>IF(ISNUMBER(J114), $B118 * K114, "")</f>
        <v>911.854103343465</v>
      </c>
      <c r="M114" s="31">
        <v>329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161"/>
      <c r="R114" s="161"/>
      <c r="S114" s="161"/>
    </row>
    <row r="115" spans="1:19" ht="17.25" thickBot="1">
      <c r="A115" s="109" t="s">
        <v>64</v>
      </c>
      <c r="B115" s="110">
        <v>11.5</v>
      </c>
      <c r="C115" s="70">
        <v>1.7699115000000001E-2</v>
      </c>
      <c r="D115" s="15">
        <v>11.6</v>
      </c>
      <c r="E115" s="32">
        <f t="shared" si="58"/>
        <v>8.6956521739130124E-3</v>
      </c>
      <c r="F115" s="18">
        <f>IF(ISNUMBER(D115), $B118 * E115, "")</f>
        <v>1304.347826086952</v>
      </c>
      <c r="G115" s="31">
        <v>11.4</v>
      </c>
      <c r="H115" s="32">
        <f t="shared" si="59"/>
        <v>-8.6956521739130124E-3</v>
      </c>
      <c r="I115" s="91">
        <f>IF(ISNUMBER(G115), $B118 * H115, "")</f>
        <v>-1304.347826086952</v>
      </c>
      <c r="J115" s="15">
        <v>11.4</v>
      </c>
      <c r="K115" s="32">
        <f t="shared" si="60"/>
        <v>-8.6956521739130124E-3</v>
      </c>
      <c r="L115" s="18">
        <f>IF(ISNUMBER(J115), $B118 * K115, "")</f>
        <v>-1304.347826086952</v>
      </c>
      <c r="M115" s="31">
        <v>11.4</v>
      </c>
      <c r="N115" s="32">
        <f t="shared" si="61"/>
        <v>-8.6956521739130124E-3</v>
      </c>
      <c r="O115" s="18">
        <f>IF(ISNUMBER(M115), $B118 * N115, "")</f>
        <v>-1304.347826086952</v>
      </c>
      <c r="Q115" s="161"/>
      <c r="R115" s="161"/>
      <c r="S115" s="161"/>
    </row>
    <row r="116" spans="1:19">
      <c r="A116" s="109" t="s">
        <v>87</v>
      </c>
      <c r="B116" s="110">
        <v>58610</v>
      </c>
      <c r="C116" s="70">
        <v>1.6828591300000001E-2</v>
      </c>
      <c r="D116" s="15">
        <v>58140</v>
      </c>
      <c r="E116" s="32">
        <f t="shared" si="58"/>
        <v>-8.0191093670022185E-3</v>
      </c>
      <c r="F116" s="18">
        <f>IF(ISNUMBER(D116), $B118 * E116, "")</f>
        <v>-1202.8664050503328</v>
      </c>
      <c r="G116" s="31">
        <v>57770</v>
      </c>
      <c r="H116" s="32">
        <f t="shared" si="59"/>
        <v>-1.4332025251663539E-2</v>
      </c>
      <c r="I116" s="91">
        <f>IF(ISNUMBER(G116), $B118 * H116, "")</f>
        <v>-2149.8037877495308</v>
      </c>
      <c r="J116" s="15">
        <v>57770</v>
      </c>
      <c r="K116" s="32">
        <f t="shared" si="60"/>
        <v>-1.4332025251663539E-2</v>
      </c>
      <c r="L116" s="18">
        <f>IF(ISNUMBER(J116), $B118 * K116, "")</f>
        <v>-2149.8037877495308</v>
      </c>
      <c r="M116" s="31">
        <v>59050</v>
      </c>
      <c r="N116" s="32">
        <f t="shared" si="61"/>
        <v>7.5072513222999484E-3</v>
      </c>
      <c r="O116" s="18">
        <f>IF(ISNUMBER(M116), $B118 * N116, "")</f>
        <v>1126.0876983449923</v>
      </c>
      <c r="Q116" s="183"/>
      <c r="R116" s="184"/>
      <c r="S116" s="185"/>
    </row>
    <row r="117" spans="1:19" ht="17.25" thickBot="1">
      <c r="A117" s="114" t="s">
        <v>332</v>
      </c>
      <c r="B117" s="115">
        <v>306</v>
      </c>
      <c r="C117" s="72">
        <v>1.6611295700000001E-2</v>
      </c>
      <c r="D117" s="24">
        <v>306</v>
      </c>
      <c r="E117" s="25">
        <f t="shared" si="58"/>
        <v>0</v>
      </c>
      <c r="F117" s="94">
        <f>IF(ISNUMBER(D117), $B118 * E117, "")</f>
        <v>0</v>
      </c>
      <c r="G117" s="92">
        <v>301</v>
      </c>
      <c r="H117" s="25">
        <f t="shared" si="59"/>
        <v>-1.6339869281045753E-2</v>
      </c>
      <c r="I117" s="93">
        <f>IF(ISNUMBER(G117), $B118 * H117, "")</f>
        <v>-2450.9803921568628</v>
      </c>
      <c r="J117" s="24">
        <v>301</v>
      </c>
      <c r="K117" s="25">
        <f t="shared" si="60"/>
        <v>-1.6339869281045753E-2</v>
      </c>
      <c r="L117" s="94">
        <f>IF(ISNUMBER(J117), $B118 * K117, "")</f>
        <v>-2450.9803921568628</v>
      </c>
      <c r="M117" s="92">
        <v>299</v>
      </c>
      <c r="N117" s="25">
        <f t="shared" si="61"/>
        <v>-2.2875816993464051E-2</v>
      </c>
      <c r="O117" s="94">
        <f>IF(ISNUMBER(M117), $B118 * N117, "")</f>
        <v>-3431.3725490196075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-4.6674194552722903E-3</v>
      </c>
      <c r="F118" s="28">
        <f>SUM(F98:F117)</f>
        <v>-14002.258365816868</v>
      </c>
      <c r="G118" s="26" t="s">
        <v>261</v>
      </c>
      <c r="H118" s="27">
        <f>IF(COUNT(H98:H117), SUM(H98:H117) / COUNT(H98:H117), 0)</f>
        <v>-5.536954901487587E-3</v>
      </c>
      <c r="I118" s="28">
        <f>SUM(I98:I117)</f>
        <v>-16610.864704462761</v>
      </c>
      <c r="J118" s="26" t="s">
        <v>261</v>
      </c>
      <c r="K118" s="27">
        <f>IF(COUNT(K98:K117), SUM(K98:K117) / COUNT(K98:K117), 0)</f>
        <v>-5.536954901487587E-3</v>
      </c>
      <c r="L118" s="28">
        <f>SUM(L98:L117)</f>
        <v>-16610.864704462761</v>
      </c>
      <c r="M118" s="26" t="s">
        <v>261</v>
      </c>
      <c r="N118" s="27">
        <f>IF(COUNT(N98:N117), SUM(N98:N117) / COUNT(N98:N117), 0)</f>
        <v>-1.031214711114466E-2</v>
      </c>
      <c r="O118" s="28">
        <f>SUM(O98:O117)</f>
        <v>-30936.441333433977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2022-12-11(일) 오전 00:00</v>
      </c>
      <c r="C123" s="199"/>
      <c r="D123" s="158" t="str">
        <f>TEXT($G$1, "[$-ko-KR]yyyy-mm-dd(ddd) ") &amp; "오후 14:00"</f>
        <v>2022-12-11(일) 오후 14:00</v>
      </c>
      <c r="E123" s="159"/>
      <c r="F123" s="160"/>
      <c r="G123" s="158" t="str">
        <f>TEXT($G$1, "[$-ko-KR]yyyy-mm-dd(ddd) ") &amp; "오후 19:00"</f>
        <v>2022-12-11(일) 오후 19:00</v>
      </c>
      <c r="H123" s="159"/>
      <c r="I123" s="160"/>
      <c r="J123" s="158" t="str">
        <f>TEXT($G$1, "[$-ko-KR]yyyy-mm-dd(ddd) ") &amp; "오후 21:00"</f>
        <v>2022-12-11(일) 오후 21:00</v>
      </c>
      <c r="K123" s="159"/>
      <c r="L123" s="160"/>
      <c r="M123" s="158" t="str">
        <f>TEXT($G$1+1, "[$-ko-KR]yyyy-mm-dd(ddd) ") &amp; "오전 00:00"</f>
        <v>2022-12-12(월)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336</v>
      </c>
      <c r="B125" s="108">
        <v>85.7</v>
      </c>
      <c r="C125" s="69">
        <v>2.3391813000000002E-3</v>
      </c>
      <c r="D125" s="13">
        <v>85.1</v>
      </c>
      <c r="E125" s="14">
        <f>IF(ISNUMBER(D125), (D125 - $B125) / $B125, "")</f>
        <v>-7.0011668611436231E-3</v>
      </c>
      <c r="F125" s="16">
        <f>IF(ISNUMBER(D125), $B145 * E125, "")</f>
        <v>-1050.1750291715434</v>
      </c>
      <c r="G125" s="29">
        <v>84.8</v>
      </c>
      <c r="H125" s="14">
        <f>IF(ISNUMBER(G125), (G125 - $B125) / $B125, "")</f>
        <v>-1.0501750291715352E-2</v>
      </c>
      <c r="I125" s="90">
        <f>IF(ISNUMBER(G125), $B145 * H125, "")</f>
        <v>-1575.2625437573029</v>
      </c>
      <c r="J125" s="13">
        <v>84.8</v>
      </c>
      <c r="K125" s="14">
        <f>IF(ISNUMBER(J125), (J125 - $B125) / $B125, "")</f>
        <v>-1.0501750291715352E-2</v>
      </c>
      <c r="L125" s="16">
        <f>IF(ISNUMBER(J125), $B145 * K125, "")</f>
        <v>-1575.2625437573029</v>
      </c>
      <c r="M125" s="29">
        <v>84.5</v>
      </c>
      <c r="N125" s="14">
        <f>IF(ISNUMBER(M125), (M125 - $B125) / $B125, "")</f>
        <v>-1.4002333722287081E-2</v>
      </c>
      <c r="O125" s="16">
        <f>IF(ISNUMBER(M125), $B145 * N125, "")</f>
        <v>-2100.3500583430623</v>
      </c>
      <c r="Q125" s="156"/>
      <c r="R125" s="156"/>
      <c r="S125" s="156"/>
    </row>
    <row r="126" spans="1:19" ht="17.25" thickBot="1">
      <c r="A126" s="109" t="s">
        <v>141</v>
      </c>
      <c r="B126" s="110">
        <v>3.51</v>
      </c>
      <c r="C126" s="70">
        <v>0</v>
      </c>
      <c r="D126" s="15">
        <v>3.51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3.46</v>
      </c>
      <c r="H126" s="32">
        <f t="shared" ref="H126:H129" si="63">IF(ISNUMBER(G126), (G126 - $B126) / $B126, "")</f>
        <v>-1.4245014245014195E-2</v>
      </c>
      <c r="I126" s="91">
        <f>IF(ISNUMBER(G126), $B145 * H126, "")</f>
        <v>-2136.7521367521294</v>
      </c>
      <c r="J126" s="15">
        <v>3.46</v>
      </c>
      <c r="K126" s="32">
        <f t="shared" ref="K126:K129" si="64">IF(ISNUMBER(J126), (J126 - $B126) / $B126, "")</f>
        <v>-1.4245014245014195E-2</v>
      </c>
      <c r="L126" s="18">
        <f>IF(ISNUMBER(J126), $B145 * K126, "")</f>
        <v>-2136.7521367521294</v>
      </c>
      <c r="M126" s="31">
        <v>3.46</v>
      </c>
      <c r="N126" s="32">
        <f t="shared" ref="N126:N129" si="65">IF(ISNUMBER(M126), (M126 - $B126) / $B126, "")</f>
        <v>-1.4245014245014195E-2</v>
      </c>
      <c r="O126" s="18">
        <f>IF(ISNUMBER(M126), $B145 * N126, "")</f>
        <v>-2136.7521367521294</v>
      </c>
      <c r="Q126" s="156"/>
      <c r="R126" s="156"/>
      <c r="S126" s="156"/>
    </row>
    <row r="127" spans="1:19" ht="17.25" thickBot="1">
      <c r="A127" s="109" t="s">
        <v>97</v>
      </c>
      <c r="B127" s="110">
        <v>8.9999999999999998E-4</v>
      </c>
      <c r="C127" s="70">
        <v>0</v>
      </c>
      <c r="D127" s="15">
        <v>8.9999999999999998E-4</v>
      </c>
      <c r="E127" s="32">
        <f t="shared" si="62"/>
        <v>0</v>
      </c>
      <c r="F127" s="18">
        <f>IF(ISNUMBER(D127), $B145 * E127, "")</f>
        <v>0</v>
      </c>
      <c r="G127" s="31">
        <v>8.9999999999999998E-4</v>
      </c>
      <c r="H127" s="32">
        <f t="shared" si="63"/>
        <v>0</v>
      </c>
      <c r="I127" s="91">
        <f>IF(ISNUMBER(G127), $B145 * H127, "")</f>
        <v>0</v>
      </c>
      <c r="J127" s="15">
        <v>8.9999999999999998E-4</v>
      </c>
      <c r="K127" s="32">
        <f t="shared" si="64"/>
        <v>0</v>
      </c>
      <c r="L127" s="18">
        <f>IF(ISNUMBER(J127), $B145 * K127, "")</f>
        <v>0</v>
      </c>
      <c r="M127" s="31">
        <v>8.9999999999999998E-4</v>
      </c>
      <c r="N127" s="32">
        <f t="shared" si="65"/>
        <v>0</v>
      </c>
      <c r="O127" s="18">
        <f>IF(ISNUMBER(M127), $B145 * N127, "")</f>
        <v>0</v>
      </c>
      <c r="Q127" s="161"/>
      <c r="R127" s="161"/>
      <c r="S127" s="161"/>
    </row>
    <row r="128" spans="1:19" ht="17.25" thickBot="1">
      <c r="A128" s="109" t="s">
        <v>193</v>
      </c>
      <c r="B128" s="110">
        <v>19.8</v>
      </c>
      <c r="C128" s="70">
        <v>0</v>
      </c>
      <c r="D128" s="15">
        <v>20</v>
      </c>
      <c r="E128" s="32">
        <f t="shared" si="62"/>
        <v>1.0101010101010065E-2</v>
      </c>
      <c r="F128" s="18">
        <f>IF(ISNUMBER(D128), $B145 * E128, "")</f>
        <v>1515.1515151515098</v>
      </c>
      <c r="G128" s="31">
        <v>19.899999999999999</v>
      </c>
      <c r="H128" s="32">
        <f t="shared" si="63"/>
        <v>5.0505050505049425E-3</v>
      </c>
      <c r="I128" s="91">
        <f>IF(ISNUMBER(G128), $B145 * H128, "")</f>
        <v>757.57575757574136</v>
      </c>
      <c r="J128" s="15">
        <v>19.899999999999999</v>
      </c>
      <c r="K128" s="32">
        <f t="shared" si="64"/>
        <v>5.0505050505049425E-3</v>
      </c>
      <c r="L128" s="18">
        <f>IF(ISNUMBER(J128), $B145 * K128, "")</f>
        <v>757.57575757574136</v>
      </c>
      <c r="M128" s="31">
        <v>19.899999999999999</v>
      </c>
      <c r="N128" s="32">
        <f t="shared" si="65"/>
        <v>5.0505050505049425E-3</v>
      </c>
      <c r="O128" s="18">
        <f>IF(ISNUMBER(M128), $B145 * N128, "")</f>
        <v>757.57575757574136</v>
      </c>
      <c r="Q128" s="161"/>
      <c r="R128" s="161"/>
      <c r="S128" s="161"/>
    </row>
    <row r="129" spans="1:19" ht="17.25" thickBot="1">
      <c r="A129" s="111" t="s">
        <v>124</v>
      </c>
      <c r="B129" s="112">
        <v>33.700000000000003</v>
      </c>
      <c r="C129" s="71">
        <v>0</v>
      </c>
      <c r="D129" s="20">
        <v>33.799999999999997</v>
      </c>
      <c r="E129" s="21">
        <f t="shared" si="62"/>
        <v>2.9673590504449348E-3</v>
      </c>
      <c r="F129" s="22">
        <f>IF(ISNUMBER(D129), $B145 * E129, "")</f>
        <v>445.1038575667402</v>
      </c>
      <c r="G129" s="30">
        <v>33.700000000000003</v>
      </c>
      <c r="H129" s="21">
        <f t="shared" si="63"/>
        <v>0</v>
      </c>
      <c r="I129" s="95">
        <f>IF(ISNUMBER(G129), $B145 * H129, "")</f>
        <v>0</v>
      </c>
      <c r="J129" s="20">
        <v>33.700000000000003</v>
      </c>
      <c r="K129" s="21">
        <f t="shared" si="64"/>
        <v>0</v>
      </c>
      <c r="L129" s="22">
        <f>IF(ISNUMBER(J129), $B145 * K129, "")</f>
        <v>0</v>
      </c>
      <c r="M129" s="30">
        <v>33.4</v>
      </c>
      <c r="N129" s="21">
        <f t="shared" si="65"/>
        <v>-8.9020771513354368E-3</v>
      </c>
      <c r="O129" s="22">
        <f>IF(ISNUMBER(M129), $B145 * N129, "")</f>
        <v>-1335.3115727003155</v>
      </c>
      <c r="Q129" s="161"/>
      <c r="R129" s="161"/>
      <c r="S129" s="161"/>
    </row>
    <row r="130" spans="1:19" ht="17.25" thickBot="1">
      <c r="A130" s="109" t="s">
        <v>224</v>
      </c>
      <c r="B130" s="113">
        <v>21.7</v>
      </c>
      <c r="C130" s="73">
        <v>0</v>
      </c>
      <c r="D130" s="96">
        <v>21.6</v>
      </c>
      <c r="E130" s="97">
        <f>IF(ISNUMBER(D130), (D130 - $B130) / $B130, "")</f>
        <v>-4.608294930875478E-3</v>
      </c>
      <c r="F130" s="98">
        <f>IF(ISNUMBER(D130), $B145 * E130, "")</f>
        <v>-691.24423963132165</v>
      </c>
      <c r="G130" s="99">
        <v>21.5</v>
      </c>
      <c r="H130" s="97">
        <f>IF(ISNUMBER(G130), (G130 - $B130) / $B130, "")</f>
        <v>-9.2165898617511191E-3</v>
      </c>
      <c r="I130" s="100">
        <f>IF(ISNUMBER(G130), $B145 * H130, "")</f>
        <v>-1382.4884792626679</v>
      </c>
      <c r="J130" s="96">
        <v>21.5</v>
      </c>
      <c r="K130" s="97">
        <f>IF(ISNUMBER(J130), (J130 - $B130) / $B130, "")</f>
        <v>-9.2165898617511191E-3</v>
      </c>
      <c r="L130" s="98">
        <f>IF(ISNUMBER(J130), $B145 * K130, "")</f>
        <v>-1382.4884792626679</v>
      </c>
      <c r="M130" s="99">
        <v>21.4</v>
      </c>
      <c r="N130" s="97">
        <f>IF(ISNUMBER(M130), (M130 - $B130) / $B130, "")</f>
        <v>-1.3824884792626762E-2</v>
      </c>
      <c r="O130" s="98">
        <f>IF(ISNUMBER(M130), $B145 * N130, "")</f>
        <v>-2073.7327188940144</v>
      </c>
      <c r="Q130" s="161"/>
      <c r="R130" s="161"/>
      <c r="S130" s="161"/>
    </row>
    <row r="131" spans="1:19" ht="17.25" thickBot="1">
      <c r="A131" s="109" t="s">
        <v>132</v>
      </c>
      <c r="B131" s="110">
        <v>58.9</v>
      </c>
      <c r="C131" s="70">
        <v>-3.3840948000000001E-3</v>
      </c>
      <c r="D131" s="15">
        <v>58.6</v>
      </c>
      <c r="E131" s="32">
        <f t="shared" ref="E131:E134" si="66">IF(ISNUMBER(D131), (D131 - $B131) / $B131, "")</f>
        <v>-5.093378607809799E-3</v>
      </c>
      <c r="F131" s="18">
        <f>IF(ISNUMBER(D131), $B145 * E131, "")</f>
        <v>-764.0067911714699</v>
      </c>
      <c r="G131" s="31">
        <v>58.5</v>
      </c>
      <c r="H131" s="32">
        <f t="shared" ref="H131:H134" si="67">IF(ISNUMBER(G131), (G131 - $B131) / $B131, "")</f>
        <v>-6.7911714770797719E-3</v>
      </c>
      <c r="I131" s="91">
        <f>IF(ISNUMBER(G131), $B145 * H131, "")</f>
        <v>-1018.6757215619658</v>
      </c>
      <c r="J131" s="15">
        <v>58.5</v>
      </c>
      <c r="K131" s="32">
        <f t="shared" ref="K131:K134" si="68">IF(ISNUMBER(J131), (J131 - $B131) / $B131, "")</f>
        <v>-6.7911714770797719E-3</v>
      </c>
      <c r="L131" s="18">
        <f>IF(ISNUMBER(J131), $B145 * K131, "")</f>
        <v>-1018.6757215619658</v>
      </c>
      <c r="M131" s="31">
        <v>58.2</v>
      </c>
      <c r="N131" s="32">
        <f t="shared" ref="N131:N134" si="69">IF(ISNUMBER(M131), (M131 - $B131) / $B131, "")</f>
        <v>-1.1884550084889572E-2</v>
      </c>
      <c r="O131" s="18">
        <f>IF(ISNUMBER(M131), $B145 * N131, "")</f>
        <v>-1782.6825127334357</v>
      </c>
      <c r="Q131" s="161"/>
      <c r="R131" s="161"/>
      <c r="S131" s="161"/>
    </row>
    <row r="132" spans="1:19" ht="17.25" thickBot="1">
      <c r="A132" s="109" t="s">
        <v>118</v>
      </c>
      <c r="B132" s="110">
        <v>6.85</v>
      </c>
      <c r="C132" s="70">
        <v>-4.3604650999999996E-3</v>
      </c>
      <c r="D132" s="15">
        <v>6.93</v>
      </c>
      <c r="E132" s="32">
        <f t="shared" si="66"/>
        <v>1.1678832116788333E-2</v>
      </c>
      <c r="F132" s="18">
        <f>IF(ISNUMBER(D132), $B145 * E132, "")</f>
        <v>1751.8248175182498</v>
      </c>
      <c r="G132" s="31">
        <v>6.83</v>
      </c>
      <c r="H132" s="32">
        <f t="shared" si="67"/>
        <v>-2.9197080291970181E-3</v>
      </c>
      <c r="I132" s="91">
        <f>IF(ISNUMBER(G132), $B145 * H132, "")</f>
        <v>-437.95620437955273</v>
      </c>
      <c r="J132" s="15">
        <v>6.83</v>
      </c>
      <c r="K132" s="32">
        <f t="shared" si="68"/>
        <v>-2.9197080291970181E-3</v>
      </c>
      <c r="L132" s="18">
        <f>IF(ISNUMBER(J132), $B145 * K132, "")</f>
        <v>-437.95620437955273</v>
      </c>
      <c r="M132" s="31">
        <v>6.8</v>
      </c>
      <c r="N132" s="32">
        <f t="shared" si="69"/>
        <v>-7.2992700729926753E-3</v>
      </c>
      <c r="O132" s="18">
        <f>IF(ISNUMBER(M132), $B145 * N132, "")</f>
        <v>-1094.8905109489012</v>
      </c>
      <c r="Q132" s="161"/>
      <c r="R132" s="161"/>
      <c r="S132" s="161"/>
    </row>
    <row r="133" spans="1:19" ht="17.25" thickBot="1">
      <c r="A133" s="109" t="s">
        <v>56</v>
      </c>
      <c r="B133" s="110">
        <v>44.1</v>
      </c>
      <c r="C133" s="70">
        <v>-4.5146726999999998E-3</v>
      </c>
      <c r="D133" s="15">
        <v>44.4</v>
      </c>
      <c r="E133" s="32">
        <f t="shared" si="66"/>
        <v>6.8027210884353097E-3</v>
      </c>
      <c r="F133" s="18">
        <f>IF(ISNUMBER(D133), $B145 * E133, "")</f>
        <v>1020.4081632652965</v>
      </c>
      <c r="G133" s="31">
        <v>43.9</v>
      </c>
      <c r="H133" s="32">
        <f t="shared" si="67"/>
        <v>-4.5351473922903137E-3</v>
      </c>
      <c r="I133" s="91">
        <f>IF(ISNUMBER(G133), $B145 * H133, "")</f>
        <v>-680.27210884354702</v>
      </c>
      <c r="J133" s="15">
        <v>43.9</v>
      </c>
      <c r="K133" s="32">
        <f t="shared" si="68"/>
        <v>-4.5351473922903137E-3</v>
      </c>
      <c r="L133" s="18">
        <f>IF(ISNUMBER(J133), $B145 * K133, "")</f>
        <v>-680.27210884354702</v>
      </c>
      <c r="M133" s="31">
        <v>43.9</v>
      </c>
      <c r="N133" s="32">
        <f t="shared" si="69"/>
        <v>-4.5351473922903137E-3</v>
      </c>
      <c r="O133" s="18">
        <f>IF(ISNUMBER(M133), $B145 * N133, "")</f>
        <v>-680.27210884354702</v>
      </c>
      <c r="Q133" s="33"/>
      <c r="R133" s="33"/>
    </row>
    <row r="134" spans="1:19" ht="17.25" thickBot="1">
      <c r="A134" s="114" t="s">
        <v>338</v>
      </c>
      <c r="B134" s="115">
        <v>5.16</v>
      </c>
      <c r="C134" s="72">
        <v>-5.7803467999999998E-3</v>
      </c>
      <c r="D134" s="24">
        <v>5.12</v>
      </c>
      <c r="E134" s="25">
        <f t="shared" si="66"/>
        <v>-7.7519379844961309E-3</v>
      </c>
      <c r="F134" s="94">
        <f>IF(ISNUMBER(D134), $B145 * E134, "")</f>
        <v>-1162.7906976744196</v>
      </c>
      <c r="G134" s="92">
        <v>5.08</v>
      </c>
      <c r="H134" s="25">
        <f t="shared" si="67"/>
        <v>-1.5503875968992262E-2</v>
      </c>
      <c r="I134" s="93">
        <f>IF(ISNUMBER(G134), $B145 * H134, "")</f>
        <v>-2325.5813953488391</v>
      </c>
      <c r="J134" s="24">
        <v>5.08</v>
      </c>
      <c r="K134" s="25">
        <f t="shared" si="68"/>
        <v>-1.5503875968992262E-2</v>
      </c>
      <c r="L134" s="94">
        <f>IF(ISNUMBER(J134), $B145 * K134, "")</f>
        <v>-2325.5813953488391</v>
      </c>
      <c r="M134" s="92">
        <v>5.04</v>
      </c>
      <c r="N134" s="25">
        <f t="shared" si="69"/>
        <v>-2.3255813953488393E-2</v>
      </c>
      <c r="O134" s="94">
        <f>IF(ISNUMBER(M134), $B145 * N134, "")</f>
        <v>-3488.3720930232589</v>
      </c>
      <c r="Q134" s="170"/>
      <c r="R134" s="171"/>
      <c r="S134" s="172"/>
    </row>
    <row r="135" spans="1:19">
      <c r="A135" s="107" t="s">
        <v>71</v>
      </c>
      <c r="B135" s="108">
        <v>12</v>
      </c>
      <c r="C135" s="69">
        <v>-8.2644628000000005E-3</v>
      </c>
      <c r="D135" s="13">
        <v>12.1</v>
      </c>
      <c r="E135" s="14">
        <f>IF(ISNUMBER(D135), (D135 - $B135) / $B135, "")</f>
        <v>8.3333333333333037E-3</v>
      </c>
      <c r="F135" s="16">
        <f>IF(ISNUMBER(D135), $B145 * E135, "")</f>
        <v>1249.9999999999955</v>
      </c>
      <c r="G135" s="29">
        <v>12.1</v>
      </c>
      <c r="H135" s="14">
        <f>IF(ISNUMBER(G135), (G135 - $B135) / $B135, "")</f>
        <v>8.3333333333333037E-3</v>
      </c>
      <c r="I135" s="90">
        <f>IF(ISNUMBER(G135), $B145 * H135, "")</f>
        <v>1249.9999999999955</v>
      </c>
      <c r="J135" s="13">
        <v>12.1</v>
      </c>
      <c r="K135" s="14">
        <f>IF(ISNUMBER(J135), (J135 - $B135) / $B135, "")</f>
        <v>8.3333333333333037E-3</v>
      </c>
      <c r="L135" s="16">
        <f>IF(ISNUMBER(J135), $B145 * K135, "")</f>
        <v>1249.9999999999955</v>
      </c>
      <c r="M135" s="29">
        <v>12</v>
      </c>
      <c r="N135" s="14">
        <f>IF(ISNUMBER(M135), (M135 - $B135) / $B135, "")</f>
        <v>0</v>
      </c>
      <c r="O135" s="16">
        <f>IF(ISNUMBER(M135), $B145 * N135, "")</f>
        <v>0</v>
      </c>
      <c r="Q135" s="173"/>
      <c r="R135" s="174"/>
      <c r="S135" s="175"/>
    </row>
    <row r="136" spans="1:19" ht="17.25" thickBot="1">
      <c r="A136" s="109" t="s">
        <v>107</v>
      </c>
      <c r="B136" s="110">
        <v>42.1</v>
      </c>
      <c r="C136" s="70">
        <v>-9.4117647000000002E-3</v>
      </c>
      <c r="D136" s="15">
        <v>41.7</v>
      </c>
      <c r="E136" s="32">
        <f t="shared" ref="E136:E139" si="70">IF(ISNUMBER(D136), (D136 - $B136) / $B136, "")</f>
        <v>-9.5011876484560227E-3</v>
      </c>
      <c r="F136" s="18">
        <f>IF(ISNUMBER(D136), $B145 * E136, "")</f>
        <v>-1425.1781472684033</v>
      </c>
      <c r="G136" s="31">
        <v>41.5</v>
      </c>
      <c r="H136" s="32">
        <f t="shared" ref="H136:H139" si="71">IF(ISNUMBER(G136), (G136 - $B136) / $B136, "")</f>
        <v>-1.4251781472684119E-2</v>
      </c>
      <c r="I136" s="91">
        <f>IF(ISNUMBER(G136), $B145 * H136, "")</f>
        <v>-2137.7672209026177</v>
      </c>
      <c r="J136" s="15">
        <v>41.5</v>
      </c>
      <c r="K136" s="32">
        <f t="shared" ref="K136:K139" si="72">IF(ISNUMBER(J136), (J136 - $B136) / $B136, "")</f>
        <v>-1.4251781472684119E-2</v>
      </c>
      <c r="L136" s="18">
        <f>IF(ISNUMBER(J136), $B145 * K136, "")</f>
        <v>-2137.7672209026177</v>
      </c>
      <c r="M136" s="31">
        <v>41.3</v>
      </c>
      <c r="N136" s="32">
        <f t="shared" ref="N136:N139" si="73">IF(ISNUMBER(M136), (M136 - $B136) / $B136, "")</f>
        <v>-1.9002375296912215E-2</v>
      </c>
      <c r="O136" s="18">
        <f>IF(ISNUMBER(M136), $B145 * N136, "")</f>
        <v>-2850.3562945368321</v>
      </c>
      <c r="Q136" s="176"/>
      <c r="R136" s="177"/>
      <c r="S136" s="178"/>
    </row>
    <row r="137" spans="1:19" ht="17.25" thickBot="1">
      <c r="A137" s="109" t="s">
        <v>195</v>
      </c>
      <c r="B137" s="110">
        <v>6.88</v>
      </c>
      <c r="C137" s="70">
        <v>-1.4326647600000001E-2</v>
      </c>
      <c r="D137" s="15">
        <v>6.87</v>
      </c>
      <c r="E137" s="32">
        <f t="shared" si="70"/>
        <v>-1.4534883720929922E-3</v>
      </c>
      <c r="F137" s="18">
        <f>IF(ISNUMBER(D137), $B145 * E137, "")</f>
        <v>-218.02325581394882</v>
      </c>
      <c r="G137" s="31">
        <v>6.75</v>
      </c>
      <c r="H137" s="32">
        <f t="shared" si="71"/>
        <v>-1.8895348837209287E-2</v>
      </c>
      <c r="I137" s="91">
        <f>IF(ISNUMBER(G137), $B145 * H137, "")</f>
        <v>-2834.3023255813932</v>
      </c>
      <c r="J137" s="15">
        <v>6.75</v>
      </c>
      <c r="K137" s="32">
        <f t="shared" si="72"/>
        <v>-1.8895348837209287E-2</v>
      </c>
      <c r="L137" s="18">
        <f>IF(ISNUMBER(J137), $B145 * K137, "")</f>
        <v>-2834.3023255813932</v>
      </c>
      <c r="M137" s="31">
        <v>6.71</v>
      </c>
      <c r="N137" s="32">
        <f t="shared" si="73"/>
        <v>-2.4709302325581384E-2</v>
      </c>
      <c r="O137" s="18">
        <f>IF(ISNUMBER(M137), $B145 * N137, "")</f>
        <v>-3706.3953488372076</v>
      </c>
      <c r="Q137" s="161"/>
      <c r="R137" s="161"/>
      <c r="S137" s="161"/>
    </row>
    <row r="138" spans="1:19" ht="17.25" thickBot="1">
      <c r="A138" s="109" t="s">
        <v>200</v>
      </c>
      <c r="B138" s="110">
        <v>7.05</v>
      </c>
      <c r="C138" s="70">
        <v>-1.53631285E-2</v>
      </c>
      <c r="D138" s="15">
        <v>7.02</v>
      </c>
      <c r="E138" s="32">
        <f t="shared" si="70"/>
        <v>-4.2553191489362058E-3</v>
      </c>
      <c r="F138" s="18">
        <f>IF(ISNUMBER(D138), $B145 * E138, "")</f>
        <v>-638.2978723404309</v>
      </c>
      <c r="G138" s="31">
        <v>6.95</v>
      </c>
      <c r="H138" s="32">
        <f t="shared" si="71"/>
        <v>-1.4184397163120517E-2</v>
      </c>
      <c r="I138" s="91">
        <f>IF(ISNUMBER(G138), $B145 * H138, "")</f>
        <v>-2127.6595744680776</v>
      </c>
      <c r="J138" s="15">
        <v>6.95</v>
      </c>
      <c r="K138" s="32">
        <f t="shared" si="72"/>
        <v>-1.4184397163120517E-2</v>
      </c>
      <c r="L138" s="18">
        <f>IF(ISNUMBER(J138), $B145 * K138, "")</f>
        <v>-2127.6595744680776</v>
      </c>
      <c r="M138" s="31">
        <v>6.9</v>
      </c>
      <c r="N138" s="32">
        <f t="shared" si="73"/>
        <v>-2.1276595744680778E-2</v>
      </c>
      <c r="O138" s="18">
        <f>IF(ISNUMBER(M138), $B145 * N138, "")</f>
        <v>-3191.4893617021166</v>
      </c>
      <c r="Q138" s="156"/>
      <c r="R138" s="156"/>
      <c r="S138" s="156"/>
    </row>
    <row r="139" spans="1:19" ht="17.25" thickBot="1">
      <c r="A139" s="111" t="s">
        <v>206</v>
      </c>
      <c r="B139" s="112">
        <v>3.66</v>
      </c>
      <c r="C139" s="71">
        <v>-1.8766755999999999E-2</v>
      </c>
      <c r="D139" s="20">
        <v>3.58</v>
      </c>
      <c r="E139" s="21">
        <f t="shared" si="70"/>
        <v>-2.1857923497267777E-2</v>
      </c>
      <c r="F139" s="22">
        <f>IF(ISNUMBER(D139), $B145 * E139, "")</f>
        <v>-3278.6885245901667</v>
      </c>
      <c r="G139" s="30">
        <v>3.57</v>
      </c>
      <c r="H139" s="21">
        <f t="shared" si="71"/>
        <v>-2.4590163934426312E-2</v>
      </c>
      <c r="I139" s="95">
        <f>IF(ISNUMBER(G139), $B145 * H139, "")</f>
        <v>-3688.5245901639469</v>
      </c>
      <c r="J139" s="20">
        <v>3.57</v>
      </c>
      <c r="K139" s="21">
        <f t="shared" si="72"/>
        <v>-2.4590163934426312E-2</v>
      </c>
      <c r="L139" s="22">
        <f>IF(ISNUMBER(J139), $B145 * K139, "")</f>
        <v>-3688.5245901639469</v>
      </c>
      <c r="M139" s="30">
        <v>3.55</v>
      </c>
      <c r="N139" s="21">
        <f t="shared" si="73"/>
        <v>-3.0054644808743255E-2</v>
      </c>
      <c r="O139" s="22">
        <f>IF(ISNUMBER(M139), $B145 * N139, "")</f>
        <v>-4508.1967213114885</v>
      </c>
      <c r="Q139" s="156"/>
      <c r="R139" s="156"/>
      <c r="S139" s="156"/>
    </row>
    <row r="140" spans="1:19" ht="17.25" thickBot="1">
      <c r="A140" s="109" t="s">
        <v>350</v>
      </c>
      <c r="B140" s="113">
        <v>7.93</v>
      </c>
      <c r="C140" s="73">
        <v>-3.1746031700000003E-2</v>
      </c>
      <c r="D140" s="96">
        <v>7.79</v>
      </c>
      <c r="E140" s="97">
        <f>IF(ISNUMBER(D140), (D140 - $B140) / $B140, "")</f>
        <v>-1.7654476670870074E-2</v>
      </c>
      <c r="F140" s="98">
        <f>IF(ISNUMBER(D140), $B145 * E140, "")</f>
        <v>-2648.1715006305112</v>
      </c>
      <c r="G140" s="99">
        <v>7.74</v>
      </c>
      <c r="H140" s="97">
        <f>IF(ISNUMBER(G140), (G140 - $B140) / $B140, "")</f>
        <v>-2.3959646910466519E-2</v>
      </c>
      <c r="I140" s="100">
        <f>IF(ISNUMBER(G140), $B145 * H140, "")</f>
        <v>-3593.9470365699781</v>
      </c>
      <c r="J140" s="96">
        <v>7.74</v>
      </c>
      <c r="K140" s="97">
        <f>IF(ISNUMBER(J140), (J140 - $B140) / $B140, "")</f>
        <v>-2.3959646910466519E-2</v>
      </c>
      <c r="L140" s="98">
        <f>IF(ISNUMBER(J140), $B145 * K140, "")</f>
        <v>-3593.9470365699781</v>
      </c>
      <c r="M140" s="99">
        <v>7.73</v>
      </c>
      <c r="N140" s="97">
        <f>IF(ISNUMBER(M140), (M140 - $B140) / $B140, "")</f>
        <v>-2.5220680958385786E-2</v>
      </c>
      <c r="O140" s="98">
        <f>IF(ISNUMBER(M140), $B145 * N140, "")</f>
        <v>-3783.1021437578679</v>
      </c>
      <c r="Q140" s="161"/>
      <c r="R140" s="161"/>
      <c r="S140" s="161"/>
    </row>
    <row r="141" spans="1:19" ht="17.25" thickBot="1">
      <c r="A141" s="109" t="s">
        <v>143</v>
      </c>
      <c r="B141" s="110">
        <v>4.4400000000000004</v>
      </c>
      <c r="C141" s="70">
        <v>-4.7210300400000002E-2</v>
      </c>
      <c r="D141" s="15">
        <v>4.3499999999999996</v>
      </c>
      <c r="E141" s="32">
        <f t="shared" ref="E141:E144" si="74">IF(ISNUMBER(D141), (D141 - $B141) / $B141, "")</f>
        <v>-2.0270270270270438E-2</v>
      </c>
      <c r="F141" s="18">
        <f>IF(ISNUMBER(D141), $B145 * E141, "")</f>
        <v>-3040.5405405405659</v>
      </c>
      <c r="G141" s="31">
        <v>4.34</v>
      </c>
      <c r="H141" s="32">
        <f t="shared" ref="H141:H144" si="75">IF(ISNUMBER(G141), (G141 - $B141) / $B141, "")</f>
        <v>-2.2522522522522639E-2</v>
      </c>
      <c r="I141" s="91">
        <f>IF(ISNUMBER(G141), $B145 * H141, "")</f>
        <v>-3378.3783783783961</v>
      </c>
      <c r="J141" s="15">
        <v>4.34</v>
      </c>
      <c r="K141" s="32">
        <f t="shared" ref="K141:K144" si="76">IF(ISNUMBER(J141), (J141 - $B141) / $B141, "")</f>
        <v>-2.2522522522522639E-2</v>
      </c>
      <c r="L141" s="18">
        <f>IF(ISNUMBER(J141), $B145 * K141, "")</f>
        <v>-3378.3783783783961</v>
      </c>
      <c r="M141" s="31">
        <v>4.32</v>
      </c>
      <c r="N141" s="32">
        <f t="shared" ref="N141:N144" si="77">IF(ISNUMBER(M141), (M141 - $B141) / $B141, "")</f>
        <v>-2.7027027027027049E-2</v>
      </c>
      <c r="O141" s="18">
        <f>IF(ISNUMBER(M141), $B145 * N141, "")</f>
        <v>-4054.0540540540574</v>
      </c>
      <c r="Q141" s="161"/>
      <c r="R141" s="161"/>
      <c r="S141" s="161"/>
    </row>
    <row r="142" spans="1:19" ht="17.25" thickBot="1">
      <c r="A142" s="109" t="s">
        <v>326</v>
      </c>
      <c r="B142" s="110">
        <v>25.1</v>
      </c>
      <c r="C142" s="70">
        <v>-5.99250936E-2</v>
      </c>
      <c r="D142" s="15">
        <v>24.7</v>
      </c>
      <c r="E142" s="32">
        <f t="shared" si="74"/>
        <v>-1.5936254980079764E-2</v>
      </c>
      <c r="F142" s="18">
        <f>IF(ISNUMBER(D142), $B145 * E142, "")</f>
        <v>-2390.4382470119644</v>
      </c>
      <c r="G142" s="31">
        <v>24.6</v>
      </c>
      <c r="H142" s="32">
        <f t="shared" si="75"/>
        <v>-1.9920318725099601E-2</v>
      </c>
      <c r="I142" s="91">
        <f>IF(ISNUMBER(G142), $B145 * H142, "")</f>
        <v>-2988.0478087649403</v>
      </c>
      <c r="J142" s="15">
        <v>24.6</v>
      </c>
      <c r="K142" s="32">
        <f t="shared" si="76"/>
        <v>-1.9920318725099601E-2</v>
      </c>
      <c r="L142" s="18">
        <f>IF(ISNUMBER(J142), $B145 * K142, "")</f>
        <v>-2988.0478087649403</v>
      </c>
      <c r="M142" s="31">
        <v>24.3</v>
      </c>
      <c r="N142" s="32">
        <f t="shared" si="77"/>
        <v>-3.187250996015939E-2</v>
      </c>
      <c r="O142" s="18">
        <f>IF(ISNUMBER(M142), $B145 * N142, "")</f>
        <v>-4780.8764940239089</v>
      </c>
      <c r="Q142" s="161"/>
      <c r="R142" s="161"/>
      <c r="S142" s="161"/>
    </row>
    <row r="143" spans="1:19">
      <c r="A143" s="109" t="s">
        <v>198</v>
      </c>
      <c r="B143" s="110">
        <v>9.2200000000000006</v>
      </c>
      <c r="C143" s="70">
        <v>-6.2054933899999998E-2</v>
      </c>
      <c r="D143" s="15">
        <v>9.1999999999999993</v>
      </c>
      <c r="E143" s="32">
        <f t="shared" si="74"/>
        <v>-2.1691973969632699E-3</v>
      </c>
      <c r="F143" s="18">
        <f>IF(ISNUMBER(D143), $B145 * E143, "")</f>
        <v>-325.37960954449051</v>
      </c>
      <c r="G143" s="31">
        <v>8.84</v>
      </c>
      <c r="H143" s="32">
        <f t="shared" si="75"/>
        <v>-4.1214750542299429E-2</v>
      </c>
      <c r="I143" s="91">
        <f>IF(ISNUMBER(G143), $B145 * H143, "")</f>
        <v>-6182.2125813449147</v>
      </c>
      <c r="J143" s="15">
        <v>8.84</v>
      </c>
      <c r="K143" s="32">
        <f t="shared" si="76"/>
        <v>-4.1214750542299429E-2</v>
      </c>
      <c r="L143" s="18">
        <f>IF(ISNUMBER(J143), $B145 * K143, "")</f>
        <v>-6182.2125813449147</v>
      </c>
      <c r="M143" s="31">
        <v>8.85</v>
      </c>
      <c r="N143" s="32">
        <f t="shared" si="77"/>
        <v>-4.0130151843817893E-2</v>
      </c>
      <c r="O143" s="18">
        <f>IF(ISNUMBER(M143), $B145 * N143, "")</f>
        <v>-6019.5227765726841</v>
      </c>
      <c r="Q143" s="183"/>
      <c r="R143" s="184"/>
      <c r="S143" s="185"/>
    </row>
    <row r="144" spans="1:19" ht="17.25" thickBot="1">
      <c r="A144" s="114" t="s">
        <v>181</v>
      </c>
      <c r="B144" s="115">
        <v>5.42</v>
      </c>
      <c r="C144" s="72">
        <v>-7.9796264899999997E-2</v>
      </c>
      <c r="D144" s="24">
        <v>5.19</v>
      </c>
      <c r="E144" s="25">
        <f t="shared" si="74"/>
        <v>-4.243542435424346E-2</v>
      </c>
      <c r="F144" s="94">
        <f>IF(ISNUMBER(D144), $B145 * E144, "")</f>
        <v>-6365.313653136519</v>
      </c>
      <c r="G144" s="92">
        <v>5.08</v>
      </c>
      <c r="H144" s="25">
        <f t="shared" si="75"/>
        <v>-6.2730627306273032E-2</v>
      </c>
      <c r="I144" s="93">
        <f>IF(ISNUMBER(G144), $B145 * H144, "")</f>
        <v>-9409.5940959409545</v>
      </c>
      <c r="J144" s="24">
        <v>5.08</v>
      </c>
      <c r="K144" s="25">
        <f t="shared" si="76"/>
        <v>-6.2730627306273032E-2</v>
      </c>
      <c r="L144" s="94">
        <f>IF(ISNUMBER(J144), $B145 * K144, "")</f>
        <v>-9409.5940959409545</v>
      </c>
      <c r="M144" s="92">
        <v>5.03</v>
      </c>
      <c r="N144" s="25">
        <f t="shared" si="77"/>
        <v>-7.1955719557195513E-2</v>
      </c>
      <c r="O144" s="94">
        <f>IF(ISNUMBER(M144), $B145 * N144, "")</f>
        <v>-10793.357933579327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-6.0052532516746537E-3</v>
      </c>
      <c r="F145" s="28">
        <f>SUM(F125:F144)</f>
        <v>-18015.759755023962</v>
      </c>
      <c r="G145" s="26" t="s">
        <v>261</v>
      </c>
      <c r="H145" s="27">
        <f>IF(COUNT(H125:H144), SUM(H125:H144) / COUNT(H125:H144), 0)</f>
        <v>-1.4629948814815164E-2</v>
      </c>
      <c r="I145" s="28">
        <f>SUM(I125:I144)</f>
        <v>-43889.846444445488</v>
      </c>
      <c r="J145" s="26" t="s">
        <v>261</v>
      </c>
      <c r="K145" s="27">
        <f>IF(COUNT(K125:K144), SUM(K125:K144) / COUNT(K125:K144), 0)</f>
        <v>-1.4629948814815164E-2</v>
      </c>
      <c r="L145" s="28">
        <f>SUM(L125:L144)</f>
        <v>-43889.846444445488</v>
      </c>
      <c r="M145" s="26" t="s">
        <v>261</v>
      </c>
      <c r="N145" s="27">
        <f>IF(COUNT(N125:N144), SUM(N125:N144) / COUNT(N125:N144), 0)</f>
        <v>-1.920737969434614E-2</v>
      </c>
      <c r="O145" s="28">
        <f>SUM(O125:O144)</f>
        <v>-57622.139083038404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2022-12-11(일) 오전 00:00</v>
      </c>
      <c r="C150" s="199"/>
      <c r="D150" s="158" t="str">
        <f>TEXT($G$1, "[$-ko-KR]yyyy-mm-dd(ddd) ") &amp; "오후 14:00"</f>
        <v>2022-12-11(일) 오후 14:00</v>
      </c>
      <c r="E150" s="159"/>
      <c r="F150" s="160"/>
      <c r="G150" s="158" t="str">
        <f>TEXT($G$1, "[$-ko-KR]yyyy-mm-dd(ddd) ") &amp; "오후 19:00"</f>
        <v>2022-12-11(일) 오후 19:00</v>
      </c>
      <c r="H150" s="159"/>
      <c r="I150" s="160"/>
      <c r="J150" s="158" t="str">
        <f>TEXT($G$1, "[$-ko-KR]yyyy-mm-dd(ddd) ") &amp; "오후 21:00"</f>
        <v>2022-12-11(일) 오후 21:00</v>
      </c>
      <c r="K150" s="159"/>
      <c r="L150" s="160"/>
      <c r="M150" s="158" t="str">
        <f>TEXT($G$1+1, "[$-ko-KR]yyyy-mm-dd(ddd) ") &amp; "오전 00:00"</f>
        <v>2022-12-12(월)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202</v>
      </c>
      <c r="B152" s="108">
        <v>355</v>
      </c>
      <c r="C152" s="69">
        <v>5.6657223999999999E-3</v>
      </c>
      <c r="D152" s="13">
        <v>357</v>
      </c>
      <c r="E152" s="14">
        <f>IF(ISNUMBER(D152), (D152 - $B152) / $B152, "")</f>
        <v>5.6338028169014088E-3</v>
      </c>
      <c r="F152" s="16">
        <f>IF(ISNUMBER(D152), $B172 * E152, "")</f>
        <v>845.07042253521126</v>
      </c>
      <c r="G152" s="29">
        <v>355</v>
      </c>
      <c r="H152" s="14">
        <f>IF(ISNUMBER(G152), (G152 - $B152) / $B152, "")</f>
        <v>0</v>
      </c>
      <c r="I152" s="90">
        <f>IF(ISNUMBER(G152), $B172 * H152, "")</f>
        <v>0</v>
      </c>
      <c r="J152" s="13">
        <v>355</v>
      </c>
      <c r="K152" s="14">
        <f>IF(ISNUMBER(J152), (J152 - $B152) / $B152, "")</f>
        <v>0</v>
      </c>
      <c r="L152" s="16">
        <f>IF(ISNUMBER(J152), $B172 * K152, "")</f>
        <v>0</v>
      </c>
      <c r="M152" s="29">
        <v>357</v>
      </c>
      <c r="N152" s="14">
        <f>IF(ISNUMBER(M152), (M152 - $B152) / $B152, "")</f>
        <v>5.6338028169014088E-3</v>
      </c>
      <c r="O152" s="16">
        <f>IF(ISNUMBER(M152), $B172 * N152, "")</f>
        <v>845.07042253521126</v>
      </c>
      <c r="Q152" s="156"/>
      <c r="R152" s="156"/>
      <c r="S152" s="156"/>
    </row>
    <row r="153" spans="1:19" ht="17.25" thickBot="1">
      <c r="A153" s="109" t="s">
        <v>85</v>
      </c>
      <c r="B153" s="110">
        <v>202</v>
      </c>
      <c r="C153" s="70">
        <v>4.9751244000000002E-3</v>
      </c>
      <c r="D153" s="15">
        <v>201</v>
      </c>
      <c r="E153" s="32">
        <f t="shared" ref="E153:E156" si="78">IF(ISNUMBER(D153), (D153 - $B153) / $B153, "")</f>
        <v>-4.9504950495049506E-3</v>
      </c>
      <c r="F153" s="18">
        <f>IF(ISNUMBER(D153), $B172 * E153, "")</f>
        <v>-742.57425742574253</v>
      </c>
      <c r="G153" s="31">
        <v>199</v>
      </c>
      <c r="H153" s="32">
        <f t="shared" ref="H153:H156" si="79">IF(ISNUMBER(G153), (G153 - $B153) / $B153, "")</f>
        <v>-1.4851485148514851E-2</v>
      </c>
      <c r="I153" s="91">
        <f>IF(ISNUMBER(G153), $B172 * H153, "")</f>
        <v>-2227.7227722772277</v>
      </c>
      <c r="J153" s="15">
        <v>199</v>
      </c>
      <c r="K153" s="32">
        <f t="shared" ref="K153:K156" si="80">IF(ISNUMBER(J153), (J153 - $B153) / $B153, "")</f>
        <v>-1.4851485148514851E-2</v>
      </c>
      <c r="L153" s="18">
        <f>IF(ISNUMBER(J153), $B172 * K153, "")</f>
        <v>-2227.7227722772277</v>
      </c>
      <c r="M153" s="31">
        <v>199</v>
      </c>
      <c r="N153" s="32">
        <f t="shared" ref="N153:N156" si="81">IF(ISNUMBER(M153), (M153 - $B153) / $B153, "")</f>
        <v>-1.4851485148514851E-2</v>
      </c>
      <c r="O153" s="18">
        <f>IF(ISNUMBER(M153), $B172 * N153, "")</f>
        <v>-2227.7227722772277</v>
      </c>
      <c r="Q153" s="156"/>
      <c r="R153" s="156"/>
      <c r="S153" s="156"/>
    </row>
    <row r="154" spans="1:19" ht="17.25" thickBot="1">
      <c r="A154" s="109" t="s">
        <v>66</v>
      </c>
      <c r="B154" s="110">
        <v>749</v>
      </c>
      <c r="C154" s="70">
        <v>4.0214476999999998E-3</v>
      </c>
      <c r="D154" s="15">
        <v>767</v>
      </c>
      <c r="E154" s="32">
        <f t="shared" si="78"/>
        <v>2.4032042723631509E-2</v>
      </c>
      <c r="F154" s="18">
        <f>IF(ISNUMBER(D154), $B172 * E154, "")</f>
        <v>3604.8064085447263</v>
      </c>
      <c r="G154" s="31">
        <v>775</v>
      </c>
      <c r="H154" s="32">
        <f t="shared" si="79"/>
        <v>3.4712950600801068E-2</v>
      </c>
      <c r="I154" s="91">
        <f>IF(ISNUMBER(G154), $B172 * H154, "")</f>
        <v>5206.9425901201603</v>
      </c>
      <c r="J154" s="15">
        <v>775</v>
      </c>
      <c r="K154" s="32">
        <f t="shared" si="80"/>
        <v>3.4712950600801068E-2</v>
      </c>
      <c r="L154" s="18">
        <f>IF(ISNUMBER(J154), $B172 * K154, "")</f>
        <v>5206.9425901201603</v>
      </c>
      <c r="M154" s="31">
        <v>769</v>
      </c>
      <c r="N154" s="32">
        <f t="shared" si="81"/>
        <v>2.67022696929239E-2</v>
      </c>
      <c r="O154" s="18">
        <f>IF(ISNUMBER(M154), $B172 * N154, "")</f>
        <v>4005.3404539385851</v>
      </c>
      <c r="Q154" s="161"/>
      <c r="R154" s="161"/>
      <c r="S154" s="161"/>
    </row>
    <row r="155" spans="1:19" ht="17.25" thickBot="1">
      <c r="A155" s="109" t="s">
        <v>232</v>
      </c>
      <c r="B155" s="110">
        <v>299</v>
      </c>
      <c r="C155" s="70">
        <v>3.3557047E-3</v>
      </c>
      <c r="D155" s="15">
        <v>304</v>
      </c>
      <c r="E155" s="32">
        <f t="shared" si="78"/>
        <v>1.6722408026755852E-2</v>
      </c>
      <c r="F155" s="18">
        <f>IF(ISNUMBER(D155), $B172 * E155, "")</f>
        <v>2508.361204013378</v>
      </c>
      <c r="G155" s="31">
        <v>302</v>
      </c>
      <c r="H155" s="32">
        <f t="shared" si="79"/>
        <v>1.0033444816053512E-2</v>
      </c>
      <c r="I155" s="91">
        <f>IF(ISNUMBER(G155), $B172 * H155, "")</f>
        <v>1505.0167224080267</v>
      </c>
      <c r="J155" s="15">
        <v>302</v>
      </c>
      <c r="K155" s="32">
        <f t="shared" si="80"/>
        <v>1.0033444816053512E-2</v>
      </c>
      <c r="L155" s="18">
        <f>IF(ISNUMBER(J155), $B172 * K155, "")</f>
        <v>1505.0167224080267</v>
      </c>
      <c r="M155" s="31">
        <v>304</v>
      </c>
      <c r="N155" s="32">
        <f t="shared" si="81"/>
        <v>1.6722408026755852E-2</v>
      </c>
      <c r="O155" s="18">
        <f>IF(ISNUMBER(M155), $B172 * N155, "")</f>
        <v>2508.361204013378</v>
      </c>
      <c r="Q155" s="161"/>
      <c r="R155" s="161"/>
      <c r="S155" s="161"/>
    </row>
    <row r="156" spans="1:19" ht="17.25" thickBot="1">
      <c r="A156" s="111" t="s">
        <v>238</v>
      </c>
      <c r="B156" s="112">
        <v>635</v>
      </c>
      <c r="C156" s="71">
        <v>3.1595577000000001E-3</v>
      </c>
      <c r="D156" s="20">
        <v>645</v>
      </c>
      <c r="E156" s="21">
        <f t="shared" si="78"/>
        <v>1.5748031496062992E-2</v>
      </c>
      <c r="F156" s="22">
        <f>IF(ISNUMBER(D156), $B172 * E156, "")</f>
        <v>2362.2047244094488</v>
      </c>
      <c r="G156" s="30">
        <v>641</v>
      </c>
      <c r="H156" s="21">
        <f t="shared" si="79"/>
        <v>9.4488188976377951E-3</v>
      </c>
      <c r="I156" s="95">
        <f>IF(ISNUMBER(G156), $B172 * H156, "")</f>
        <v>1417.3228346456692</v>
      </c>
      <c r="J156" s="20">
        <v>641</v>
      </c>
      <c r="K156" s="21">
        <f t="shared" si="80"/>
        <v>9.4488188976377951E-3</v>
      </c>
      <c r="L156" s="22">
        <f>IF(ISNUMBER(J156), $B172 * K156, "")</f>
        <v>1417.3228346456692</v>
      </c>
      <c r="M156" s="30">
        <v>641</v>
      </c>
      <c r="N156" s="21">
        <f t="shared" si="81"/>
        <v>9.4488188976377951E-3</v>
      </c>
      <c r="O156" s="22">
        <f>IF(ISNUMBER(M156), $B172 * N156, "")</f>
        <v>1417.3228346456692</v>
      </c>
      <c r="Q156" s="161"/>
      <c r="R156" s="161"/>
      <c r="S156" s="161"/>
    </row>
    <row r="157" spans="1:19" ht="17.25" thickBot="1">
      <c r="A157" s="109" t="s">
        <v>89</v>
      </c>
      <c r="B157" s="113">
        <v>518</v>
      </c>
      <c r="C157" s="73">
        <v>0</v>
      </c>
      <c r="D157" s="96">
        <v>516</v>
      </c>
      <c r="E157" s="97">
        <f>IF(ISNUMBER(D157), (D157 - $B157) / $B157, "")</f>
        <v>-3.8610038610038611E-3</v>
      </c>
      <c r="F157" s="98">
        <f>IF(ISNUMBER(D157), $B172 * E157, "")</f>
        <v>-579.15057915057912</v>
      </c>
      <c r="G157" s="99">
        <v>514</v>
      </c>
      <c r="H157" s="97">
        <f>IF(ISNUMBER(G157), (G157 - $B157) / $B157, "")</f>
        <v>-7.7220077220077222E-3</v>
      </c>
      <c r="I157" s="100">
        <f>IF(ISNUMBER(G157), $B172 * H157, "")</f>
        <v>-1158.3011583011582</v>
      </c>
      <c r="J157" s="96">
        <v>514</v>
      </c>
      <c r="K157" s="97">
        <f>IF(ISNUMBER(J157), (J157 - $B157) / $B157, "")</f>
        <v>-7.7220077220077222E-3</v>
      </c>
      <c r="L157" s="98">
        <f>IF(ISNUMBER(J157), $B172 * K157, "")</f>
        <v>-1158.3011583011582</v>
      </c>
      <c r="M157" s="99">
        <v>512</v>
      </c>
      <c r="N157" s="97">
        <f>IF(ISNUMBER(M157), (M157 - $B157) / $B157, "")</f>
        <v>-1.1583011583011582E-2</v>
      </c>
      <c r="O157" s="98">
        <f>IF(ISNUMBER(M157), $B172 * N157, "")</f>
        <v>-1737.4517374517375</v>
      </c>
      <c r="Q157" s="161"/>
      <c r="R157" s="161"/>
      <c r="S157" s="161"/>
    </row>
    <row r="158" spans="1:19" ht="17.25" thickBot="1">
      <c r="A158" s="109" t="s">
        <v>51</v>
      </c>
      <c r="B158" s="110">
        <v>113</v>
      </c>
      <c r="C158" s="70">
        <v>0</v>
      </c>
      <c r="D158" s="15">
        <v>113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113</v>
      </c>
      <c r="H158" s="32">
        <f t="shared" ref="H158:H161" si="83">IF(ISNUMBER(G158), (G158 - $B158) / $B158, "")</f>
        <v>0</v>
      </c>
      <c r="I158" s="91">
        <f>IF(ISNUMBER(G158), $B172 * H158, "")</f>
        <v>0</v>
      </c>
      <c r="J158" s="15">
        <v>113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113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161"/>
      <c r="R158" s="161"/>
      <c r="S158" s="161"/>
    </row>
    <row r="159" spans="1:19" ht="17.25" thickBot="1">
      <c r="A159" s="109" t="s">
        <v>244</v>
      </c>
      <c r="B159" s="110">
        <v>105</v>
      </c>
      <c r="C159" s="70">
        <v>0</v>
      </c>
      <c r="D159" s="15">
        <v>107</v>
      </c>
      <c r="E159" s="32">
        <f t="shared" si="82"/>
        <v>1.9047619047619049E-2</v>
      </c>
      <c r="F159" s="18">
        <f>IF(ISNUMBER(D159), $B172 * E159, "")</f>
        <v>2857.1428571428573</v>
      </c>
      <c r="G159" s="31">
        <v>107</v>
      </c>
      <c r="H159" s="32">
        <f t="shared" si="83"/>
        <v>1.9047619047619049E-2</v>
      </c>
      <c r="I159" s="91">
        <f>IF(ISNUMBER(G159), $B172 * H159, "")</f>
        <v>2857.1428571428573</v>
      </c>
      <c r="J159" s="15">
        <v>107</v>
      </c>
      <c r="K159" s="32">
        <f t="shared" si="84"/>
        <v>1.9047619047619049E-2</v>
      </c>
      <c r="L159" s="18">
        <f>IF(ISNUMBER(J159), $B172 * K159, "")</f>
        <v>2857.1428571428573</v>
      </c>
      <c r="M159" s="31">
        <v>103</v>
      </c>
      <c r="N159" s="32">
        <f t="shared" si="85"/>
        <v>-1.9047619047619049E-2</v>
      </c>
      <c r="O159" s="18">
        <f>IF(ISNUMBER(M159), $B172 * N159, "")</f>
        <v>-2857.1428571428573</v>
      </c>
      <c r="Q159" s="161"/>
      <c r="R159" s="161"/>
      <c r="S159" s="161"/>
    </row>
    <row r="160" spans="1:19" ht="17.25" thickBot="1">
      <c r="A160" s="109" t="s">
        <v>176</v>
      </c>
      <c r="B160" s="110">
        <v>350</v>
      </c>
      <c r="C160" s="70">
        <v>0</v>
      </c>
      <c r="D160" s="15">
        <v>351</v>
      </c>
      <c r="E160" s="32">
        <f t="shared" si="82"/>
        <v>2.8571428571428571E-3</v>
      </c>
      <c r="F160" s="18">
        <f>IF(ISNUMBER(D160), $B172 * E160, "")</f>
        <v>428.57142857142856</v>
      </c>
      <c r="G160" s="31">
        <v>351</v>
      </c>
      <c r="H160" s="32">
        <f t="shared" si="83"/>
        <v>2.8571428571428571E-3</v>
      </c>
      <c r="I160" s="91">
        <f>IF(ISNUMBER(G160), $B172 * H160, "")</f>
        <v>428.57142857142856</v>
      </c>
      <c r="J160" s="15">
        <v>351</v>
      </c>
      <c r="K160" s="32">
        <f t="shared" si="84"/>
        <v>2.8571428571428571E-3</v>
      </c>
      <c r="L160" s="18">
        <f>IF(ISNUMBER(J160), $B172 * K160, "")</f>
        <v>428.57142857142856</v>
      </c>
      <c r="M160" s="31">
        <v>349</v>
      </c>
      <c r="N160" s="32">
        <f t="shared" si="85"/>
        <v>-2.8571428571428571E-3</v>
      </c>
      <c r="O160" s="18">
        <f>IF(ISNUMBER(M160), $B172 * N160, "")</f>
        <v>-428.57142857142856</v>
      </c>
      <c r="Q160" s="33"/>
      <c r="R160" s="33"/>
    </row>
    <row r="161" spans="1:19" ht="17.25" thickBot="1">
      <c r="A161" s="114" t="s">
        <v>157</v>
      </c>
      <c r="B161" s="115">
        <v>174</v>
      </c>
      <c r="C161" s="72">
        <v>0</v>
      </c>
      <c r="D161" s="24">
        <v>178</v>
      </c>
      <c r="E161" s="25">
        <f t="shared" si="82"/>
        <v>2.2988505747126436E-2</v>
      </c>
      <c r="F161" s="94">
        <f>IF(ISNUMBER(D161), $B172 * E161, "")</f>
        <v>3448.2758620689656</v>
      </c>
      <c r="G161" s="92">
        <v>177</v>
      </c>
      <c r="H161" s="25">
        <f t="shared" si="83"/>
        <v>1.7241379310344827E-2</v>
      </c>
      <c r="I161" s="93">
        <f>IF(ISNUMBER(G161), $B172 * H161, "")</f>
        <v>2586.2068965517242</v>
      </c>
      <c r="J161" s="24">
        <v>177</v>
      </c>
      <c r="K161" s="25">
        <f t="shared" si="84"/>
        <v>1.7241379310344827E-2</v>
      </c>
      <c r="L161" s="94">
        <f>IF(ISNUMBER(J161), $B172 * K161, "")</f>
        <v>2586.2068965517242</v>
      </c>
      <c r="M161" s="92">
        <v>176</v>
      </c>
      <c r="N161" s="25">
        <f t="shared" si="85"/>
        <v>1.1494252873563218E-2</v>
      </c>
      <c r="O161" s="94">
        <f>IF(ISNUMBER(M161), $B172 * N161, "")</f>
        <v>1724.1379310344828</v>
      </c>
      <c r="Q161" s="170"/>
      <c r="R161" s="171"/>
      <c r="S161" s="172"/>
    </row>
    <row r="162" spans="1:19">
      <c r="A162" s="107" t="s">
        <v>159</v>
      </c>
      <c r="B162" s="108">
        <v>202</v>
      </c>
      <c r="C162" s="69">
        <v>0</v>
      </c>
      <c r="D162" s="13">
        <v>203</v>
      </c>
      <c r="E162" s="14">
        <f>IF(ISNUMBER(D162), (D162 - $B162) / $B162, "")</f>
        <v>4.9504950495049506E-3</v>
      </c>
      <c r="F162" s="16">
        <f>IF(ISNUMBER(D162), $B172 * E162, "")</f>
        <v>742.57425742574253</v>
      </c>
      <c r="G162" s="29">
        <v>202</v>
      </c>
      <c r="H162" s="14">
        <f>IF(ISNUMBER(G162), (G162 - $B162) / $B162, "")</f>
        <v>0</v>
      </c>
      <c r="I162" s="90">
        <f>IF(ISNUMBER(G162), $B172 * H162, "")</f>
        <v>0</v>
      </c>
      <c r="J162" s="13">
        <v>202</v>
      </c>
      <c r="K162" s="14">
        <f>IF(ISNUMBER(J162), (J162 - $B162) / $B162, "")</f>
        <v>0</v>
      </c>
      <c r="L162" s="16">
        <f>IF(ISNUMBER(J162), $B172 * K162, "")</f>
        <v>0</v>
      </c>
      <c r="M162" s="29">
        <v>205</v>
      </c>
      <c r="N162" s="14">
        <f>IF(ISNUMBER(M162), (M162 - $B162) / $B162, "")</f>
        <v>1.4851485148514851E-2</v>
      </c>
      <c r="O162" s="16">
        <f>IF(ISNUMBER(M162), $B172 * N162, "")</f>
        <v>2227.7227722772277</v>
      </c>
      <c r="Q162" s="173"/>
      <c r="R162" s="174"/>
      <c r="S162" s="175"/>
    </row>
    <row r="163" spans="1:19" ht="17.25" thickBot="1">
      <c r="A163" s="109" t="s">
        <v>204</v>
      </c>
      <c r="B163" s="110">
        <v>272</v>
      </c>
      <c r="C163" s="70">
        <v>0</v>
      </c>
      <c r="D163" s="15">
        <v>283</v>
      </c>
      <c r="E163" s="32">
        <f t="shared" ref="E163:E166" si="86">IF(ISNUMBER(D163), (D163 - $B163) / $B163, "")</f>
        <v>4.0441176470588237E-2</v>
      </c>
      <c r="F163" s="18">
        <f>IF(ISNUMBER(D163), $B172 * E163, "")</f>
        <v>6066.176470588236</v>
      </c>
      <c r="G163" s="31">
        <v>286</v>
      </c>
      <c r="H163" s="32">
        <f t="shared" ref="H163:H166" si="87">IF(ISNUMBER(G163), (G163 - $B163) / $B163, "")</f>
        <v>5.1470588235294115E-2</v>
      </c>
      <c r="I163" s="91">
        <f>IF(ISNUMBER(G163), $B172 * H163, "")</f>
        <v>7720.5882352941171</v>
      </c>
      <c r="J163" s="15">
        <v>286</v>
      </c>
      <c r="K163" s="32">
        <f t="shared" ref="K163:K166" si="88">IF(ISNUMBER(J163), (J163 - $B163) / $B163, "")</f>
        <v>5.1470588235294115E-2</v>
      </c>
      <c r="L163" s="18">
        <f>IF(ISNUMBER(J163), $B172 * K163, "")</f>
        <v>7720.5882352941171</v>
      </c>
      <c r="M163" s="31">
        <v>311</v>
      </c>
      <c r="N163" s="32">
        <f t="shared" ref="N163:N166" si="89">IF(ISNUMBER(M163), (M163 - $B163) / $B163, "")</f>
        <v>0.14338235294117646</v>
      </c>
      <c r="O163" s="18">
        <f>IF(ISNUMBER(M163), $B172 * N163, "")</f>
        <v>21507.352941176468</v>
      </c>
      <c r="Q163" s="176"/>
      <c r="R163" s="177"/>
      <c r="S163" s="178"/>
    </row>
    <row r="164" spans="1:19" ht="17.25" thickBot="1">
      <c r="A164" s="109" t="s">
        <v>256</v>
      </c>
      <c r="B164" s="110">
        <v>130</v>
      </c>
      <c r="C164" s="70">
        <v>0</v>
      </c>
      <c r="D164" s="15">
        <v>129</v>
      </c>
      <c r="E164" s="32">
        <f t="shared" si="86"/>
        <v>-7.6923076923076927E-3</v>
      </c>
      <c r="F164" s="18">
        <f>IF(ISNUMBER(D164), $B172 * E164, "")</f>
        <v>-1153.8461538461538</v>
      </c>
      <c r="G164" s="31">
        <v>129</v>
      </c>
      <c r="H164" s="32">
        <f t="shared" si="87"/>
        <v>-7.6923076923076927E-3</v>
      </c>
      <c r="I164" s="91">
        <f>IF(ISNUMBER(G164), $B172 * H164, "")</f>
        <v>-1153.8461538461538</v>
      </c>
      <c r="J164" s="15">
        <v>129</v>
      </c>
      <c r="K164" s="32">
        <f t="shared" si="88"/>
        <v>-7.6923076923076927E-3</v>
      </c>
      <c r="L164" s="18">
        <f>IF(ISNUMBER(J164), $B172 * K164, "")</f>
        <v>-1153.8461538461538</v>
      </c>
      <c r="M164" s="31">
        <v>128</v>
      </c>
      <c r="N164" s="32">
        <f t="shared" si="89"/>
        <v>-1.5384615384615385E-2</v>
      </c>
      <c r="O164" s="18">
        <f>IF(ISNUMBER(M164), $B172 * N164, "")</f>
        <v>-2307.6923076923076</v>
      </c>
      <c r="Q164" s="161"/>
      <c r="R164" s="161"/>
      <c r="S164" s="161"/>
    </row>
    <row r="165" spans="1:19" ht="17.25" thickBot="1">
      <c r="A165" s="109" t="s">
        <v>346</v>
      </c>
      <c r="B165" s="110">
        <v>538</v>
      </c>
      <c r="C165" s="70">
        <v>-1.8552875999999999E-3</v>
      </c>
      <c r="D165" s="15">
        <v>536</v>
      </c>
      <c r="E165" s="32">
        <f t="shared" si="86"/>
        <v>-3.7174721189591076E-3</v>
      </c>
      <c r="F165" s="18">
        <f>IF(ISNUMBER(D165), $B172 * E165, "")</f>
        <v>-557.62081784386612</v>
      </c>
      <c r="G165" s="31">
        <v>533</v>
      </c>
      <c r="H165" s="32">
        <f t="shared" si="87"/>
        <v>-9.2936802973977699E-3</v>
      </c>
      <c r="I165" s="91">
        <f>IF(ISNUMBER(G165), $B172 * H165, "")</f>
        <v>-1394.0520446096655</v>
      </c>
      <c r="J165" s="15">
        <v>533</v>
      </c>
      <c r="K165" s="32">
        <f t="shared" si="88"/>
        <v>-9.2936802973977699E-3</v>
      </c>
      <c r="L165" s="18">
        <f>IF(ISNUMBER(J165), $B172 * K165, "")</f>
        <v>-1394.0520446096655</v>
      </c>
      <c r="M165" s="31">
        <v>531</v>
      </c>
      <c r="N165" s="32">
        <f t="shared" si="89"/>
        <v>-1.3011152416356878E-2</v>
      </c>
      <c r="O165" s="18">
        <f>IF(ISNUMBER(M165), $B172 * N165, "")</f>
        <v>-1951.6728624535317</v>
      </c>
      <c r="Q165" s="156"/>
      <c r="R165" s="156"/>
      <c r="S165" s="156"/>
    </row>
    <row r="166" spans="1:19" ht="17.25" thickBot="1">
      <c r="A166" s="111" t="s">
        <v>222</v>
      </c>
      <c r="B166" s="112">
        <v>468</v>
      </c>
      <c r="C166" s="71">
        <v>-4.2553191000000001E-3</v>
      </c>
      <c r="D166" s="20">
        <v>475</v>
      </c>
      <c r="E166" s="21">
        <f t="shared" si="86"/>
        <v>1.4957264957264958E-2</v>
      </c>
      <c r="F166" s="22">
        <f>IF(ISNUMBER(D166), $B172 * E166, "")</f>
        <v>2243.5897435897436</v>
      </c>
      <c r="G166" s="30">
        <v>470</v>
      </c>
      <c r="H166" s="21">
        <f t="shared" si="87"/>
        <v>4.2735042735042739E-3</v>
      </c>
      <c r="I166" s="95">
        <f>IF(ISNUMBER(G166), $B172 * H166, "")</f>
        <v>641.02564102564111</v>
      </c>
      <c r="J166" s="20">
        <v>470</v>
      </c>
      <c r="K166" s="21">
        <f t="shared" si="88"/>
        <v>4.2735042735042739E-3</v>
      </c>
      <c r="L166" s="22">
        <f>IF(ISNUMBER(J166), $B172 * K166, "")</f>
        <v>641.02564102564111</v>
      </c>
      <c r="M166" s="30">
        <v>469</v>
      </c>
      <c r="N166" s="21">
        <f t="shared" si="89"/>
        <v>2.136752136752137E-3</v>
      </c>
      <c r="O166" s="22">
        <f>IF(ISNUMBER(M166), $B172 * N166, "")</f>
        <v>320.51282051282055</v>
      </c>
      <c r="Q166" s="156"/>
      <c r="R166" s="156"/>
      <c r="S166" s="156"/>
    </row>
    <row r="167" spans="1:19" ht="17.25" thickBot="1">
      <c r="A167" s="109" t="s">
        <v>183</v>
      </c>
      <c r="B167" s="113">
        <v>147</v>
      </c>
      <c r="C167" s="73">
        <v>-6.7567568000000003E-3</v>
      </c>
      <c r="D167" s="96">
        <v>153</v>
      </c>
      <c r="E167" s="97">
        <f>IF(ISNUMBER(D167), (D167 - $B167) / $B167, "")</f>
        <v>4.0816326530612242E-2</v>
      </c>
      <c r="F167" s="98">
        <f>IF(ISNUMBER(D167), $B172 * E167, "")</f>
        <v>6122.4489795918362</v>
      </c>
      <c r="G167" s="99">
        <v>153</v>
      </c>
      <c r="H167" s="97">
        <f>IF(ISNUMBER(G167), (G167 - $B167) / $B167, "")</f>
        <v>4.0816326530612242E-2</v>
      </c>
      <c r="I167" s="100">
        <f>IF(ISNUMBER(G167), $B172 * H167, "")</f>
        <v>6122.4489795918362</v>
      </c>
      <c r="J167" s="96">
        <v>153</v>
      </c>
      <c r="K167" s="97">
        <f>IF(ISNUMBER(J167), (J167 - $B167) / $B167, "")</f>
        <v>4.0816326530612242E-2</v>
      </c>
      <c r="L167" s="98">
        <f>IF(ISNUMBER(J167), $B172 * K167, "")</f>
        <v>6122.4489795918362</v>
      </c>
      <c r="M167" s="99">
        <v>156</v>
      </c>
      <c r="N167" s="97">
        <f>IF(ISNUMBER(M167), (M167 - $B167) / $B167, "")</f>
        <v>6.1224489795918366E-2</v>
      </c>
      <c r="O167" s="98">
        <f>IF(ISNUMBER(M167), $B172 * N167, "")</f>
        <v>9183.6734693877552</v>
      </c>
      <c r="Q167" s="161"/>
      <c r="R167" s="161"/>
      <c r="S167" s="161"/>
    </row>
    <row r="168" spans="1:19" ht="17.25" thickBot="1">
      <c r="A168" s="109" t="s">
        <v>242</v>
      </c>
      <c r="B168" s="110">
        <v>461</v>
      </c>
      <c r="C168" s="70">
        <v>-1.07296137E-2</v>
      </c>
      <c r="D168" s="15">
        <v>465</v>
      </c>
      <c r="E168" s="32">
        <f t="shared" ref="E168:E171" si="90">IF(ISNUMBER(D168), (D168 - $B168) / $B168, "")</f>
        <v>8.6767895878524948E-3</v>
      </c>
      <c r="F168" s="18">
        <f>IF(ISNUMBER(D168), $B172 * E168, "")</f>
        <v>1301.5184381778743</v>
      </c>
      <c r="G168" s="31">
        <v>461</v>
      </c>
      <c r="H168" s="32">
        <f t="shared" ref="H168:H171" si="91">IF(ISNUMBER(G168), (G168 - $B168) / $B168, "")</f>
        <v>0</v>
      </c>
      <c r="I168" s="91">
        <f>IF(ISNUMBER(G168), $B172 * H168, "")</f>
        <v>0</v>
      </c>
      <c r="J168" s="15">
        <v>461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461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161"/>
      <c r="R168" s="161"/>
      <c r="S168" s="161"/>
    </row>
    <row r="169" spans="1:19" ht="17.25" thickBot="1">
      <c r="A169" s="109" t="s">
        <v>342</v>
      </c>
      <c r="B169" s="110">
        <v>141</v>
      </c>
      <c r="C169" s="70">
        <v>-1.3986014E-2</v>
      </c>
      <c r="D169" s="15">
        <v>139</v>
      </c>
      <c r="E169" s="32">
        <f t="shared" si="90"/>
        <v>-1.4184397163120567E-2</v>
      </c>
      <c r="F169" s="18">
        <f>IF(ISNUMBER(D169), $B172 * E169, "")</f>
        <v>-2127.6595744680849</v>
      </c>
      <c r="G169" s="31">
        <v>139</v>
      </c>
      <c r="H169" s="32">
        <f t="shared" si="91"/>
        <v>-1.4184397163120567E-2</v>
      </c>
      <c r="I169" s="91">
        <f>IF(ISNUMBER(G169), $B172 * H169, "")</f>
        <v>-2127.6595744680849</v>
      </c>
      <c r="J169" s="15">
        <v>139</v>
      </c>
      <c r="K169" s="32">
        <f t="shared" si="92"/>
        <v>-1.4184397163120567E-2</v>
      </c>
      <c r="L169" s="18">
        <f>IF(ISNUMBER(J169), $B172 * K169, "")</f>
        <v>-2127.6595744680849</v>
      </c>
      <c r="M169" s="31">
        <v>138</v>
      </c>
      <c r="N169" s="32">
        <f t="shared" si="93"/>
        <v>-2.1276595744680851E-2</v>
      </c>
      <c r="O169" s="18">
        <f>IF(ISNUMBER(M169), $B172 * N169, "")</f>
        <v>-3191.4893617021276</v>
      </c>
      <c r="Q169" s="161"/>
      <c r="R169" s="161"/>
      <c r="S169" s="161"/>
    </row>
    <row r="170" spans="1:19">
      <c r="A170" s="109" t="s">
        <v>352</v>
      </c>
      <c r="B170" s="110">
        <v>264</v>
      </c>
      <c r="C170" s="70">
        <v>-1.8587360599999998E-2</v>
      </c>
      <c r="D170" s="15">
        <v>267</v>
      </c>
      <c r="E170" s="32">
        <f t="shared" si="90"/>
        <v>1.1363636363636364E-2</v>
      </c>
      <c r="F170" s="18">
        <f>IF(ISNUMBER(D170), $B172 * E170, "")</f>
        <v>1704.5454545454545</v>
      </c>
      <c r="G170" s="31">
        <v>264</v>
      </c>
      <c r="H170" s="32">
        <f t="shared" si="91"/>
        <v>0</v>
      </c>
      <c r="I170" s="91">
        <f>IF(ISNUMBER(G170), $B172 * H170, "")</f>
        <v>0</v>
      </c>
      <c r="J170" s="15">
        <v>264</v>
      </c>
      <c r="K170" s="32">
        <f t="shared" si="92"/>
        <v>0</v>
      </c>
      <c r="L170" s="18">
        <f>IF(ISNUMBER(J170), $B172 * K170, "")</f>
        <v>0</v>
      </c>
      <c r="M170" s="31">
        <v>264</v>
      </c>
      <c r="N170" s="32">
        <f t="shared" si="93"/>
        <v>0</v>
      </c>
      <c r="O170" s="18">
        <f>IF(ISNUMBER(M170), $B172 * N170, "")</f>
        <v>0</v>
      </c>
      <c r="Q170" s="183"/>
      <c r="R170" s="184"/>
      <c r="S170" s="185"/>
    </row>
    <row r="171" spans="1:19" ht="17.25" thickBot="1">
      <c r="A171" s="114" t="s">
        <v>68</v>
      </c>
      <c r="B171" s="115">
        <v>366</v>
      </c>
      <c r="C171" s="72">
        <v>-2.65957447E-2</v>
      </c>
      <c r="D171" s="24">
        <v>362</v>
      </c>
      <c r="E171" s="25">
        <f t="shared" si="90"/>
        <v>-1.092896174863388E-2</v>
      </c>
      <c r="F171" s="94">
        <f>IF(ISNUMBER(D171), $B172 * E171, "")</f>
        <v>-1639.344262295082</v>
      </c>
      <c r="G171" s="92">
        <v>363</v>
      </c>
      <c r="H171" s="25">
        <f t="shared" si="91"/>
        <v>-8.1967213114754103E-3</v>
      </c>
      <c r="I171" s="93">
        <f>IF(ISNUMBER(G171), $B172 * H171, "")</f>
        <v>-1229.5081967213116</v>
      </c>
      <c r="J171" s="24">
        <v>363</v>
      </c>
      <c r="K171" s="25">
        <f t="shared" si="92"/>
        <v>-8.1967213114754103E-3</v>
      </c>
      <c r="L171" s="94">
        <f>IF(ISNUMBER(J171), $B172 * K171, "")</f>
        <v>-1229.5081967213116</v>
      </c>
      <c r="M171" s="92">
        <v>361</v>
      </c>
      <c r="N171" s="25">
        <f t="shared" si="93"/>
        <v>-1.3661202185792349E-2</v>
      </c>
      <c r="O171" s="94">
        <f>IF(ISNUMBER(M171), $B172 * N171, "")</f>
        <v>-2049.1803278688526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9.1450302020584639E-3</v>
      </c>
      <c r="F172" s="28">
        <f>SUM(F152:F171)</f>
        <v>27435.090606175396</v>
      </c>
      <c r="G172" s="26" t="s">
        <v>261</v>
      </c>
      <c r="H172" s="27">
        <f>IF(COUNT(H152:H171), SUM(H152:H171) / COUNT(H152:H171), 0)</f>
        <v>6.3980587617092858E-3</v>
      </c>
      <c r="I172" s="28">
        <f>SUM(I152:I171)</f>
        <v>19194.176285127858</v>
      </c>
      <c r="J172" s="26" t="s">
        <v>261</v>
      </c>
      <c r="K172" s="27">
        <f>IF(COUNT(K152:K171), SUM(K152:K171) / COUNT(K152:K171), 0)</f>
        <v>6.3980587617092858E-3</v>
      </c>
      <c r="L172" s="28">
        <f>SUM(L152:L171)</f>
        <v>19194.176285127858</v>
      </c>
      <c r="M172" s="26" t="s">
        <v>261</v>
      </c>
      <c r="N172" s="27">
        <f>IF(COUNT(N152:N171), SUM(N152:N171) / COUNT(N152:N171), 0)</f>
        <v>8.9961903981205099E-3</v>
      </c>
      <c r="O172" s="28">
        <f>SUM(O152:O171)</f>
        <v>26988.571194361528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2022-12-11(일) 오전 00:00</v>
      </c>
      <c r="C177" s="199"/>
      <c r="D177" s="158" t="str">
        <f>TEXT($G$1, "[$-ko-KR]yyyy-mm-dd(ddd) ") &amp; "오후 14:00"</f>
        <v>2022-12-11(일) 오후 14:00</v>
      </c>
      <c r="E177" s="159"/>
      <c r="F177" s="160"/>
      <c r="G177" s="158" t="str">
        <f>TEXT($G$1, "[$-ko-KR]yyyy-mm-dd(ddd) ") &amp; "오후 19:00"</f>
        <v>2022-12-11(일) 오후 19:00</v>
      </c>
      <c r="H177" s="159"/>
      <c r="I177" s="160"/>
      <c r="J177" s="158" t="str">
        <f>TEXT($G$1, "[$-ko-KR]yyyy-mm-dd(ddd) ") &amp; "오후 21:00"</f>
        <v>2022-12-11(일) 오후 21:00</v>
      </c>
      <c r="K177" s="159"/>
      <c r="L177" s="160"/>
      <c r="M177" s="158" t="str">
        <f>TEXT($G$1+1, "[$-ko-KR]yyyy-mm-dd(ddd) ") &amp; "오전 00:00"</f>
        <v>2022-12-12(월)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338</v>
      </c>
      <c r="B179" s="108">
        <v>5.16</v>
      </c>
      <c r="C179" s="69">
        <v>-5.7803467999999998E-3</v>
      </c>
      <c r="D179" s="13">
        <v>5.12</v>
      </c>
      <c r="E179" s="14">
        <f>IF(ISNUMBER(D179), (D179 - $B179) / $B179, "")</f>
        <v>-7.7519379844961309E-3</v>
      </c>
      <c r="F179" s="16">
        <f>IF(ISNUMBER(D179), $B199 * E179, "")</f>
        <v>-1162.7906976744196</v>
      </c>
      <c r="G179" s="29">
        <v>5.08</v>
      </c>
      <c r="H179" s="14">
        <f>IF(ISNUMBER(G179), (G179 - $B179) / $B179, "")</f>
        <v>-1.5503875968992262E-2</v>
      </c>
      <c r="I179" s="90">
        <f>IF(ISNUMBER(G179), $B199 * H179, "")</f>
        <v>-2325.5813953488391</v>
      </c>
      <c r="J179" s="13">
        <v>5.08</v>
      </c>
      <c r="K179" s="14">
        <f>IF(ISNUMBER(J179), (J179 - $B179) / $B179, "")</f>
        <v>-1.5503875968992262E-2</v>
      </c>
      <c r="L179" s="16">
        <f>IF(ISNUMBER(J179), $B199 * K179, "")</f>
        <v>-2325.5813953488391</v>
      </c>
      <c r="M179" s="29">
        <v>5.04</v>
      </c>
      <c r="N179" s="14">
        <f>IF(ISNUMBER(M179), (M179 - $B179) / $B179, "")</f>
        <v>-2.3255813953488393E-2</v>
      </c>
      <c r="O179" s="16">
        <f>IF(ISNUMBER(M179), $B199 * N179, "")</f>
        <v>-3488.3720930232589</v>
      </c>
      <c r="Q179" s="156"/>
      <c r="R179" s="156"/>
      <c r="S179" s="156"/>
    </row>
    <row r="180" spans="1:19" ht="17.25" thickBot="1">
      <c r="A180" s="109" t="s">
        <v>136</v>
      </c>
      <c r="B180" s="110">
        <v>3050</v>
      </c>
      <c r="C180" s="70">
        <v>-6.5146580000000004E-3</v>
      </c>
      <c r="D180" s="15">
        <v>3095</v>
      </c>
      <c r="E180" s="32">
        <f t="shared" ref="E180:E183" si="94">IF(ISNUMBER(D180), (D180 - $B180) / $B180, "")</f>
        <v>1.4754098360655738E-2</v>
      </c>
      <c r="F180" s="18">
        <f>IF(ISNUMBER(D180), $B199 * E180, "")</f>
        <v>2213.1147540983607</v>
      </c>
      <c r="G180" s="31">
        <v>3130</v>
      </c>
      <c r="H180" s="32">
        <f t="shared" ref="H180:H183" si="95">IF(ISNUMBER(G180), (G180 - $B180) / $B180, "")</f>
        <v>2.6229508196721311E-2</v>
      </c>
      <c r="I180" s="91">
        <f>IF(ISNUMBER(G180), $B199 * H180, "")</f>
        <v>3934.4262295081967</v>
      </c>
      <c r="J180" s="15">
        <v>3130</v>
      </c>
      <c r="K180" s="32">
        <f t="shared" ref="K180:K183" si="96">IF(ISNUMBER(J180), (J180 - $B180) / $B180, "")</f>
        <v>2.6229508196721311E-2</v>
      </c>
      <c r="L180" s="18">
        <f>IF(ISNUMBER(J180), $B199 * K180, "")</f>
        <v>3934.4262295081967</v>
      </c>
      <c r="M180" s="31">
        <v>3085</v>
      </c>
      <c r="N180" s="32">
        <f t="shared" ref="N180:N183" si="97">IF(ISNUMBER(M180), (M180 - $B180) / $B180, "")</f>
        <v>1.1475409836065573E-2</v>
      </c>
      <c r="O180" s="18">
        <f>IF(ISNUMBER(M180), $B199 * N180, "")</f>
        <v>1721.311475409836</v>
      </c>
      <c r="Q180" s="156"/>
      <c r="R180" s="156"/>
      <c r="S180" s="156"/>
    </row>
    <row r="181" spans="1:19" ht="17.25" thickBot="1">
      <c r="A181" s="109" t="s">
        <v>183</v>
      </c>
      <c r="B181" s="110">
        <v>147</v>
      </c>
      <c r="C181" s="70">
        <v>-6.7567568000000003E-3</v>
      </c>
      <c r="D181" s="15">
        <v>153</v>
      </c>
      <c r="E181" s="32">
        <f t="shared" si="94"/>
        <v>4.0816326530612242E-2</v>
      </c>
      <c r="F181" s="18">
        <f>IF(ISNUMBER(D181), $B199 * E181, "")</f>
        <v>6122.4489795918362</v>
      </c>
      <c r="G181" s="31">
        <v>153</v>
      </c>
      <c r="H181" s="32">
        <f t="shared" si="95"/>
        <v>4.0816326530612242E-2</v>
      </c>
      <c r="I181" s="91">
        <f>IF(ISNUMBER(G181), $B199 * H181, "")</f>
        <v>6122.4489795918362</v>
      </c>
      <c r="J181" s="15">
        <v>153</v>
      </c>
      <c r="K181" s="32">
        <f t="shared" si="96"/>
        <v>4.0816326530612242E-2</v>
      </c>
      <c r="L181" s="18">
        <f>IF(ISNUMBER(J181), $B199 * K181, "")</f>
        <v>6122.4489795918362</v>
      </c>
      <c r="M181" s="31">
        <v>156</v>
      </c>
      <c r="N181" s="32">
        <f t="shared" si="97"/>
        <v>6.1224489795918366E-2</v>
      </c>
      <c r="O181" s="18">
        <f>IF(ISNUMBER(M181), $B199 * N181, "")</f>
        <v>9183.6734693877552</v>
      </c>
      <c r="Q181" s="161"/>
      <c r="R181" s="161"/>
      <c r="S181" s="161"/>
    </row>
    <row r="182" spans="1:19" ht="17.25" thickBot="1">
      <c r="A182" s="109" t="s">
        <v>71</v>
      </c>
      <c r="B182" s="110">
        <v>12</v>
      </c>
      <c r="C182" s="70">
        <v>-8.2644628000000005E-3</v>
      </c>
      <c r="D182" s="15">
        <v>12.1</v>
      </c>
      <c r="E182" s="32">
        <f t="shared" si="94"/>
        <v>8.3333333333333037E-3</v>
      </c>
      <c r="F182" s="18">
        <f>IF(ISNUMBER(D182), $B199 * E182, "")</f>
        <v>1249.9999999999955</v>
      </c>
      <c r="G182" s="31">
        <v>12.1</v>
      </c>
      <c r="H182" s="32">
        <f t="shared" si="95"/>
        <v>8.3333333333333037E-3</v>
      </c>
      <c r="I182" s="91">
        <f>IF(ISNUMBER(G182), $B199 * H182, "")</f>
        <v>1249.9999999999955</v>
      </c>
      <c r="J182" s="15">
        <v>12.1</v>
      </c>
      <c r="K182" s="32">
        <f t="shared" si="96"/>
        <v>8.3333333333333037E-3</v>
      </c>
      <c r="L182" s="18">
        <f>IF(ISNUMBER(J182), $B199 * K182, "")</f>
        <v>1249.9999999999955</v>
      </c>
      <c r="M182" s="31">
        <v>12</v>
      </c>
      <c r="N182" s="32">
        <f t="shared" si="97"/>
        <v>0</v>
      </c>
      <c r="O182" s="18">
        <f>IF(ISNUMBER(M182), $B199 * N182, "")</f>
        <v>0</v>
      </c>
      <c r="Q182" s="161"/>
      <c r="R182" s="161"/>
      <c r="S182" s="161"/>
    </row>
    <row r="183" spans="1:19" ht="17.25" thickBot="1">
      <c r="A183" s="111" t="s">
        <v>107</v>
      </c>
      <c r="B183" s="112">
        <v>42.1</v>
      </c>
      <c r="C183" s="71">
        <v>-9.4117647000000002E-3</v>
      </c>
      <c r="D183" s="20">
        <v>41.7</v>
      </c>
      <c r="E183" s="21">
        <f t="shared" si="94"/>
        <v>-9.5011876484560227E-3</v>
      </c>
      <c r="F183" s="22">
        <f>IF(ISNUMBER(D183), $B199 * E183, "")</f>
        <v>-1425.1781472684033</v>
      </c>
      <c r="G183" s="30">
        <v>41.5</v>
      </c>
      <c r="H183" s="21">
        <f t="shared" si="95"/>
        <v>-1.4251781472684119E-2</v>
      </c>
      <c r="I183" s="95">
        <f>IF(ISNUMBER(G183), $B199 * H183, "")</f>
        <v>-2137.7672209026177</v>
      </c>
      <c r="J183" s="20">
        <v>41.5</v>
      </c>
      <c r="K183" s="21">
        <f t="shared" si="96"/>
        <v>-1.4251781472684119E-2</v>
      </c>
      <c r="L183" s="22">
        <f>IF(ISNUMBER(J183), $B199 * K183, "")</f>
        <v>-2137.7672209026177</v>
      </c>
      <c r="M183" s="30">
        <v>41.3</v>
      </c>
      <c r="N183" s="21">
        <f t="shared" si="97"/>
        <v>-1.9002375296912215E-2</v>
      </c>
      <c r="O183" s="22">
        <f>IF(ISNUMBER(M183), $B199 * N183, "")</f>
        <v>-2850.3562945368321</v>
      </c>
      <c r="Q183" s="161"/>
      <c r="R183" s="161"/>
      <c r="S183" s="161"/>
    </row>
    <row r="184" spans="1:19" ht="17.25" thickBot="1">
      <c r="A184" s="109" t="s">
        <v>242</v>
      </c>
      <c r="B184" s="113">
        <v>461</v>
      </c>
      <c r="C184" s="73">
        <v>-1.07296137E-2</v>
      </c>
      <c r="D184" s="96">
        <v>465</v>
      </c>
      <c r="E184" s="97">
        <f>IF(ISNUMBER(D184), (D184 - $B184) / $B184, "")</f>
        <v>8.6767895878524948E-3</v>
      </c>
      <c r="F184" s="98">
        <f>IF(ISNUMBER(D184), $B199 * E184, "")</f>
        <v>1301.5184381778743</v>
      </c>
      <c r="G184" s="99">
        <v>461</v>
      </c>
      <c r="H184" s="97">
        <f>IF(ISNUMBER(G184), (G184 - $B184) / $B184, "")</f>
        <v>0</v>
      </c>
      <c r="I184" s="100">
        <f>IF(ISNUMBER(G184), $B199 * H184, "")</f>
        <v>0</v>
      </c>
      <c r="J184" s="96">
        <v>461</v>
      </c>
      <c r="K184" s="97">
        <f>IF(ISNUMBER(J184), (J184 - $B184) / $B184, "")</f>
        <v>0</v>
      </c>
      <c r="L184" s="98">
        <f>IF(ISNUMBER(J184), $B199 * K184, "")</f>
        <v>0</v>
      </c>
      <c r="M184" s="99">
        <v>461</v>
      </c>
      <c r="N184" s="97">
        <f>IF(ISNUMBER(M184), (M184 - $B184) / $B184, "")</f>
        <v>0</v>
      </c>
      <c r="O184" s="98">
        <f>IF(ISNUMBER(M184), $B199 * N184, "")</f>
        <v>0</v>
      </c>
      <c r="Q184" s="161"/>
      <c r="R184" s="161"/>
      <c r="S184" s="161"/>
    </row>
    <row r="185" spans="1:19" ht="17.25" thickBot="1">
      <c r="A185" s="109" t="s">
        <v>342</v>
      </c>
      <c r="B185" s="110">
        <v>141</v>
      </c>
      <c r="C185" s="70">
        <v>-1.3986014E-2</v>
      </c>
      <c r="D185" s="15">
        <v>139</v>
      </c>
      <c r="E185" s="32">
        <f t="shared" ref="E185:E188" si="98">IF(ISNUMBER(D185), (D185 - $B185) / $B185, "")</f>
        <v>-1.4184397163120567E-2</v>
      </c>
      <c r="F185" s="18">
        <f>IF(ISNUMBER(D185), $B199 * E185, "")</f>
        <v>-2127.6595744680849</v>
      </c>
      <c r="G185" s="31">
        <v>139</v>
      </c>
      <c r="H185" s="32">
        <f t="shared" ref="H185:H188" si="99">IF(ISNUMBER(G185), (G185 - $B185) / $B185, "")</f>
        <v>-1.4184397163120567E-2</v>
      </c>
      <c r="I185" s="91">
        <f>IF(ISNUMBER(G185), $B199 * H185, "")</f>
        <v>-2127.6595744680849</v>
      </c>
      <c r="J185" s="15">
        <v>139</v>
      </c>
      <c r="K185" s="32">
        <f t="shared" ref="K185:K188" si="100">IF(ISNUMBER(J185), (J185 - $B185) / $B185, "")</f>
        <v>-1.4184397163120567E-2</v>
      </c>
      <c r="L185" s="18">
        <f>IF(ISNUMBER(J185), $B199 * K185, "")</f>
        <v>-2127.6595744680849</v>
      </c>
      <c r="M185" s="31">
        <v>138</v>
      </c>
      <c r="N185" s="32">
        <f t="shared" ref="N185:N188" si="101">IF(ISNUMBER(M185), (M185 - $B185) / $B185, "")</f>
        <v>-2.1276595744680851E-2</v>
      </c>
      <c r="O185" s="18">
        <f>IF(ISNUMBER(M185), $B199 * N185, "")</f>
        <v>-3191.4893617021276</v>
      </c>
      <c r="Q185" s="161"/>
      <c r="R185" s="161"/>
      <c r="S185" s="161"/>
    </row>
    <row r="186" spans="1:19" ht="17.25" thickBot="1">
      <c r="A186" s="109" t="s">
        <v>195</v>
      </c>
      <c r="B186" s="110">
        <v>6.88</v>
      </c>
      <c r="C186" s="70">
        <v>-1.4326647600000001E-2</v>
      </c>
      <c r="D186" s="15">
        <v>6.87</v>
      </c>
      <c r="E186" s="32">
        <f t="shared" si="98"/>
        <v>-1.4534883720929922E-3</v>
      </c>
      <c r="F186" s="18">
        <f>IF(ISNUMBER(D186), $B199 * E186, "")</f>
        <v>-218.02325581394882</v>
      </c>
      <c r="G186" s="31">
        <v>6.75</v>
      </c>
      <c r="H186" s="32">
        <f t="shared" si="99"/>
        <v>-1.8895348837209287E-2</v>
      </c>
      <c r="I186" s="91">
        <f>IF(ISNUMBER(G186), $B199 * H186, "")</f>
        <v>-2834.3023255813932</v>
      </c>
      <c r="J186" s="15">
        <v>6.75</v>
      </c>
      <c r="K186" s="32">
        <f t="shared" si="100"/>
        <v>-1.8895348837209287E-2</v>
      </c>
      <c r="L186" s="18">
        <f>IF(ISNUMBER(J186), $B199 * K186, "")</f>
        <v>-2834.3023255813932</v>
      </c>
      <c r="M186" s="31">
        <v>6.71</v>
      </c>
      <c r="N186" s="32">
        <f t="shared" si="101"/>
        <v>-2.4709302325581384E-2</v>
      </c>
      <c r="O186" s="18">
        <f>IF(ISNUMBER(M186), $B199 * N186, "")</f>
        <v>-3706.3953488372076</v>
      </c>
      <c r="Q186" s="161"/>
      <c r="R186" s="161"/>
      <c r="S186" s="161"/>
    </row>
    <row r="187" spans="1:19" ht="17.25" thickBot="1">
      <c r="A187" s="109" t="s">
        <v>200</v>
      </c>
      <c r="B187" s="110">
        <v>7.05</v>
      </c>
      <c r="C187" s="70">
        <v>-1.53631285E-2</v>
      </c>
      <c r="D187" s="15">
        <v>7.02</v>
      </c>
      <c r="E187" s="32">
        <f t="shared" si="98"/>
        <v>-4.2553191489362058E-3</v>
      </c>
      <c r="F187" s="18">
        <f>IF(ISNUMBER(D187), $B199 * E187, "")</f>
        <v>-638.2978723404309</v>
      </c>
      <c r="G187" s="31">
        <v>6.95</v>
      </c>
      <c r="H187" s="32">
        <f t="shared" si="99"/>
        <v>-1.4184397163120517E-2</v>
      </c>
      <c r="I187" s="91">
        <f>IF(ISNUMBER(G187), $B199 * H187, "")</f>
        <v>-2127.6595744680776</v>
      </c>
      <c r="J187" s="15">
        <v>6.95</v>
      </c>
      <c r="K187" s="32">
        <f t="shared" si="100"/>
        <v>-1.4184397163120517E-2</v>
      </c>
      <c r="L187" s="18">
        <f>IF(ISNUMBER(J187), $B199 * K187, "")</f>
        <v>-2127.6595744680776</v>
      </c>
      <c r="M187" s="31">
        <v>6.9</v>
      </c>
      <c r="N187" s="32">
        <f t="shared" si="101"/>
        <v>-2.1276595744680778E-2</v>
      </c>
      <c r="O187" s="18">
        <f>IF(ISNUMBER(M187), $B199 * N187, "")</f>
        <v>-3191.4893617021166</v>
      </c>
      <c r="Q187" s="33"/>
      <c r="R187" s="33"/>
    </row>
    <row r="188" spans="1:19" ht="17.25" thickBot="1">
      <c r="A188" s="114" t="s">
        <v>352</v>
      </c>
      <c r="B188" s="115">
        <v>264</v>
      </c>
      <c r="C188" s="72">
        <v>-1.8587360599999998E-2</v>
      </c>
      <c r="D188" s="24">
        <v>267</v>
      </c>
      <c r="E188" s="25">
        <f t="shared" si="98"/>
        <v>1.1363636363636364E-2</v>
      </c>
      <c r="F188" s="94">
        <f>IF(ISNUMBER(D188), $B199 * E188, "")</f>
        <v>1704.5454545454545</v>
      </c>
      <c r="G188" s="92">
        <v>264</v>
      </c>
      <c r="H188" s="25">
        <f t="shared" si="99"/>
        <v>0</v>
      </c>
      <c r="I188" s="93">
        <f>IF(ISNUMBER(G188), $B199 * H188, "")</f>
        <v>0</v>
      </c>
      <c r="J188" s="24">
        <v>264</v>
      </c>
      <c r="K188" s="25">
        <f t="shared" si="100"/>
        <v>0</v>
      </c>
      <c r="L188" s="94">
        <f>IF(ISNUMBER(J188), $B199 * K188, "")</f>
        <v>0</v>
      </c>
      <c r="M188" s="92">
        <v>264</v>
      </c>
      <c r="N188" s="25">
        <f t="shared" si="101"/>
        <v>0</v>
      </c>
      <c r="O188" s="94">
        <f>IF(ISNUMBER(M188), $B199 * N188, "")</f>
        <v>0</v>
      </c>
      <c r="Q188" s="170"/>
      <c r="R188" s="171"/>
      <c r="S188" s="172"/>
    </row>
    <row r="189" spans="1:19">
      <c r="A189" s="107" t="s">
        <v>206</v>
      </c>
      <c r="B189" s="108">
        <v>3.66</v>
      </c>
      <c r="C189" s="69">
        <v>-1.8766755999999999E-2</v>
      </c>
      <c r="D189" s="13">
        <v>3.58</v>
      </c>
      <c r="E189" s="14">
        <f>IF(ISNUMBER(D189), (D189 - $B189) / $B189, "")</f>
        <v>-2.1857923497267777E-2</v>
      </c>
      <c r="F189" s="16">
        <f>IF(ISNUMBER(D189), $B199 * E189, "")</f>
        <v>-3278.6885245901667</v>
      </c>
      <c r="G189" s="29">
        <v>3.57</v>
      </c>
      <c r="H189" s="14">
        <f>IF(ISNUMBER(G189), (G189 - $B189) / $B189, "")</f>
        <v>-2.4590163934426312E-2</v>
      </c>
      <c r="I189" s="90">
        <f>IF(ISNUMBER(G189), $B199 * H189, "")</f>
        <v>-3688.5245901639469</v>
      </c>
      <c r="J189" s="13">
        <v>3.57</v>
      </c>
      <c r="K189" s="14">
        <f>IF(ISNUMBER(J189), (J189 - $B189) / $B189, "")</f>
        <v>-2.4590163934426312E-2</v>
      </c>
      <c r="L189" s="16">
        <f>IF(ISNUMBER(J189), $B199 * K189, "")</f>
        <v>-3688.5245901639469</v>
      </c>
      <c r="M189" s="29">
        <v>3.55</v>
      </c>
      <c r="N189" s="14">
        <f>IF(ISNUMBER(M189), (M189 - $B189) / $B189, "")</f>
        <v>-3.0054644808743255E-2</v>
      </c>
      <c r="O189" s="16">
        <f>IF(ISNUMBER(M189), $B199 * N189, "")</f>
        <v>-4508.1967213114885</v>
      </c>
      <c r="Q189" s="173"/>
      <c r="R189" s="174"/>
      <c r="S189" s="175"/>
    </row>
    <row r="190" spans="1:19" ht="17.25" thickBot="1">
      <c r="A190" s="109" t="s">
        <v>151</v>
      </c>
      <c r="B190" s="110">
        <v>2740</v>
      </c>
      <c r="C190" s="70">
        <v>-2.4911032E-2</v>
      </c>
      <c r="D190" s="15">
        <v>2710</v>
      </c>
      <c r="E190" s="32">
        <f t="shared" ref="E190:E193" si="102">IF(ISNUMBER(D190), (D190 - $B190) / $B190, "")</f>
        <v>-1.0948905109489052E-2</v>
      </c>
      <c r="F190" s="18">
        <f>IF(ISNUMBER(D190), $B199 * E190, "")</f>
        <v>-1642.3357664233577</v>
      </c>
      <c r="G190" s="31">
        <v>2695</v>
      </c>
      <c r="H190" s="32">
        <f t="shared" ref="H190:H193" si="103">IF(ISNUMBER(G190), (G190 - $B190) / $B190, "")</f>
        <v>-1.6423357664233577E-2</v>
      </c>
      <c r="I190" s="91">
        <f>IF(ISNUMBER(G190), $B199 * H190, "")</f>
        <v>-2463.5036496350367</v>
      </c>
      <c r="J190" s="15">
        <v>2695</v>
      </c>
      <c r="K190" s="32">
        <f t="shared" ref="K190:K193" si="104">IF(ISNUMBER(J190), (J190 - $B190) / $B190, "")</f>
        <v>-1.6423357664233577E-2</v>
      </c>
      <c r="L190" s="18">
        <f>IF(ISNUMBER(J190), $B199 * K190, "")</f>
        <v>-2463.5036496350367</v>
      </c>
      <c r="M190" s="31">
        <v>2685</v>
      </c>
      <c r="N190" s="32">
        <f t="shared" ref="N190:N193" si="105">IF(ISNUMBER(M190), (M190 - $B190) / $B190, "")</f>
        <v>-2.0072992700729927E-2</v>
      </c>
      <c r="O190" s="18">
        <f>IF(ISNUMBER(M190), $B199 * N190, "")</f>
        <v>-3010.9489051094888</v>
      </c>
      <c r="Q190" s="176"/>
      <c r="R190" s="177"/>
      <c r="S190" s="178"/>
    </row>
    <row r="191" spans="1:19" ht="17.25" thickBot="1">
      <c r="A191" s="109" t="s">
        <v>68</v>
      </c>
      <c r="B191" s="110">
        <v>366</v>
      </c>
      <c r="C191" s="70">
        <v>-2.65957447E-2</v>
      </c>
      <c r="D191" s="15">
        <v>362</v>
      </c>
      <c r="E191" s="32">
        <f t="shared" si="102"/>
        <v>-1.092896174863388E-2</v>
      </c>
      <c r="F191" s="18">
        <f>IF(ISNUMBER(D191), $B199 * E191, "")</f>
        <v>-1639.344262295082</v>
      </c>
      <c r="G191" s="31">
        <v>363</v>
      </c>
      <c r="H191" s="32">
        <f t="shared" si="103"/>
        <v>-8.1967213114754103E-3</v>
      </c>
      <c r="I191" s="91">
        <f>IF(ISNUMBER(G191), $B199 * H191, "")</f>
        <v>-1229.5081967213116</v>
      </c>
      <c r="J191" s="15">
        <v>363</v>
      </c>
      <c r="K191" s="32">
        <f t="shared" si="104"/>
        <v>-8.1967213114754103E-3</v>
      </c>
      <c r="L191" s="18">
        <f>IF(ISNUMBER(J191), $B199 * K191, "")</f>
        <v>-1229.5081967213116</v>
      </c>
      <c r="M191" s="31">
        <v>361</v>
      </c>
      <c r="N191" s="32">
        <f t="shared" si="105"/>
        <v>-1.3661202185792349E-2</v>
      </c>
      <c r="O191" s="18">
        <f>IF(ISNUMBER(M191), $B199 * N191, "")</f>
        <v>-2049.1803278688526</v>
      </c>
      <c r="Q191" s="161"/>
      <c r="R191" s="161"/>
      <c r="S191" s="161"/>
    </row>
    <row r="192" spans="1:19" ht="17.25" thickBot="1">
      <c r="A192" s="109" t="s">
        <v>350</v>
      </c>
      <c r="B192" s="110">
        <v>7.93</v>
      </c>
      <c r="C192" s="70">
        <v>-3.1746031700000003E-2</v>
      </c>
      <c r="D192" s="15">
        <v>7.79</v>
      </c>
      <c r="E192" s="32">
        <f t="shared" si="102"/>
        <v>-1.7654476670870074E-2</v>
      </c>
      <c r="F192" s="18">
        <f>IF(ISNUMBER(D192), $B199 * E192, "")</f>
        <v>-2648.1715006305112</v>
      </c>
      <c r="G192" s="31">
        <v>7.74</v>
      </c>
      <c r="H192" s="32">
        <f t="shared" si="103"/>
        <v>-2.3959646910466519E-2</v>
      </c>
      <c r="I192" s="91">
        <f>IF(ISNUMBER(G192), $B199 * H192, "")</f>
        <v>-3593.9470365699781</v>
      </c>
      <c r="J192" s="15">
        <v>7.74</v>
      </c>
      <c r="K192" s="32">
        <f t="shared" si="104"/>
        <v>-2.3959646910466519E-2</v>
      </c>
      <c r="L192" s="18">
        <f>IF(ISNUMBER(J192), $B199 * K192, "")</f>
        <v>-3593.9470365699781</v>
      </c>
      <c r="M192" s="31">
        <v>7.73</v>
      </c>
      <c r="N192" s="32">
        <f t="shared" si="105"/>
        <v>-2.5220680958385786E-2</v>
      </c>
      <c r="O192" s="18">
        <f>IF(ISNUMBER(M192), $B199 * N192, "")</f>
        <v>-3783.1021437578679</v>
      </c>
      <c r="Q192" s="156"/>
      <c r="R192" s="156"/>
      <c r="S192" s="156"/>
    </row>
    <row r="193" spans="1:19" ht="17.25" thickBot="1">
      <c r="A193" s="111" t="s">
        <v>236</v>
      </c>
      <c r="B193" s="112">
        <v>2940</v>
      </c>
      <c r="C193" s="71">
        <v>-3.4482758600000003E-2</v>
      </c>
      <c r="D193" s="20">
        <v>2930</v>
      </c>
      <c r="E193" s="21">
        <f t="shared" si="102"/>
        <v>-3.4013605442176869E-3</v>
      </c>
      <c r="F193" s="22">
        <f>IF(ISNUMBER(D193), $B199 * E193, "")</f>
        <v>-510.20408163265301</v>
      </c>
      <c r="G193" s="30">
        <v>2935</v>
      </c>
      <c r="H193" s="21">
        <f t="shared" si="103"/>
        <v>-1.7006802721088435E-3</v>
      </c>
      <c r="I193" s="95">
        <f>IF(ISNUMBER(G193), $B199 * H193, "")</f>
        <v>-255.10204081632651</v>
      </c>
      <c r="J193" s="20">
        <v>2935</v>
      </c>
      <c r="K193" s="21">
        <f t="shared" si="104"/>
        <v>-1.7006802721088435E-3</v>
      </c>
      <c r="L193" s="22">
        <f>IF(ISNUMBER(J193), $B199 * K193, "")</f>
        <v>-255.10204081632651</v>
      </c>
      <c r="M193" s="30">
        <v>2940</v>
      </c>
      <c r="N193" s="21">
        <f t="shared" si="105"/>
        <v>0</v>
      </c>
      <c r="O193" s="22">
        <f>IF(ISNUMBER(M193), $B199 * N193, "")</f>
        <v>0</v>
      </c>
      <c r="Q193" s="156"/>
      <c r="R193" s="156"/>
      <c r="S193" s="156"/>
    </row>
    <row r="194" spans="1:19" ht="17.25" thickBot="1">
      <c r="A194" s="109" t="s">
        <v>143</v>
      </c>
      <c r="B194" s="113">
        <v>4.4400000000000004</v>
      </c>
      <c r="C194" s="73">
        <v>-4.7210300400000002E-2</v>
      </c>
      <c r="D194" s="96">
        <v>4.3499999999999996</v>
      </c>
      <c r="E194" s="97">
        <f>IF(ISNUMBER(D194), (D194 - $B194) / $B194, "")</f>
        <v>-2.0270270270270438E-2</v>
      </c>
      <c r="F194" s="98">
        <f>IF(ISNUMBER(D194), $B199 * E194, "")</f>
        <v>-3040.5405405405659</v>
      </c>
      <c r="G194" s="99">
        <v>4.34</v>
      </c>
      <c r="H194" s="97">
        <f>IF(ISNUMBER(G194), (G194 - $B194) / $B194, "")</f>
        <v>-2.2522522522522639E-2</v>
      </c>
      <c r="I194" s="100">
        <f>IF(ISNUMBER(G194), $B199 * H194, "")</f>
        <v>-3378.3783783783961</v>
      </c>
      <c r="J194" s="96">
        <v>4.34</v>
      </c>
      <c r="K194" s="97">
        <f>IF(ISNUMBER(J194), (J194 - $B194) / $B194, "")</f>
        <v>-2.2522522522522639E-2</v>
      </c>
      <c r="L194" s="98">
        <f>IF(ISNUMBER(J194), $B199 * K194, "")</f>
        <v>-3378.3783783783961</v>
      </c>
      <c r="M194" s="99">
        <v>4.32</v>
      </c>
      <c r="N194" s="97">
        <f>IF(ISNUMBER(M194), (M194 - $B194) / $B194, "")</f>
        <v>-2.7027027027027049E-2</v>
      </c>
      <c r="O194" s="98">
        <f>IF(ISNUMBER(M194), $B199 * N194, "")</f>
        <v>-4054.0540540540574</v>
      </c>
      <c r="Q194" s="161"/>
      <c r="R194" s="161"/>
      <c r="S194" s="161"/>
    </row>
    <row r="195" spans="1:19" ht="17.25" thickBot="1">
      <c r="A195" s="109" t="s">
        <v>326</v>
      </c>
      <c r="B195" s="110">
        <v>25.1</v>
      </c>
      <c r="C195" s="70">
        <v>-5.99250936E-2</v>
      </c>
      <c r="D195" s="15">
        <v>24.7</v>
      </c>
      <c r="E195" s="32">
        <f t="shared" ref="E195:E198" si="106">IF(ISNUMBER(D195), (D195 - $B195) / $B195, "")</f>
        <v>-1.5936254980079764E-2</v>
      </c>
      <c r="F195" s="18">
        <f>IF(ISNUMBER(D195), $B199 * E195, "")</f>
        <v>-2390.4382470119644</v>
      </c>
      <c r="G195" s="31">
        <v>24.6</v>
      </c>
      <c r="H195" s="32">
        <f t="shared" ref="H195:H198" si="107">IF(ISNUMBER(G195), (G195 - $B195) / $B195, "")</f>
        <v>-1.9920318725099601E-2</v>
      </c>
      <c r="I195" s="91">
        <f>IF(ISNUMBER(G195), $B199 * H195, "")</f>
        <v>-2988.0478087649403</v>
      </c>
      <c r="J195" s="15">
        <v>24.6</v>
      </c>
      <c r="K195" s="32">
        <f t="shared" ref="K195:K198" si="108">IF(ISNUMBER(J195), (J195 - $B195) / $B195, "")</f>
        <v>-1.9920318725099601E-2</v>
      </c>
      <c r="L195" s="18">
        <f>IF(ISNUMBER(J195), $B199 * K195, "")</f>
        <v>-2988.0478087649403</v>
      </c>
      <c r="M195" s="31">
        <v>24.3</v>
      </c>
      <c r="N195" s="32">
        <f t="shared" ref="N195:N198" si="109">IF(ISNUMBER(M195), (M195 - $B195) / $B195, "")</f>
        <v>-3.187250996015939E-2</v>
      </c>
      <c r="O195" s="18">
        <f>IF(ISNUMBER(M195), $B199 * N195, "")</f>
        <v>-4780.8764940239089</v>
      </c>
      <c r="Q195" s="161"/>
      <c r="R195" s="161"/>
      <c r="S195" s="161"/>
    </row>
    <row r="196" spans="1:19" ht="17.25" thickBot="1">
      <c r="A196" s="109" t="s">
        <v>198</v>
      </c>
      <c r="B196" s="110">
        <v>9.2200000000000006</v>
      </c>
      <c r="C196" s="70">
        <v>-6.2054933899999998E-2</v>
      </c>
      <c r="D196" s="15">
        <v>9.1999999999999993</v>
      </c>
      <c r="E196" s="32">
        <f t="shared" si="106"/>
        <v>-2.1691973969632699E-3</v>
      </c>
      <c r="F196" s="18">
        <f>IF(ISNUMBER(D196), $B199 * E196, "")</f>
        <v>-325.37960954449051</v>
      </c>
      <c r="G196" s="31">
        <v>8.84</v>
      </c>
      <c r="H196" s="32">
        <f t="shared" si="107"/>
        <v>-4.1214750542299429E-2</v>
      </c>
      <c r="I196" s="91">
        <f>IF(ISNUMBER(G196), $B199 * H196, "")</f>
        <v>-6182.2125813449147</v>
      </c>
      <c r="J196" s="15">
        <v>8.84</v>
      </c>
      <c r="K196" s="32">
        <f t="shared" si="108"/>
        <v>-4.1214750542299429E-2</v>
      </c>
      <c r="L196" s="18">
        <f>IF(ISNUMBER(J196), $B199 * K196, "")</f>
        <v>-6182.2125813449147</v>
      </c>
      <c r="M196" s="31">
        <v>8.85</v>
      </c>
      <c r="N196" s="32">
        <f t="shared" si="109"/>
        <v>-4.0130151843817893E-2</v>
      </c>
      <c r="O196" s="18">
        <f>IF(ISNUMBER(M196), $B199 * N196, "")</f>
        <v>-6019.5227765726841</v>
      </c>
      <c r="Q196" s="161"/>
      <c r="R196" s="161"/>
      <c r="S196" s="161"/>
    </row>
    <row r="197" spans="1:19">
      <c r="A197" s="109" t="s">
        <v>181</v>
      </c>
      <c r="B197" s="110">
        <v>5.42</v>
      </c>
      <c r="C197" s="70">
        <v>-7.9796264899999997E-2</v>
      </c>
      <c r="D197" s="15">
        <v>5.19</v>
      </c>
      <c r="E197" s="32">
        <f t="shared" si="106"/>
        <v>-4.243542435424346E-2</v>
      </c>
      <c r="F197" s="18">
        <f>IF(ISNUMBER(D197), $B199 * E197, "")</f>
        <v>-6365.313653136519</v>
      </c>
      <c r="G197" s="31">
        <v>5.08</v>
      </c>
      <c r="H197" s="32">
        <f t="shared" si="107"/>
        <v>-6.2730627306273032E-2</v>
      </c>
      <c r="I197" s="91">
        <f>IF(ISNUMBER(G197), $B199 * H197, "")</f>
        <v>-9409.5940959409545</v>
      </c>
      <c r="J197" s="15">
        <v>5.08</v>
      </c>
      <c r="K197" s="32">
        <f t="shared" si="108"/>
        <v>-6.2730627306273032E-2</v>
      </c>
      <c r="L197" s="18">
        <f>IF(ISNUMBER(J197), $B199 * K197, "")</f>
        <v>-9409.5940959409545</v>
      </c>
      <c r="M197" s="31">
        <v>5.03</v>
      </c>
      <c r="N197" s="32">
        <f t="shared" si="109"/>
        <v>-7.1955719557195513E-2</v>
      </c>
      <c r="O197" s="18">
        <f>IF(ISNUMBER(M197), $B199 * N197, "")</f>
        <v>-10793.357933579327</v>
      </c>
      <c r="Q197" s="183"/>
      <c r="R197" s="184"/>
      <c r="S197" s="185"/>
    </row>
    <row r="198" spans="1:19" ht="17.25" thickBot="1">
      <c r="A198" s="114" t="s">
        <v>113</v>
      </c>
      <c r="B198" s="115">
        <v>1470</v>
      </c>
      <c r="C198" s="72">
        <v>-9.2592592599999995E-2</v>
      </c>
      <c r="D198" s="24">
        <v>1505</v>
      </c>
      <c r="E198" s="25">
        <f t="shared" si="106"/>
        <v>2.3809523809523808E-2</v>
      </c>
      <c r="F198" s="94">
        <f>IF(ISNUMBER(D198), $B199 * E198, "")</f>
        <v>3571.4285714285711</v>
      </c>
      <c r="G198" s="92">
        <v>1495</v>
      </c>
      <c r="H198" s="25">
        <f t="shared" si="107"/>
        <v>1.7006802721088437E-2</v>
      </c>
      <c r="I198" s="93">
        <f>IF(ISNUMBER(G198), $B199 * H198, "")</f>
        <v>2551.0204081632655</v>
      </c>
      <c r="J198" s="24">
        <v>1495</v>
      </c>
      <c r="K198" s="25">
        <f t="shared" si="108"/>
        <v>1.7006802721088437E-2</v>
      </c>
      <c r="L198" s="94">
        <f>IF(ISNUMBER(J198), $B199 * K198, "")</f>
        <v>2551.0204081632655</v>
      </c>
      <c r="M198" s="92">
        <v>1445</v>
      </c>
      <c r="N198" s="25">
        <f t="shared" si="109"/>
        <v>-1.7006802721088437E-2</v>
      </c>
      <c r="O198" s="94">
        <f>IF(ISNUMBER(M198), $B199 * N198, "")</f>
        <v>-2551.0204081632655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-3.7497698451761678E-3</v>
      </c>
      <c r="F199" s="28">
        <f>SUM(F179:F198)</f>
        <v>-11249.309535528506</v>
      </c>
      <c r="G199" s="26" t="s">
        <v>261</v>
      </c>
      <c r="H199" s="27">
        <f>IF(COUNT(H179:H198), SUM(H179:H198) / COUNT(H179:H198), 0)</f>
        <v>-1.029463095061384E-2</v>
      </c>
      <c r="I199" s="28">
        <f>SUM(I179:I198)</f>
        <v>-30883.892851841523</v>
      </c>
      <c r="J199" s="26" t="s">
        <v>261</v>
      </c>
      <c r="K199" s="27">
        <f>IF(COUNT(K179:K198), SUM(K179:K198) / COUNT(K179:K198), 0)</f>
        <v>-1.029463095061384E-2</v>
      </c>
      <c r="L199" s="28">
        <f>SUM(L179:L198)</f>
        <v>-30883.892851841523</v>
      </c>
      <c r="M199" s="26" t="s">
        <v>261</v>
      </c>
      <c r="N199" s="27">
        <f>IF(COUNT(N179:N198), SUM(N179:N198) / COUNT(N179:N198), 0)</f>
        <v>-1.5691125759814968E-2</v>
      </c>
      <c r="O199" s="28">
        <f>SUM(O179:O198)</f>
        <v>-47073.377279444889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3810E-1E85-4BC6-9409-3C7E81A26153}">
  <sheetPr codeName="Sheet18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44907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-121,292 KRW (-4.04%)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-97,674 KRW (-3.26%)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-147,449 KRW (-4.91%)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-121,304 KRW (-4.04%)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2022-12-12(월) 오전 00:00</v>
      </c>
      <c r="C15" s="202"/>
      <c r="D15" s="158" t="str">
        <f>TEXT($G$1, "[$-ko-KR]yyyy-mm-dd(ddd) ") &amp; "오후 14:00"</f>
        <v>2022-12-12(월) 오후 14:00</v>
      </c>
      <c r="E15" s="159"/>
      <c r="F15" s="160"/>
      <c r="G15" s="158" t="str">
        <f>TEXT($G$1, "[$-ko-KR]yyyy-mm-dd(ddd) ") &amp; "오후 19:00"</f>
        <v>2022-12-12(월) 오후 19:00</v>
      </c>
      <c r="H15" s="159"/>
      <c r="I15" s="160"/>
      <c r="J15" s="158" t="str">
        <f>TEXT($G$1, "[$-ko-KR]yyyy-mm-dd(ddd) ") &amp; "오후 21:00"</f>
        <v>2022-12-12(월) 오후 21:00</v>
      </c>
      <c r="K15" s="159"/>
      <c r="L15" s="160"/>
      <c r="M15" s="158" t="str">
        <f>TEXT($G$1+1, "[$-ko-KR]yyyy-mm-dd(ddd) ") &amp; "오전 00:00"</f>
        <v>2022-12-13(화)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2022-12-12(월) 오전 00:00</v>
      </c>
      <c r="C42" s="199"/>
      <c r="D42" s="158" t="str">
        <f>TEXT($G$1, "[$-ko-KR]yyyy-mm-dd(ddd) ") &amp; "오후 14:00"</f>
        <v>2022-12-12(월) 오후 14:00</v>
      </c>
      <c r="E42" s="159"/>
      <c r="F42" s="160"/>
      <c r="G42" s="158" t="str">
        <f>TEXT($G$1, "[$-ko-KR]yyyy-mm-dd(ddd) ") &amp; "오후 19:00"</f>
        <v>2022-12-12(월) 오후 19:00</v>
      </c>
      <c r="H42" s="159"/>
      <c r="I42" s="160"/>
      <c r="J42" s="158" t="str">
        <f>TEXT($G$1, "[$-ko-KR]yyyy-mm-dd(ddd) ") &amp; "오후 21:00"</f>
        <v>2022-12-12(월) 오후 21:00</v>
      </c>
      <c r="K42" s="159"/>
      <c r="L42" s="160"/>
      <c r="M42" s="158" t="str">
        <f>TEXT($G$1+1, "[$-ko-KR]yyyy-mm-dd(ddd) ") &amp; "오전 00:00"</f>
        <v>2022-12-13(화)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122</v>
      </c>
      <c r="B44" s="108">
        <v>25.8</v>
      </c>
      <c r="C44" s="69">
        <v>1.17647059E-2</v>
      </c>
      <c r="D44" s="13">
        <v>24.7</v>
      </c>
      <c r="E44" s="14">
        <f>IF(ISNUMBER(D44), (D44 - $B44) / $B44, "")</f>
        <v>-4.2635658914728737E-2</v>
      </c>
      <c r="F44" s="16">
        <f>IF(ISNUMBER(D44), $B64 * E44, "")</f>
        <v>-6395.3488372093107</v>
      </c>
      <c r="G44" s="29">
        <v>24.7</v>
      </c>
      <c r="H44" s="14">
        <f>IF(ISNUMBER(G44), (G44 - $B44) / $B44, "")</f>
        <v>-4.2635658914728737E-2</v>
      </c>
      <c r="I44" s="90">
        <f>IF(ISNUMBER(G44), $B64 * H44, "")</f>
        <v>-6395.3488372093107</v>
      </c>
      <c r="J44" s="13">
        <v>24.7</v>
      </c>
      <c r="K44" s="14">
        <f>IF(ISNUMBER(J44), (J44 - $B44) / $B44, "")</f>
        <v>-4.2635658914728737E-2</v>
      </c>
      <c r="L44" s="16">
        <f>IF(ISNUMBER(J44), $B64 * K44, "")</f>
        <v>-6395.3488372093107</v>
      </c>
      <c r="M44" s="29">
        <v>24.8</v>
      </c>
      <c r="N44" s="14">
        <f>IF(ISNUMBER(M44), (M44 - $B44) / $B44, "")</f>
        <v>-3.875968992248062E-2</v>
      </c>
      <c r="O44" s="16">
        <f>IF(ISNUMBER(M44), $B64 * N44, "")</f>
        <v>-5813.9534883720926</v>
      </c>
      <c r="Q44" s="156"/>
      <c r="R44" s="156"/>
      <c r="S44" s="156"/>
    </row>
    <row r="45" spans="1:19" ht="17.25" customHeight="1" thickBot="1">
      <c r="A45" s="109" t="s">
        <v>97</v>
      </c>
      <c r="B45" s="110">
        <v>8.9999999999999998E-4</v>
      </c>
      <c r="C45" s="70">
        <v>0</v>
      </c>
      <c r="D45" s="15">
        <v>8.9999999999999998E-4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8.9999999999999998E-4</v>
      </c>
      <c r="H45" s="32">
        <f t="shared" ref="H45:H48" si="15">IF(ISNUMBER(G45), (G45 - $B45) / $B45, "")</f>
        <v>0</v>
      </c>
      <c r="I45" s="91">
        <f>IF(ISNUMBER(G45), $B64 * H45, "")</f>
        <v>0</v>
      </c>
      <c r="J45" s="15">
        <v>8.9999999999999998E-4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8.0000000000000004E-4</v>
      </c>
      <c r="N45" s="32">
        <f t="shared" ref="N45:N48" si="17">IF(ISNUMBER(M45), (M45 - $B45) / $B45, "")</f>
        <v>-0.11111111111111105</v>
      </c>
      <c r="O45" s="18">
        <f>IF(ISNUMBER(M45), $B64 * N45, "")</f>
        <v>-16666.666666666657</v>
      </c>
      <c r="Q45" s="156"/>
      <c r="R45" s="156"/>
      <c r="S45" s="156"/>
    </row>
    <row r="46" spans="1:19" ht="17.25" customHeight="1" thickBot="1">
      <c r="A46" s="109" t="s">
        <v>333</v>
      </c>
      <c r="B46" s="110">
        <v>64.400000000000006</v>
      </c>
      <c r="C46" s="70">
        <v>-1.5503876000000001E-3</v>
      </c>
      <c r="D46" s="15">
        <v>62.3</v>
      </c>
      <c r="E46" s="32">
        <f t="shared" si="14"/>
        <v>-3.2608695652174044E-2</v>
      </c>
      <c r="F46" s="18">
        <f>IF(ISNUMBER(D46), $B64 * E46, "")</f>
        <v>-4891.304347826107</v>
      </c>
      <c r="G46" s="31">
        <v>62.3</v>
      </c>
      <c r="H46" s="32">
        <f t="shared" si="15"/>
        <v>-3.2608695652174044E-2</v>
      </c>
      <c r="I46" s="91">
        <f>IF(ISNUMBER(G46), $B64 * H46, "")</f>
        <v>-4891.304347826107</v>
      </c>
      <c r="J46" s="15">
        <v>62.3</v>
      </c>
      <c r="K46" s="32">
        <f t="shared" si="16"/>
        <v>-3.2608695652174044E-2</v>
      </c>
      <c r="L46" s="18">
        <f>IF(ISNUMBER(J46), $B64 * K46, "")</f>
        <v>-4891.304347826107</v>
      </c>
      <c r="M46" s="31">
        <v>62.2</v>
      </c>
      <c r="N46" s="32">
        <f t="shared" si="17"/>
        <v>-3.4161490683229857E-2</v>
      </c>
      <c r="O46" s="18">
        <f>IF(ISNUMBER(M46), $B64 * N46, "")</f>
        <v>-5124.2236024844788</v>
      </c>
      <c r="Q46" s="161"/>
      <c r="R46" s="161"/>
      <c r="S46" s="161"/>
    </row>
    <row r="47" spans="1:19" ht="17.25" customHeight="1" thickBot="1">
      <c r="A47" s="109" t="s">
        <v>335</v>
      </c>
      <c r="B47" s="110">
        <v>3.9100000000000003E-2</v>
      </c>
      <c r="C47" s="70">
        <v>-5.0890585000000002E-3</v>
      </c>
      <c r="D47" s="15">
        <v>3.7999999999999999E-2</v>
      </c>
      <c r="E47" s="32">
        <f t="shared" si="14"/>
        <v>-2.8132992327365824E-2</v>
      </c>
      <c r="F47" s="18">
        <f>IF(ISNUMBER(D47), $B64 * E47, "")</f>
        <v>-4219.9488491048733</v>
      </c>
      <c r="G47" s="31">
        <v>3.7999999999999999E-2</v>
      </c>
      <c r="H47" s="32">
        <f t="shared" si="15"/>
        <v>-2.8132992327365824E-2</v>
      </c>
      <c r="I47" s="91">
        <f>IF(ISNUMBER(G47), $B64 * H47, "")</f>
        <v>-4219.9488491048733</v>
      </c>
      <c r="J47" s="15">
        <v>3.7999999999999999E-2</v>
      </c>
      <c r="K47" s="32">
        <f t="shared" si="16"/>
        <v>-2.8132992327365824E-2</v>
      </c>
      <c r="L47" s="18">
        <f>IF(ISNUMBER(J47), $B64 * K47, "")</f>
        <v>-4219.9488491048733</v>
      </c>
      <c r="M47" s="31">
        <v>3.7699999999999997E-2</v>
      </c>
      <c r="N47" s="32">
        <f t="shared" si="17"/>
        <v>-3.5805626598465611E-2</v>
      </c>
      <c r="O47" s="18">
        <f>IF(ISNUMBER(M47), $B64 * N47, "")</f>
        <v>-5370.8439897698418</v>
      </c>
      <c r="Q47" s="161"/>
      <c r="R47" s="161"/>
      <c r="S47" s="161"/>
    </row>
    <row r="48" spans="1:19" ht="17.25" customHeight="1" thickBot="1">
      <c r="A48" s="111" t="s">
        <v>64</v>
      </c>
      <c r="B48" s="112">
        <v>11.4</v>
      </c>
      <c r="C48" s="71">
        <v>-8.6956522000000008E-3</v>
      </c>
      <c r="D48" s="20">
        <v>10.8</v>
      </c>
      <c r="E48" s="21">
        <f t="shared" si="14"/>
        <v>-5.263157894736839E-2</v>
      </c>
      <c r="F48" s="22">
        <f>IF(ISNUMBER(D48), $B64 * E48, "")</f>
        <v>-7894.7368421052588</v>
      </c>
      <c r="G48" s="30">
        <v>10.8</v>
      </c>
      <c r="H48" s="21">
        <f t="shared" si="15"/>
        <v>-5.263157894736839E-2</v>
      </c>
      <c r="I48" s="95">
        <f>IF(ISNUMBER(G48), $B64 * H48, "")</f>
        <v>-7894.7368421052588</v>
      </c>
      <c r="J48" s="20">
        <v>10.8</v>
      </c>
      <c r="K48" s="21">
        <f t="shared" si="16"/>
        <v>-5.263157894736839E-2</v>
      </c>
      <c r="L48" s="22">
        <f>IF(ISNUMBER(J48), $B64 * K48, "")</f>
        <v>-7894.7368421052588</v>
      </c>
      <c r="M48" s="30">
        <v>10.9</v>
      </c>
      <c r="N48" s="21">
        <f t="shared" si="17"/>
        <v>-4.3859649122807015E-2</v>
      </c>
      <c r="O48" s="22">
        <f>IF(ISNUMBER(M48), $B64 * N48, "")</f>
        <v>-6578.9473684210525</v>
      </c>
      <c r="Q48" s="161"/>
      <c r="R48" s="161"/>
      <c r="S48" s="161"/>
    </row>
    <row r="49" spans="1:19" ht="17.25" customHeight="1" thickBot="1">
      <c r="A49" s="109" t="s">
        <v>56</v>
      </c>
      <c r="B49" s="113">
        <v>43.9</v>
      </c>
      <c r="C49" s="73">
        <v>-9.0293453999999995E-3</v>
      </c>
      <c r="D49" s="96">
        <v>44.4</v>
      </c>
      <c r="E49" s="97">
        <f>IF(ISNUMBER(D49), (D49 - $B49) / $B49, "")</f>
        <v>1.1389521640091117E-2</v>
      </c>
      <c r="F49" s="98">
        <f>IF(ISNUMBER(D49), $B64 * E49, "")</f>
        <v>1708.4282460136676</v>
      </c>
      <c r="G49" s="99">
        <v>44.4</v>
      </c>
      <c r="H49" s="97">
        <f>IF(ISNUMBER(G49), (G49 - $B49) / $B49, "")</f>
        <v>1.1389521640091117E-2</v>
      </c>
      <c r="I49" s="100">
        <f>IF(ISNUMBER(G49), $B64 * H49, "")</f>
        <v>1708.4282460136676</v>
      </c>
      <c r="J49" s="96">
        <v>44.4</v>
      </c>
      <c r="K49" s="97">
        <f>IF(ISNUMBER(J49), (J49 - $B49) / $B49, "")</f>
        <v>1.1389521640091117E-2</v>
      </c>
      <c r="L49" s="98">
        <f>IF(ISNUMBER(J49), $B64 * K49, "")</f>
        <v>1708.4282460136676</v>
      </c>
      <c r="M49" s="99">
        <v>45.2</v>
      </c>
      <c r="N49" s="97">
        <f>IF(ISNUMBER(M49), (M49 - $B49) / $B49, "")</f>
        <v>2.9612756264237001E-2</v>
      </c>
      <c r="O49" s="98">
        <f>IF(ISNUMBER(M49), $B64 * N49, "")</f>
        <v>4441.9134396355503</v>
      </c>
      <c r="Q49" s="161"/>
      <c r="R49" s="161"/>
      <c r="S49" s="161"/>
    </row>
    <row r="50" spans="1:19" ht="17.25" customHeight="1" thickBot="1">
      <c r="A50" s="109" t="s">
        <v>138</v>
      </c>
      <c r="B50" s="110">
        <v>28.4</v>
      </c>
      <c r="C50" s="70">
        <v>-1.0452961699999999E-2</v>
      </c>
      <c r="D50" s="15">
        <v>27</v>
      </c>
      <c r="E50" s="32">
        <f t="shared" ref="E50:E53" si="18">IF(ISNUMBER(D50), (D50 - $B50) / $B50, "")</f>
        <v>-4.9295774647887279E-2</v>
      </c>
      <c r="F50" s="18">
        <f>IF(ISNUMBER(D50), $B64 * E50, "")</f>
        <v>-7394.3661971830916</v>
      </c>
      <c r="G50" s="31">
        <v>27</v>
      </c>
      <c r="H50" s="32">
        <f t="shared" ref="H50:H53" si="19">IF(ISNUMBER(G50), (G50 - $B50) / $B50, "")</f>
        <v>-4.9295774647887279E-2</v>
      </c>
      <c r="I50" s="91">
        <f>IF(ISNUMBER(G50), $B64 * H50, "")</f>
        <v>-7394.3661971830916</v>
      </c>
      <c r="J50" s="15">
        <v>27</v>
      </c>
      <c r="K50" s="32">
        <f t="shared" ref="K50:K53" si="20">IF(ISNUMBER(J50), (J50 - $B50) / $B50, "")</f>
        <v>-4.9295774647887279E-2</v>
      </c>
      <c r="L50" s="18">
        <f>IF(ISNUMBER(J50), $B64 * K50, "")</f>
        <v>-7394.3661971830916</v>
      </c>
      <c r="M50" s="31">
        <v>27.1</v>
      </c>
      <c r="N50" s="32">
        <f t="shared" ref="N50:N53" si="21">IF(ISNUMBER(M50), (M50 - $B50) / $B50, "")</f>
        <v>-4.5774647887323848E-2</v>
      </c>
      <c r="O50" s="18">
        <f>IF(ISNUMBER(M50), $B64 * N50, "")</f>
        <v>-6866.1971830985776</v>
      </c>
      <c r="Q50" s="161"/>
      <c r="R50" s="161"/>
      <c r="S50" s="161"/>
    </row>
    <row r="51" spans="1:19" ht="17.25" customHeight="1" thickBot="1">
      <c r="A51" s="109" t="s">
        <v>145</v>
      </c>
      <c r="B51" s="110">
        <v>72</v>
      </c>
      <c r="C51" s="70">
        <v>-1.3698630099999999E-2</v>
      </c>
      <c r="D51" s="15">
        <v>69.5</v>
      </c>
      <c r="E51" s="32">
        <f t="shared" si="18"/>
        <v>-3.4722222222222224E-2</v>
      </c>
      <c r="F51" s="18">
        <f>IF(ISNUMBER(D51), $B64 * E51, "")</f>
        <v>-5208.3333333333339</v>
      </c>
      <c r="G51" s="31">
        <v>69.5</v>
      </c>
      <c r="H51" s="32">
        <f t="shared" si="19"/>
        <v>-3.4722222222222224E-2</v>
      </c>
      <c r="I51" s="91">
        <f>IF(ISNUMBER(G51), $B64 * H51, "")</f>
        <v>-5208.3333333333339</v>
      </c>
      <c r="J51" s="15">
        <v>69.5</v>
      </c>
      <c r="K51" s="32">
        <f t="shared" si="20"/>
        <v>-3.4722222222222224E-2</v>
      </c>
      <c r="L51" s="18">
        <f>IF(ISNUMBER(J51), $B64 * K51, "")</f>
        <v>-5208.3333333333339</v>
      </c>
      <c r="M51" s="31">
        <v>70</v>
      </c>
      <c r="N51" s="32">
        <f t="shared" si="21"/>
        <v>-2.7777777777777776E-2</v>
      </c>
      <c r="O51" s="18">
        <f>IF(ISNUMBER(M51), $B64 * N51, "")</f>
        <v>-4166.6666666666661</v>
      </c>
      <c r="Q51" s="161"/>
      <c r="R51" s="161"/>
      <c r="S51" s="161"/>
    </row>
    <row r="52" spans="1:19" ht="17.25" customHeight="1" thickBot="1">
      <c r="A52" s="109" t="s">
        <v>193</v>
      </c>
      <c r="B52" s="110">
        <v>19.899999999999999</v>
      </c>
      <c r="C52" s="70">
        <v>-1.4851485100000001E-2</v>
      </c>
      <c r="D52" s="15">
        <v>19</v>
      </c>
      <c r="E52" s="32">
        <f t="shared" si="18"/>
        <v>-4.5226130653266264E-2</v>
      </c>
      <c r="F52" s="18">
        <f>IF(ISNUMBER(D52), $B64 * E52, "")</f>
        <v>-6783.9195979899396</v>
      </c>
      <c r="G52" s="31">
        <v>19</v>
      </c>
      <c r="H52" s="32">
        <f t="shared" si="19"/>
        <v>-4.5226130653266264E-2</v>
      </c>
      <c r="I52" s="91">
        <f>IF(ISNUMBER(G52), $B64 * H52, "")</f>
        <v>-6783.9195979899396</v>
      </c>
      <c r="J52" s="15">
        <v>19</v>
      </c>
      <c r="K52" s="32">
        <f t="shared" si="20"/>
        <v>-4.5226130653266264E-2</v>
      </c>
      <c r="L52" s="18">
        <f>IF(ISNUMBER(J52), $B64 * K52, "")</f>
        <v>-6783.9195979899396</v>
      </c>
      <c r="M52" s="31">
        <v>19.100000000000001</v>
      </c>
      <c r="N52" s="32">
        <f t="shared" si="21"/>
        <v>-4.020100502512549E-2</v>
      </c>
      <c r="O52" s="18">
        <f>IF(ISNUMBER(M52), $B64 * N52, "")</f>
        <v>-6030.1507537688231</v>
      </c>
      <c r="Q52" s="33"/>
      <c r="R52" s="33"/>
    </row>
    <row r="53" spans="1:19" ht="17.25" customHeight="1" thickBot="1">
      <c r="A53" s="114" t="s">
        <v>336</v>
      </c>
      <c r="B53" s="115">
        <v>84.5</v>
      </c>
      <c r="C53" s="72">
        <v>-1.51515152E-2</v>
      </c>
      <c r="D53" s="24">
        <v>81.599999999999994</v>
      </c>
      <c r="E53" s="25">
        <f t="shared" si="18"/>
        <v>-3.4319526627219002E-2</v>
      </c>
      <c r="F53" s="94">
        <f>IF(ISNUMBER(D53), $B64 * E53, "")</f>
        <v>-5147.9289940828503</v>
      </c>
      <c r="G53" s="92">
        <v>81.599999999999994</v>
      </c>
      <c r="H53" s="25">
        <f t="shared" si="19"/>
        <v>-3.4319526627219002E-2</v>
      </c>
      <c r="I53" s="93">
        <f>IF(ISNUMBER(G53), $B64 * H53, "")</f>
        <v>-5147.9289940828503</v>
      </c>
      <c r="J53" s="24">
        <v>81.599999999999994</v>
      </c>
      <c r="K53" s="25">
        <f t="shared" si="20"/>
        <v>-3.4319526627219002E-2</v>
      </c>
      <c r="L53" s="94">
        <f>IF(ISNUMBER(J53), $B64 * K53, "")</f>
        <v>-5147.9289940828503</v>
      </c>
      <c r="M53" s="92">
        <v>82.3</v>
      </c>
      <c r="N53" s="25">
        <f t="shared" si="21"/>
        <v>-2.6035502958579915E-2</v>
      </c>
      <c r="O53" s="94">
        <f>IF(ISNUMBER(M53), $B64 * N53, "")</f>
        <v>-3905.3254437869873</v>
      </c>
      <c r="Q53" s="170"/>
      <c r="R53" s="171"/>
      <c r="S53" s="172"/>
    </row>
    <row r="54" spans="1:19" ht="17.25" customHeight="1">
      <c r="A54" s="107" t="s">
        <v>126</v>
      </c>
      <c r="B54" s="108">
        <v>29.6</v>
      </c>
      <c r="C54" s="69">
        <v>-1.6611295700000001E-2</v>
      </c>
      <c r="D54" s="13">
        <v>28.6</v>
      </c>
      <c r="E54" s="14">
        <f>IF(ISNUMBER(D54), (D54 - $B54) / $B54, "")</f>
        <v>-3.3783783783783779E-2</v>
      </c>
      <c r="F54" s="16">
        <f>IF(ISNUMBER(D54), $B64 * E54, "")</f>
        <v>-5067.5675675675666</v>
      </c>
      <c r="G54" s="29">
        <v>28.6</v>
      </c>
      <c r="H54" s="14">
        <f>IF(ISNUMBER(G54), (G54 - $B54) / $B54, "")</f>
        <v>-3.3783783783783779E-2</v>
      </c>
      <c r="I54" s="90">
        <f>IF(ISNUMBER(G54), $B64 * H54, "")</f>
        <v>-5067.5675675675666</v>
      </c>
      <c r="J54" s="13">
        <v>28.6</v>
      </c>
      <c r="K54" s="14">
        <f>IF(ISNUMBER(J54), (J54 - $B54) / $B54, "")</f>
        <v>-3.3783783783783779E-2</v>
      </c>
      <c r="L54" s="16">
        <f>IF(ISNUMBER(J54), $B64 * K54, "")</f>
        <v>-5067.5675675675666</v>
      </c>
      <c r="M54" s="29">
        <v>28.6</v>
      </c>
      <c r="N54" s="14">
        <f>IF(ISNUMBER(M54), (M54 - $B54) / $B54, "")</f>
        <v>-3.3783783783783779E-2</v>
      </c>
      <c r="O54" s="16">
        <f>IF(ISNUMBER(M54), $B64 * N54, "")</f>
        <v>-5067.5675675675666</v>
      </c>
      <c r="Q54" s="173"/>
      <c r="R54" s="174"/>
      <c r="S54" s="175"/>
    </row>
    <row r="55" spans="1:19" ht="17.25" customHeight="1" thickBot="1">
      <c r="A55" s="109" t="s">
        <v>132</v>
      </c>
      <c r="B55" s="110">
        <v>58.2</v>
      </c>
      <c r="C55" s="70">
        <v>-1.6891891900000001E-2</v>
      </c>
      <c r="D55" s="15">
        <v>55.1</v>
      </c>
      <c r="E55" s="32">
        <f t="shared" ref="E55:E58" si="22">IF(ISNUMBER(D55), (D55 - $B55) / $B55, "")</f>
        <v>-5.3264604810996583E-2</v>
      </c>
      <c r="F55" s="18">
        <f>IF(ISNUMBER(D55), $B64 * E55, "")</f>
        <v>-7989.6907216494874</v>
      </c>
      <c r="G55" s="31">
        <v>55.1</v>
      </c>
      <c r="H55" s="32">
        <f t="shared" ref="H55:H58" si="23">IF(ISNUMBER(G55), (G55 - $B55) / $B55, "")</f>
        <v>-5.3264604810996583E-2</v>
      </c>
      <c r="I55" s="91">
        <f>IF(ISNUMBER(G55), $B64 * H55, "")</f>
        <v>-7989.6907216494874</v>
      </c>
      <c r="J55" s="15">
        <v>55.1</v>
      </c>
      <c r="K55" s="32">
        <f t="shared" ref="K55:K58" si="24">IF(ISNUMBER(J55), (J55 - $B55) / $B55, "")</f>
        <v>-5.3264604810996583E-2</v>
      </c>
      <c r="L55" s="18">
        <f>IF(ISNUMBER(J55), $B64 * K55, "")</f>
        <v>-7989.6907216494874</v>
      </c>
      <c r="M55" s="31">
        <v>55.3</v>
      </c>
      <c r="N55" s="32">
        <f t="shared" ref="N55:N58" si="25">IF(ISNUMBER(M55), (M55 - $B55) / $B55, "")</f>
        <v>-4.9828178694158169E-2</v>
      </c>
      <c r="O55" s="18">
        <f>IF(ISNUMBER(M55), $B64 * N55, "")</f>
        <v>-7474.2268041237257</v>
      </c>
      <c r="Q55" s="176"/>
      <c r="R55" s="177"/>
      <c r="S55" s="178"/>
    </row>
    <row r="56" spans="1:19" ht="17.25" customHeight="1" thickBot="1">
      <c r="A56" s="109" t="s">
        <v>124</v>
      </c>
      <c r="B56" s="110">
        <v>33.4</v>
      </c>
      <c r="C56" s="70">
        <v>-1.76470588E-2</v>
      </c>
      <c r="D56" s="15">
        <v>32.200000000000003</v>
      </c>
      <c r="E56" s="32">
        <f t="shared" si="22"/>
        <v>-3.5928143712574724E-2</v>
      </c>
      <c r="F56" s="18">
        <f>IF(ISNUMBER(D56), $B64 * E56, "")</f>
        <v>-5389.2215568862084</v>
      </c>
      <c r="G56" s="31">
        <v>32.200000000000003</v>
      </c>
      <c r="H56" s="32">
        <f t="shared" si="23"/>
        <v>-3.5928143712574724E-2</v>
      </c>
      <c r="I56" s="91">
        <f>IF(ISNUMBER(G56), $B64 * H56, "")</f>
        <v>-5389.2215568862084</v>
      </c>
      <c r="J56" s="15">
        <v>32.200000000000003</v>
      </c>
      <c r="K56" s="32">
        <f t="shared" si="24"/>
        <v>-3.5928143712574724E-2</v>
      </c>
      <c r="L56" s="18">
        <f>IF(ISNUMBER(J56), $B64 * K56, "")</f>
        <v>-5389.2215568862084</v>
      </c>
      <c r="M56" s="31">
        <v>32.200000000000003</v>
      </c>
      <c r="N56" s="32">
        <f t="shared" si="25"/>
        <v>-3.5928143712574724E-2</v>
      </c>
      <c r="O56" s="18">
        <f>IF(ISNUMBER(M56), $B64 * N56, "")</f>
        <v>-5389.2215568862084</v>
      </c>
      <c r="Q56" s="161"/>
      <c r="R56" s="161"/>
      <c r="S56" s="161"/>
    </row>
    <row r="57" spans="1:19" ht="17.25" customHeight="1" thickBot="1">
      <c r="A57" s="109" t="s">
        <v>185</v>
      </c>
      <c r="B57" s="110">
        <v>33</v>
      </c>
      <c r="C57" s="70">
        <v>-1.7857142900000001E-2</v>
      </c>
      <c r="D57" s="15">
        <v>31.1</v>
      </c>
      <c r="E57" s="32">
        <f t="shared" si="22"/>
        <v>-5.757575757575753E-2</v>
      </c>
      <c r="F57" s="18">
        <f>IF(ISNUMBER(D57), $B64 * E57, "")</f>
        <v>-8636.3636363636288</v>
      </c>
      <c r="G57" s="31">
        <v>31.1</v>
      </c>
      <c r="H57" s="32">
        <f t="shared" si="23"/>
        <v>-5.757575757575753E-2</v>
      </c>
      <c r="I57" s="91">
        <f>IF(ISNUMBER(G57), $B64 * H57, "")</f>
        <v>-8636.3636363636288</v>
      </c>
      <c r="J57" s="15">
        <v>31.1</v>
      </c>
      <c r="K57" s="32">
        <f t="shared" si="24"/>
        <v>-5.757575757575753E-2</v>
      </c>
      <c r="L57" s="18">
        <f>IF(ISNUMBER(J57), $B64 * K57, "")</f>
        <v>-8636.3636363636288</v>
      </c>
      <c r="M57" s="31">
        <v>31.1</v>
      </c>
      <c r="N57" s="32">
        <f t="shared" si="25"/>
        <v>-5.757575757575753E-2</v>
      </c>
      <c r="O57" s="18">
        <f>IF(ISNUMBER(M57), $B64 * N57, "")</f>
        <v>-8636.3636363636288</v>
      </c>
      <c r="Q57" s="156"/>
      <c r="R57" s="156"/>
      <c r="S57" s="156"/>
    </row>
    <row r="58" spans="1:19" ht="17.25" customHeight="1" thickBot="1">
      <c r="A58" s="111" t="s">
        <v>220</v>
      </c>
      <c r="B58" s="112">
        <v>77.5</v>
      </c>
      <c r="C58" s="71">
        <v>-1.8987341800000002E-2</v>
      </c>
      <c r="D58" s="20">
        <v>73.8</v>
      </c>
      <c r="E58" s="21">
        <f t="shared" si="22"/>
        <v>-4.7741935483871005E-2</v>
      </c>
      <c r="F58" s="22">
        <f>IF(ISNUMBER(D58), $B64 * E58, "")</f>
        <v>-7161.2903225806504</v>
      </c>
      <c r="G58" s="30">
        <v>73.8</v>
      </c>
      <c r="H58" s="21">
        <f t="shared" si="23"/>
        <v>-4.7741935483871005E-2</v>
      </c>
      <c r="I58" s="95">
        <f>IF(ISNUMBER(G58), $B64 * H58, "")</f>
        <v>-7161.2903225806504</v>
      </c>
      <c r="J58" s="20">
        <v>73.8</v>
      </c>
      <c r="K58" s="21">
        <f t="shared" si="24"/>
        <v>-4.7741935483871005E-2</v>
      </c>
      <c r="L58" s="22">
        <f>IF(ISNUMBER(J58), $B64 * K58, "")</f>
        <v>-7161.2903225806504</v>
      </c>
      <c r="M58" s="30">
        <v>74.099999999999994</v>
      </c>
      <c r="N58" s="21">
        <f t="shared" si="25"/>
        <v>-4.3870967741935558E-2</v>
      </c>
      <c r="O58" s="22">
        <f>IF(ISNUMBER(M58), $B64 * N58, "")</f>
        <v>-6580.6451612903338</v>
      </c>
      <c r="Q58" s="156"/>
      <c r="R58" s="156"/>
      <c r="S58" s="156"/>
    </row>
    <row r="59" spans="1:19" ht="17.25" customHeight="1" thickBot="1">
      <c r="A59" s="109" t="s">
        <v>206</v>
      </c>
      <c r="B59" s="113">
        <v>3.55</v>
      </c>
      <c r="C59" s="73">
        <v>-1.93370166E-2</v>
      </c>
      <c r="D59" s="96">
        <v>3.6</v>
      </c>
      <c r="E59" s="97">
        <f>IF(ISNUMBER(D59), (D59 - $B59) / $B59, "")</f>
        <v>1.4084507042253596E-2</v>
      </c>
      <c r="F59" s="98">
        <f>IF(ISNUMBER(D59), $B64 * E59, "")</f>
        <v>2112.6760563380394</v>
      </c>
      <c r="G59" s="99">
        <v>3.6</v>
      </c>
      <c r="H59" s="97">
        <f>IF(ISNUMBER(G59), (G59 - $B59) / $B59, "")</f>
        <v>1.4084507042253596E-2</v>
      </c>
      <c r="I59" s="100">
        <f>IF(ISNUMBER(G59), $B64 * H59, "")</f>
        <v>2112.6760563380394</v>
      </c>
      <c r="J59" s="96">
        <v>3.6</v>
      </c>
      <c r="K59" s="97">
        <f>IF(ISNUMBER(J59), (J59 - $B59) / $B59, "")</f>
        <v>1.4084507042253596E-2</v>
      </c>
      <c r="L59" s="98">
        <f>IF(ISNUMBER(J59), $B64 * K59, "")</f>
        <v>2112.6760563380394</v>
      </c>
      <c r="M59" s="99">
        <v>3.56</v>
      </c>
      <c r="N59" s="97">
        <f>IF(ISNUMBER(M59), (M59 - $B59) / $B59, "")</f>
        <v>2.8169014084507694E-3</v>
      </c>
      <c r="O59" s="98">
        <f>IF(ISNUMBER(M59), $B64 * N59, "")</f>
        <v>422.53521126761541</v>
      </c>
      <c r="Q59" s="161"/>
      <c r="R59" s="161"/>
      <c r="S59" s="161"/>
    </row>
    <row r="60" spans="1:19" ht="17.25" customHeight="1" thickBot="1">
      <c r="A60" s="109" t="s">
        <v>240</v>
      </c>
      <c r="B60" s="110">
        <v>29.8</v>
      </c>
      <c r="C60" s="70">
        <v>-1.9736842099999999E-2</v>
      </c>
      <c r="D60" s="15">
        <v>28.8</v>
      </c>
      <c r="E60" s="32">
        <f t="shared" ref="E60:E63" si="26">IF(ISNUMBER(D60), (D60 - $B60) / $B60, "")</f>
        <v>-3.3557046979865772E-2</v>
      </c>
      <c r="F60" s="18">
        <f>IF(ISNUMBER(D60), $B64 * E60, "")</f>
        <v>-5033.5570469798658</v>
      </c>
      <c r="G60" s="31">
        <v>28.8</v>
      </c>
      <c r="H60" s="32">
        <f t="shared" ref="H60:H63" si="27">IF(ISNUMBER(G60), (G60 - $B60) / $B60, "")</f>
        <v>-3.3557046979865772E-2</v>
      </c>
      <c r="I60" s="91">
        <f>IF(ISNUMBER(G60), $B64 * H60, "")</f>
        <v>-5033.5570469798658</v>
      </c>
      <c r="J60" s="15">
        <v>28.8</v>
      </c>
      <c r="K60" s="32">
        <f t="shared" ref="K60:K63" si="28">IF(ISNUMBER(J60), (J60 - $B60) / $B60, "")</f>
        <v>-3.3557046979865772E-2</v>
      </c>
      <c r="L60" s="18">
        <f>IF(ISNUMBER(J60), $B64 * K60, "")</f>
        <v>-5033.5570469798658</v>
      </c>
      <c r="M60" s="31">
        <v>28.8</v>
      </c>
      <c r="N60" s="32">
        <f t="shared" ref="N60:N63" si="29">IF(ISNUMBER(M60), (M60 - $B60) / $B60, "")</f>
        <v>-3.3557046979865772E-2</v>
      </c>
      <c r="O60" s="18">
        <f>IF(ISNUMBER(M60), $B64 * N60, "")</f>
        <v>-5033.5570469798658</v>
      </c>
      <c r="Q60" s="161"/>
      <c r="R60" s="161"/>
      <c r="S60" s="161"/>
    </row>
    <row r="61" spans="1:19" ht="17.25" customHeight="1" thickBot="1">
      <c r="A61" s="109" t="s">
        <v>198</v>
      </c>
      <c r="B61" s="110">
        <v>8.85</v>
      </c>
      <c r="C61" s="70">
        <v>-1.9933554799999999E-2</v>
      </c>
      <c r="D61" s="15">
        <v>8.6</v>
      </c>
      <c r="E61" s="32">
        <f t="shared" si="26"/>
        <v>-2.8248587570621469E-2</v>
      </c>
      <c r="F61" s="18">
        <f>IF(ISNUMBER(D61), $B64 * E61, "")</f>
        <v>-4237.2881355932204</v>
      </c>
      <c r="G61" s="31">
        <v>8.6</v>
      </c>
      <c r="H61" s="32">
        <f t="shared" si="27"/>
        <v>-2.8248587570621469E-2</v>
      </c>
      <c r="I61" s="91">
        <f>IF(ISNUMBER(G61), $B64 * H61, "")</f>
        <v>-4237.2881355932204</v>
      </c>
      <c r="J61" s="15">
        <v>8.6</v>
      </c>
      <c r="K61" s="32">
        <f t="shared" si="28"/>
        <v>-2.8248587570621469E-2</v>
      </c>
      <c r="L61" s="18">
        <f>IF(ISNUMBER(J61), $B64 * K61, "")</f>
        <v>-4237.2881355932204</v>
      </c>
      <c r="M61" s="31">
        <v>8.73</v>
      </c>
      <c r="N61" s="32">
        <f t="shared" si="29"/>
        <v>-1.3559322033898218E-2</v>
      </c>
      <c r="O61" s="18">
        <f>IF(ISNUMBER(M61), $B64 * N61, "")</f>
        <v>-2033.8983050847328</v>
      </c>
      <c r="Q61" s="161"/>
      <c r="R61" s="161"/>
      <c r="S61" s="161"/>
    </row>
    <row r="62" spans="1:19" ht="17.25" customHeight="1">
      <c r="A62" s="109" t="s">
        <v>326</v>
      </c>
      <c r="B62" s="110">
        <v>24.3</v>
      </c>
      <c r="C62" s="70">
        <v>-2.0161290299999999E-2</v>
      </c>
      <c r="D62" s="15">
        <v>24.6</v>
      </c>
      <c r="E62" s="32">
        <f t="shared" si="26"/>
        <v>1.2345679012345708E-2</v>
      </c>
      <c r="F62" s="18">
        <f>IF(ISNUMBER(D62), $B64 * E62, "")</f>
        <v>1851.8518518518563</v>
      </c>
      <c r="G62" s="31">
        <v>24.6</v>
      </c>
      <c r="H62" s="32">
        <f t="shared" si="27"/>
        <v>1.2345679012345708E-2</v>
      </c>
      <c r="I62" s="91">
        <f>IF(ISNUMBER(G62), $B64 * H62, "")</f>
        <v>1851.8518518518563</v>
      </c>
      <c r="J62" s="15">
        <v>24.6</v>
      </c>
      <c r="K62" s="32">
        <f t="shared" si="28"/>
        <v>1.2345679012345708E-2</v>
      </c>
      <c r="L62" s="18">
        <f>IF(ISNUMBER(J62), $B64 * K62, "")</f>
        <v>1851.8518518518563</v>
      </c>
      <c r="M62" s="31">
        <v>24.5</v>
      </c>
      <c r="N62" s="32">
        <f t="shared" si="29"/>
        <v>8.2304526748970906E-3</v>
      </c>
      <c r="O62" s="18">
        <f>IF(ISNUMBER(M62), $B64 * N62, "")</f>
        <v>1234.5679012345636</v>
      </c>
      <c r="Q62" s="183"/>
      <c r="R62" s="184"/>
      <c r="S62" s="185"/>
    </row>
    <row r="63" spans="1:19" ht="17.25" customHeight="1" thickBot="1">
      <c r="A63" s="114" t="s">
        <v>141</v>
      </c>
      <c r="B63" s="115">
        <v>3.46</v>
      </c>
      <c r="C63" s="72">
        <v>-2.2598870100000001E-2</v>
      </c>
      <c r="D63" s="24">
        <v>3.35</v>
      </c>
      <c r="E63" s="25">
        <f t="shared" si="26"/>
        <v>-3.179190751445083E-2</v>
      </c>
      <c r="F63" s="94">
        <f>IF(ISNUMBER(D63), $B64 * E63, "")</f>
        <v>-4768.7861271676247</v>
      </c>
      <c r="G63" s="92">
        <v>3.35</v>
      </c>
      <c r="H63" s="25">
        <f t="shared" si="27"/>
        <v>-3.179190751445083E-2</v>
      </c>
      <c r="I63" s="93">
        <f>IF(ISNUMBER(G63), $B64 * H63, "")</f>
        <v>-4768.7861271676247</v>
      </c>
      <c r="J63" s="24">
        <v>3.35</v>
      </c>
      <c r="K63" s="25">
        <f t="shared" si="28"/>
        <v>-3.179190751445083E-2</v>
      </c>
      <c r="L63" s="94">
        <f>IF(ISNUMBER(J63), $B64 * K63, "")</f>
        <v>-4768.7861271676247</v>
      </c>
      <c r="M63" s="92">
        <v>3.39</v>
      </c>
      <c r="N63" s="25">
        <f t="shared" si="29"/>
        <v>-2.0231213872832325E-2</v>
      </c>
      <c r="O63" s="94">
        <f>IF(ISNUMBER(M63), $B64 * N63, "")</f>
        <v>-3034.6820809248488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-3.0182231986473147E-2</v>
      </c>
      <c r="F64" s="28">
        <f>SUM(F44:F63)</f>
        <v>-90546.695959419463</v>
      </c>
      <c r="G64" s="26" t="s">
        <v>261</v>
      </c>
      <c r="H64" s="27">
        <f>IF(COUNT(H44:H63), SUM(H44:H63) / COUNT(H44:H63), 0)</f>
        <v>-3.0182231986473147E-2</v>
      </c>
      <c r="I64" s="28">
        <f>SUM(I44:I63)</f>
        <v>-90546.695959419463</v>
      </c>
      <c r="J64" s="26" t="s">
        <v>261</v>
      </c>
      <c r="K64" s="27">
        <f>IF(COUNT(K44:K63), SUM(K44:K63) / COUNT(K44:K63), 0)</f>
        <v>-3.0182231986473147E-2</v>
      </c>
      <c r="L64" s="28">
        <f>SUM(L44:L63)</f>
        <v>-90546.695959419463</v>
      </c>
      <c r="M64" s="26" t="s">
        <v>261</v>
      </c>
      <c r="N64" s="27">
        <f>IF(COUNT(N44:N63), SUM(N44:N63) / COUNT(N44:N63), 0)</f>
        <v>-3.2558040256706118E-2</v>
      </c>
      <c r="O64" s="28">
        <f>SUM(O44:O63)</f>
        <v>-97674.120770118359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2022-12-12(월) 오전 00:00</v>
      </c>
      <c r="C69" s="199"/>
      <c r="D69" s="158" t="str">
        <f>TEXT($G$1, "[$-ko-KR]yyyy-mm-dd(ddd) ") &amp; "오후 14:00"</f>
        <v>2022-12-12(월) 오후 14:00</v>
      </c>
      <c r="E69" s="159"/>
      <c r="F69" s="160"/>
      <c r="G69" s="158" t="str">
        <f>TEXT($G$1, "[$-ko-KR]yyyy-mm-dd(ddd) ") &amp; "오후 19:00"</f>
        <v>2022-12-12(월) 오후 19:00</v>
      </c>
      <c r="H69" s="159"/>
      <c r="I69" s="160"/>
      <c r="J69" s="158" t="str">
        <f>TEXT($G$1, "[$-ko-KR]yyyy-mm-dd(ddd) ") &amp; "오후 21:00"</f>
        <v>2022-12-12(월) 오후 21:00</v>
      </c>
      <c r="K69" s="159"/>
      <c r="L69" s="160"/>
      <c r="M69" s="158" t="str">
        <f>TEXT($G$1+1, "[$-ko-KR]yyyy-mm-dd(ddd) ") &amp; "오전 00:00"</f>
        <v>2022-12-13(화)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204</v>
      </c>
      <c r="B71" s="108">
        <v>311</v>
      </c>
      <c r="C71" s="69">
        <v>0.1227436823</v>
      </c>
      <c r="D71" s="13">
        <v>285</v>
      </c>
      <c r="E71" s="14">
        <f>IF(ISNUMBER(D71), (D71 - $B71) / $B71, "")</f>
        <v>-8.3601286173633438E-2</v>
      </c>
      <c r="F71" s="16">
        <f>IF(ISNUMBER(D71), $B91 * E71, "")</f>
        <v>-12540.192926045016</v>
      </c>
      <c r="G71" s="29">
        <v>285</v>
      </c>
      <c r="H71" s="14">
        <f>IF(ISNUMBER(G71), (G71 - $B71) / $B71, "")</f>
        <v>-8.3601286173633438E-2</v>
      </c>
      <c r="I71" s="90">
        <f>IF(ISNUMBER(G71), $B91 * H71, "")</f>
        <v>-12540.192926045016</v>
      </c>
      <c r="J71" s="13">
        <v>285</v>
      </c>
      <c r="K71" s="14">
        <f>IF(ISNUMBER(J71), (J71 - $B71) / $B71, "")</f>
        <v>-8.3601286173633438E-2</v>
      </c>
      <c r="L71" s="16">
        <f>IF(ISNUMBER(J71), $B91 * K71, "")</f>
        <v>-12540.192926045016</v>
      </c>
      <c r="M71" s="29">
        <v>284</v>
      </c>
      <c r="N71" s="14">
        <f>IF(ISNUMBER(M71), (M71 - $B71) / $B71, "")</f>
        <v>-8.6816720257234734E-2</v>
      </c>
      <c r="O71" s="16">
        <f>IF(ISNUMBER(M71), $B91 * N71, "")</f>
        <v>-13022.508038585211</v>
      </c>
      <c r="Q71" s="156"/>
      <c r="R71" s="156"/>
      <c r="S71" s="156"/>
    </row>
    <row r="72" spans="1:19" ht="17.25" thickBot="1">
      <c r="A72" s="109" t="s">
        <v>161</v>
      </c>
      <c r="B72" s="110">
        <v>380</v>
      </c>
      <c r="C72" s="70">
        <v>4.9723756899999999E-2</v>
      </c>
      <c r="D72" s="15">
        <v>388</v>
      </c>
      <c r="E72" s="32">
        <f t="shared" ref="E72:E75" si="30">IF(ISNUMBER(D72), (D72 - $B72) / $B72, "")</f>
        <v>2.1052631578947368E-2</v>
      </c>
      <c r="F72" s="18">
        <f>IF(ISNUMBER(D72), $B91 * E72, "")</f>
        <v>3157.894736842105</v>
      </c>
      <c r="G72" s="31">
        <v>388</v>
      </c>
      <c r="H72" s="32">
        <f t="shared" ref="H72:H75" si="31">IF(ISNUMBER(G72), (G72 - $B72) / $B72, "")</f>
        <v>2.1052631578947368E-2</v>
      </c>
      <c r="I72" s="91">
        <f>IF(ISNUMBER(G72), $B91 * H72, "")</f>
        <v>3157.894736842105</v>
      </c>
      <c r="J72" s="15">
        <v>388</v>
      </c>
      <c r="K72" s="32">
        <f t="shared" ref="K72:K75" si="32">IF(ISNUMBER(J72), (J72 - $B72) / $B72, "")</f>
        <v>2.1052631578947368E-2</v>
      </c>
      <c r="L72" s="18">
        <f>IF(ISNUMBER(J72), $B91 * K72, "")</f>
        <v>3157.894736842105</v>
      </c>
      <c r="M72" s="31">
        <v>390</v>
      </c>
      <c r="N72" s="32">
        <f t="shared" ref="N72:N75" si="33">IF(ISNUMBER(M72), (M72 - $B72) / $B72, "")</f>
        <v>2.6315789473684209E-2</v>
      </c>
      <c r="O72" s="18">
        <f>IF(ISNUMBER(M72), $B91 * N72, "")</f>
        <v>3947.3684210526312</v>
      </c>
      <c r="Q72" s="156"/>
      <c r="R72" s="156"/>
      <c r="S72" s="156"/>
    </row>
    <row r="73" spans="1:19" ht="17.25" thickBot="1">
      <c r="A73" s="109" t="s">
        <v>130</v>
      </c>
      <c r="B73" s="110">
        <v>867</v>
      </c>
      <c r="C73" s="70">
        <v>2.7251184800000001E-2</v>
      </c>
      <c r="D73" s="15">
        <v>805</v>
      </c>
      <c r="E73" s="32">
        <f t="shared" si="30"/>
        <v>-7.1510957324106117E-2</v>
      </c>
      <c r="F73" s="18">
        <f>IF(ISNUMBER(D73), $B91 * E73, "")</f>
        <v>-10726.643598615918</v>
      </c>
      <c r="G73" s="31">
        <v>805</v>
      </c>
      <c r="H73" s="32">
        <f t="shared" si="31"/>
        <v>-7.1510957324106117E-2</v>
      </c>
      <c r="I73" s="91">
        <f>IF(ISNUMBER(G73), $B91 * H73, "")</f>
        <v>-10726.643598615918</v>
      </c>
      <c r="J73" s="15">
        <v>805</v>
      </c>
      <c r="K73" s="32">
        <f t="shared" si="32"/>
        <v>-7.1510957324106117E-2</v>
      </c>
      <c r="L73" s="18">
        <f>IF(ISNUMBER(J73), $B91 * K73, "")</f>
        <v>-10726.643598615918</v>
      </c>
      <c r="M73" s="31">
        <v>813</v>
      </c>
      <c r="N73" s="32">
        <f t="shared" si="33"/>
        <v>-6.228373702422145E-2</v>
      </c>
      <c r="O73" s="18">
        <f>IF(ISNUMBER(M73), $B91 * N73, "")</f>
        <v>-9342.5605536332168</v>
      </c>
      <c r="Q73" s="161"/>
      <c r="R73" s="161"/>
      <c r="S73" s="161"/>
    </row>
    <row r="74" spans="1:19" ht="17.25" thickBot="1">
      <c r="A74" s="109" t="s">
        <v>216</v>
      </c>
      <c r="B74" s="110">
        <v>539</v>
      </c>
      <c r="C74" s="70">
        <v>2.27703985E-2</v>
      </c>
      <c r="D74" s="15">
        <v>515</v>
      </c>
      <c r="E74" s="32">
        <f t="shared" si="30"/>
        <v>-4.4526901669758812E-2</v>
      </c>
      <c r="F74" s="18">
        <f>IF(ISNUMBER(D74), $B91 * E74, "")</f>
        <v>-6679.0352504638213</v>
      </c>
      <c r="G74" s="31">
        <v>515</v>
      </c>
      <c r="H74" s="32">
        <f t="shared" si="31"/>
        <v>-4.4526901669758812E-2</v>
      </c>
      <c r="I74" s="91">
        <f>IF(ISNUMBER(G74), $B91 * H74, "")</f>
        <v>-6679.0352504638213</v>
      </c>
      <c r="J74" s="15">
        <v>515</v>
      </c>
      <c r="K74" s="32">
        <f t="shared" si="32"/>
        <v>-4.4526901669758812E-2</v>
      </c>
      <c r="L74" s="18">
        <f>IF(ISNUMBER(J74), $B91 * K74, "")</f>
        <v>-6679.0352504638213</v>
      </c>
      <c r="M74" s="31">
        <v>515</v>
      </c>
      <c r="N74" s="32">
        <f t="shared" si="33"/>
        <v>-4.4526901669758812E-2</v>
      </c>
      <c r="O74" s="18">
        <f>IF(ISNUMBER(M74), $B91 * N74, "")</f>
        <v>-6679.0352504638213</v>
      </c>
      <c r="Q74" s="161"/>
      <c r="R74" s="161"/>
      <c r="S74" s="161"/>
    </row>
    <row r="75" spans="1:19" ht="17.25" thickBot="1">
      <c r="A75" s="111" t="s">
        <v>183</v>
      </c>
      <c r="B75" s="112">
        <v>156</v>
      </c>
      <c r="C75" s="71">
        <v>1.9607843100000001E-2</v>
      </c>
      <c r="D75" s="20">
        <v>142</v>
      </c>
      <c r="E75" s="21">
        <f t="shared" si="30"/>
        <v>-8.9743589743589744E-2</v>
      </c>
      <c r="F75" s="22">
        <f>IF(ISNUMBER(D75), $B91 * E75, "")</f>
        <v>-13461.538461538461</v>
      </c>
      <c r="G75" s="30">
        <v>142</v>
      </c>
      <c r="H75" s="21">
        <f t="shared" si="31"/>
        <v>-8.9743589743589744E-2</v>
      </c>
      <c r="I75" s="95">
        <f>IF(ISNUMBER(G75), $B91 * H75, "")</f>
        <v>-13461.538461538461</v>
      </c>
      <c r="J75" s="20">
        <v>142</v>
      </c>
      <c r="K75" s="21">
        <f t="shared" si="32"/>
        <v>-8.9743589743589744E-2</v>
      </c>
      <c r="L75" s="22">
        <f>IF(ISNUMBER(J75), $B91 * K75, "")</f>
        <v>-13461.538461538461</v>
      </c>
      <c r="M75" s="30">
        <v>143</v>
      </c>
      <c r="N75" s="21">
        <f t="shared" si="33"/>
        <v>-8.3333333333333329E-2</v>
      </c>
      <c r="O75" s="22">
        <f>IF(ISNUMBER(M75), $B91 * N75, "")</f>
        <v>-12500</v>
      </c>
      <c r="Q75" s="161"/>
      <c r="R75" s="161"/>
      <c r="S75" s="161"/>
    </row>
    <row r="76" spans="1:19" ht="17.25" thickBot="1">
      <c r="A76" s="109" t="s">
        <v>103</v>
      </c>
      <c r="B76" s="113">
        <v>261</v>
      </c>
      <c r="C76" s="73">
        <v>1.55642023E-2</v>
      </c>
      <c r="D76" s="96">
        <v>250</v>
      </c>
      <c r="E76" s="97">
        <f>IF(ISNUMBER(D76), (D76 - $B76) / $B76, "")</f>
        <v>-4.2145593869731802E-2</v>
      </c>
      <c r="F76" s="98">
        <f>IF(ISNUMBER(D76), $B91 * E76, "")</f>
        <v>-6321.8390804597702</v>
      </c>
      <c r="G76" s="99">
        <v>250</v>
      </c>
      <c r="H76" s="97">
        <f>IF(ISNUMBER(G76), (G76 - $B76) / $B76, "")</f>
        <v>-4.2145593869731802E-2</v>
      </c>
      <c r="I76" s="100">
        <f>IF(ISNUMBER(G76), $B91 * H76, "")</f>
        <v>-6321.8390804597702</v>
      </c>
      <c r="J76" s="96">
        <v>250</v>
      </c>
      <c r="K76" s="97">
        <f>IF(ISNUMBER(J76), (J76 - $B76) / $B76, "")</f>
        <v>-4.2145593869731802E-2</v>
      </c>
      <c r="L76" s="98">
        <f>IF(ISNUMBER(J76), $B91 * K76, "")</f>
        <v>-6321.8390804597702</v>
      </c>
      <c r="M76" s="99">
        <v>249</v>
      </c>
      <c r="N76" s="97">
        <f>IF(ISNUMBER(M76), (M76 - $B76) / $B76, "")</f>
        <v>-4.5977011494252873E-2</v>
      </c>
      <c r="O76" s="98">
        <f>IF(ISNUMBER(M76), $B91 * N76, "")</f>
        <v>-6896.5517241379312</v>
      </c>
      <c r="Q76" s="161"/>
      <c r="R76" s="161"/>
      <c r="S76" s="161"/>
    </row>
    <row r="77" spans="1:19" ht="17.25" thickBot="1">
      <c r="A77" s="109" t="s">
        <v>120</v>
      </c>
      <c r="B77" s="110">
        <v>132</v>
      </c>
      <c r="C77" s="70">
        <v>1.5384615399999999E-2</v>
      </c>
      <c r="D77" s="15">
        <v>125</v>
      </c>
      <c r="E77" s="32">
        <f t="shared" ref="E77:E80" si="34">IF(ISNUMBER(D77), (D77 - $B77) / $B77, "")</f>
        <v>-5.3030303030303032E-2</v>
      </c>
      <c r="F77" s="18">
        <f>IF(ISNUMBER(D77), $B91 * E77, "")</f>
        <v>-7954.545454545455</v>
      </c>
      <c r="G77" s="31">
        <v>125</v>
      </c>
      <c r="H77" s="32">
        <f t="shared" ref="H77:H80" si="35">IF(ISNUMBER(G77), (G77 - $B77) / $B77, "")</f>
        <v>-5.3030303030303032E-2</v>
      </c>
      <c r="I77" s="91">
        <f>IF(ISNUMBER(G77), $B91 * H77, "")</f>
        <v>-7954.545454545455</v>
      </c>
      <c r="J77" s="15">
        <v>125</v>
      </c>
      <c r="K77" s="32">
        <f t="shared" ref="K77:K80" si="36">IF(ISNUMBER(J77), (J77 - $B77) / $B77, "")</f>
        <v>-5.3030303030303032E-2</v>
      </c>
      <c r="L77" s="18">
        <f>IF(ISNUMBER(J77), $B91 * K77, "")</f>
        <v>-7954.545454545455</v>
      </c>
      <c r="M77" s="31">
        <v>125</v>
      </c>
      <c r="N77" s="32">
        <f t="shared" ref="N77:N80" si="37">IF(ISNUMBER(M77), (M77 - $B77) / $B77, "")</f>
        <v>-5.3030303030303032E-2</v>
      </c>
      <c r="O77" s="18">
        <f>IF(ISNUMBER(M77), $B91 * N77, "")</f>
        <v>-7954.545454545455</v>
      </c>
      <c r="Q77" s="161"/>
      <c r="R77" s="161"/>
      <c r="S77" s="161"/>
    </row>
    <row r="78" spans="1:19" ht="17.25" thickBot="1">
      <c r="A78" s="109" t="s">
        <v>187</v>
      </c>
      <c r="B78" s="110">
        <v>824</v>
      </c>
      <c r="C78" s="70">
        <v>1.1042944799999999E-2</v>
      </c>
      <c r="D78" s="15">
        <v>790</v>
      </c>
      <c r="E78" s="32">
        <f t="shared" si="34"/>
        <v>-4.12621359223301E-2</v>
      </c>
      <c r="F78" s="18">
        <f>IF(ISNUMBER(D78), $B91 * E78, "")</f>
        <v>-6189.3203883495153</v>
      </c>
      <c r="G78" s="31">
        <v>790</v>
      </c>
      <c r="H78" s="32">
        <f t="shared" si="35"/>
        <v>-4.12621359223301E-2</v>
      </c>
      <c r="I78" s="91">
        <f>IF(ISNUMBER(G78), $B91 * H78, "")</f>
        <v>-6189.3203883495153</v>
      </c>
      <c r="J78" s="15">
        <v>790</v>
      </c>
      <c r="K78" s="32">
        <f t="shared" si="36"/>
        <v>-4.12621359223301E-2</v>
      </c>
      <c r="L78" s="18">
        <f>IF(ISNUMBER(J78), $B91 * K78, "")</f>
        <v>-6189.3203883495153</v>
      </c>
      <c r="M78" s="31">
        <v>794</v>
      </c>
      <c r="N78" s="32">
        <f t="shared" si="37"/>
        <v>-3.640776699029126E-2</v>
      </c>
      <c r="O78" s="18">
        <f>IF(ISNUMBER(M78), $B91 * N78, "")</f>
        <v>-5461.1650485436894</v>
      </c>
      <c r="Q78" s="161"/>
      <c r="R78" s="161"/>
      <c r="S78" s="161"/>
    </row>
    <row r="79" spans="1:19" ht="17.25" thickBot="1">
      <c r="A79" s="109" t="s">
        <v>66</v>
      </c>
      <c r="B79" s="110">
        <v>769</v>
      </c>
      <c r="C79" s="70">
        <v>1.0512483600000001E-2</v>
      </c>
      <c r="D79" s="15">
        <v>736</v>
      </c>
      <c r="E79" s="32">
        <f t="shared" si="34"/>
        <v>-4.2912873862158647E-2</v>
      </c>
      <c r="F79" s="18">
        <f>IF(ISNUMBER(D79), $B91 * E79, "")</f>
        <v>-6436.9310793237973</v>
      </c>
      <c r="G79" s="31">
        <v>736</v>
      </c>
      <c r="H79" s="32">
        <f t="shared" si="35"/>
        <v>-4.2912873862158647E-2</v>
      </c>
      <c r="I79" s="91">
        <f>IF(ISNUMBER(G79), $B91 * H79, "")</f>
        <v>-6436.9310793237973</v>
      </c>
      <c r="J79" s="15">
        <v>736</v>
      </c>
      <c r="K79" s="32">
        <f t="shared" si="36"/>
        <v>-4.2912873862158647E-2</v>
      </c>
      <c r="L79" s="18">
        <f>IF(ISNUMBER(J79), $B91 * K79, "")</f>
        <v>-6436.9310793237973</v>
      </c>
      <c r="M79" s="31">
        <v>741</v>
      </c>
      <c r="N79" s="32">
        <f t="shared" si="37"/>
        <v>-3.6410923276983094E-2</v>
      </c>
      <c r="O79" s="18">
        <f>IF(ISNUMBER(M79), $B91 * N79, "")</f>
        <v>-5461.6384915474637</v>
      </c>
      <c r="Q79" s="33"/>
      <c r="R79" s="33"/>
    </row>
    <row r="80" spans="1:19" ht="17.25" thickBot="1">
      <c r="A80" s="114" t="s">
        <v>159</v>
      </c>
      <c r="B80" s="115">
        <v>205</v>
      </c>
      <c r="C80" s="72">
        <v>4.9019607999999998E-3</v>
      </c>
      <c r="D80" s="24">
        <v>194</v>
      </c>
      <c r="E80" s="25">
        <f t="shared" si="34"/>
        <v>-5.3658536585365853E-2</v>
      </c>
      <c r="F80" s="94">
        <f>IF(ISNUMBER(D80), $B91 * E80, "")</f>
        <v>-8048.7804878048782</v>
      </c>
      <c r="G80" s="92">
        <v>194</v>
      </c>
      <c r="H80" s="25">
        <f t="shared" si="35"/>
        <v>-5.3658536585365853E-2</v>
      </c>
      <c r="I80" s="93">
        <f>IF(ISNUMBER(G80), $B91 * H80, "")</f>
        <v>-8048.7804878048782</v>
      </c>
      <c r="J80" s="24">
        <v>194</v>
      </c>
      <c r="K80" s="25">
        <f t="shared" si="36"/>
        <v>-5.3658536585365853E-2</v>
      </c>
      <c r="L80" s="94">
        <f>IF(ISNUMBER(J80), $B91 * K80, "")</f>
        <v>-8048.7804878048782</v>
      </c>
      <c r="M80" s="92">
        <v>195</v>
      </c>
      <c r="N80" s="25">
        <f t="shared" si="37"/>
        <v>-4.878048780487805E-2</v>
      </c>
      <c r="O80" s="94">
        <f>IF(ISNUMBER(M80), $B91 * N80, "")</f>
        <v>-7317.0731707317073</v>
      </c>
      <c r="Q80" s="170"/>
      <c r="R80" s="171"/>
      <c r="S80" s="172"/>
    </row>
    <row r="81" spans="1:19">
      <c r="A81" s="107" t="s">
        <v>101</v>
      </c>
      <c r="B81" s="108">
        <v>249</v>
      </c>
      <c r="C81" s="69">
        <v>4.0322581E-3</v>
      </c>
      <c r="D81" s="13">
        <v>233</v>
      </c>
      <c r="E81" s="14">
        <f>IF(ISNUMBER(D81), (D81 - $B81) / $B81, "")</f>
        <v>-6.4257028112449793E-2</v>
      </c>
      <c r="F81" s="16">
        <f>IF(ISNUMBER(D81), $B91 * E81, "")</f>
        <v>-9638.5542168674692</v>
      </c>
      <c r="G81" s="29">
        <v>233</v>
      </c>
      <c r="H81" s="14">
        <f>IF(ISNUMBER(G81), (G81 - $B81) / $B81, "")</f>
        <v>-6.4257028112449793E-2</v>
      </c>
      <c r="I81" s="90">
        <f>IF(ISNUMBER(G81), $B91 * H81, "")</f>
        <v>-9638.5542168674692</v>
      </c>
      <c r="J81" s="13">
        <v>233</v>
      </c>
      <c r="K81" s="14">
        <f>IF(ISNUMBER(J81), (J81 - $B81) / $B81, "")</f>
        <v>-6.4257028112449793E-2</v>
      </c>
      <c r="L81" s="16">
        <f>IF(ISNUMBER(J81), $B91 * K81, "")</f>
        <v>-9638.5542168674692</v>
      </c>
      <c r="M81" s="29">
        <v>234</v>
      </c>
      <c r="N81" s="14">
        <f>IF(ISNUMBER(M81), (M81 - $B81) / $B81, "")</f>
        <v>-6.0240963855421686E-2</v>
      </c>
      <c r="O81" s="16">
        <f>IF(ISNUMBER(M81), $B91 * N81, "")</f>
        <v>-9036.1445783132531</v>
      </c>
      <c r="Q81" s="173"/>
      <c r="R81" s="174"/>
      <c r="S81" s="175"/>
    </row>
    <row r="82" spans="1:19" ht="17.25" thickBot="1">
      <c r="A82" s="109" t="s">
        <v>79</v>
      </c>
      <c r="B82" s="110">
        <v>303</v>
      </c>
      <c r="C82" s="70">
        <v>0</v>
      </c>
      <c r="D82" s="15">
        <v>290</v>
      </c>
      <c r="E82" s="32">
        <f t="shared" ref="E82:E85" si="38">IF(ISNUMBER(D82), (D82 - $B82) / $B82, "")</f>
        <v>-4.2904290429042903E-2</v>
      </c>
      <c r="F82" s="18">
        <f>IF(ISNUMBER(D82), $B91 * E82, "")</f>
        <v>-6435.6435643564355</v>
      </c>
      <c r="G82" s="31">
        <v>290</v>
      </c>
      <c r="H82" s="32">
        <f t="shared" ref="H82:H85" si="39">IF(ISNUMBER(G82), (G82 - $B82) / $B82, "")</f>
        <v>-4.2904290429042903E-2</v>
      </c>
      <c r="I82" s="91">
        <f>IF(ISNUMBER(G82), $B91 * H82, "")</f>
        <v>-6435.6435643564355</v>
      </c>
      <c r="J82" s="15">
        <v>290</v>
      </c>
      <c r="K82" s="32">
        <f t="shared" ref="K82:K85" si="40">IF(ISNUMBER(J82), (J82 - $B82) / $B82, "")</f>
        <v>-4.2904290429042903E-2</v>
      </c>
      <c r="L82" s="18">
        <f>IF(ISNUMBER(J82), $B91 * K82, "")</f>
        <v>-6435.6435643564355</v>
      </c>
      <c r="M82" s="31">
        <v>290</v>
      </c>
      <c r="N82" s="32">
        <f t="shared" ref="N82:N85" si="41">IF(ISNUMBER(M82), (M82 - $B82) / $B82, "")</f>
        <v>-4.2904290429042903E-2</v>
      </c>
      <c r="O82" s="18">
        <f>IF(ISNUMBER(M82), $B91 * N82, "")</f>
        <v>-6435.6435643564355</v>
      </c>
      <c r="Q82" s="176"/>
      <c r="R82" s="177"/>
      <c r="S82" s="178"/>
    </row>
    <row r="83" spans="1:19" ht="17.25" thickBot="1">
      <c r="A83" s="109" t="s">
        <v>169</v>
      </c>
      <c r="B83" s="110">
        <v>280</v>
      </c>
      <c r="C83" s="70">
        <v>0</v>
      </c>
      <c r="D83" s="15">
        <v>266</v>
      </c>
      <c r="E83" s="32">
        <f t="shared" si="38"/>
        <v>-0.05</v>
      </c>
      <c r="F83" s="18">
        <f>IF(ISNUMBER(D83), $B91 * E83, "")</f>
        <v>-7500</v>
      </c>
      <c r="G83" s="31">
        <v>266</v>
      </c>
      <c r="H83" s="32">
        <f t="shared" si="39"/>
        <v>-0.05</v>
      </c>
      <c r="I83" s="91">
        <f>IF(ISNUMBER(G83), $B91 * H83, "")</f>
        <v>-7500</v>
      </c>
      <c r="J83" s="15">
        <v>266</v>
      </c>
      <c r="K83" s="32">
        <f t="shared" si="40"/>
        <v>-0.05</v>
      </c>
      <c r="L83" s="18">
        <f>IF(ISNUMBER(J83), $B91 * K83, "")</f>
        <v>-7500</v>
      </c>
      <c r="M83" s="31">
        <v>267</v>
      </c>
      <c r="N83" s="32">
        <f t="shared" si="41"/>
        <v>-4.642857142857143E-2</v>
      </c>
      <c r="O83" s="18">
        <f>IF(ISNUMBER(M83), $B91 * N83, "")</f>
        <v>-6964.2857142857147</v>
      </c>
      <c r="Q83" s="161"/>
      <c r="R83" s="161"/>
      <c r="S83" s="161"/>
    </row>
    <row r="84" spans="1:19" ht="17.25" thickBot="1">
      <c r="A84" s="109" t="s">
        <v>149</v>
      </c>
      <c r="B84" s="110">
        <v>411</v>
      </c>
      <c r="C84" s="70">
        <v>0</v>
      </c>
      <c r="D84" s="15">
        <v>392</v>
      </c>
      <c r="E84" s="32">
        <f t="shared" si="38"/>
        <v>-4.6228710462287104E-2</v>
      </c>
      <c r="F84" s="18">
        <f>IF(ISNUMBER(D84), $B91 * E84, "")</f>
        <v>-6934.3065693430653</v>
      </c>
      <c r="G84" s="31">
        <v>392</v>
      </c>
      <c r="H84" s="32">
        <f t="shared" si="39"/>
        <v>-4.6228710462287104E-2</v>
      </c>
      <c r="I84" s="91">
        <f>IF(ISNUMBER(G84), $B91 * H84, "")</f>
        <v>-6934.3065693430653</v>
      </c>
      <c r="J84" s="15">
        <v>392</v>
      </c>
      <c r="K84" s="32">
        <f t="shared" si="40"/>
        <v>-4.6228710462287104E-2</v>
      </c>
      <c r="L84" s="18">
        <f>IF(ISNUMBER(J84), $B91 * K84, "")</f>
        <v>-6934.3065693430653</v>
      </c>
      <c r="M84" s="31">
        <v>392</v>
      </c>
      <c r="N84" s="32">
        <f t="shared" si="41"/>
        <v>-4.6228710462287104E-2</v>
      </c>
      <c r="O84" s="18">
        <f>IF(ISNUMBER(M84), $B91 * N84, "")</f>
        <v>-6934.3065693430653</v>
      </c>
      <c r="Q84" s="156"/>
      <c r="R84" s="156"/>
      <c r="S84" s="156"/>
    </row>
    <row r="85" spans="1:19" ht="17.25" thickBot="1">
      <c r="A85" s="111" t="s">
        <v>340</v>
      </c>
      <c r="B85" s="112">
        <v>590</v>
      </c>
      <c r="C85" s="71">
        <v>-3.3783784000000002E-3</v>
      </c>
      <c r="D85" s="20">
        <v>560</v>
      </c>
      <c r="E85" s="21">
        <f t="shared" si="38"/>
        <v>-5.0847457627118647E-2</v>
      </c>
      <c r="F85" s="22">
        <f>IF(ISNUMBER(D85), $B91 * E85, "")</f>
        <v>-7627.1186440677975</v>
      </c>
      <c r="G85" s="30">
        <v>560</v>
      </c>
      <c r="H85" s="21">
        <f t="shared" si="39"/>
        <v>-5.0847457627118647E-2</v>
      </c>
      <c r="I85" s="95">
        <f>IF(ISNUMBER(G85), $B91 * H85, "")</f>
        <v>-7627.1186440677975</v>
      </c>
      <c r="J85" s="20">
        <v>560</v>
      </c>
      <c r="K85" s="21">
        <f t="shared" si="40"/>
        <v>-5.0847457627118647E-2</v>
      </c>
      <c r="L85" s="22">
        <f>IF(ISNUMBER(J85), $B91 * K85, "")</f>
        <v>-7627.1186440677975</v>
      </c>
      <c r="M85" s="30">
        <v>562</v>
      </c>
      <c r="N85" s="21">
        <f t="shared" si="41"/>
        <v>-4.7457627118644069E-2</v>
      </c>
      <c r="O85" s="22">
        <f>IF(ISNUMBER(M85), $B91 * N85, "")</f>
        <v>-7118.6440677966102</v>
      </c>
      <c r="Q85" s="156"/>
      <c r="R85" s="156"/>
      <c r="S85" s="156"/>
    </row>
    <row r="86" spans="1:19" ht="17.25" thickBot="1">
      <c r="A86" s="109" t="s">
        <v>81</v>
      </c>
      <c r="B86" s="113">
        <v>415</v>
      </c>
      <c r="C86" s="73">
        <v>-4.7961630999999996E-3</v>
      </c>
      <c r="D86" s="96">
        <v>405</v>
      </c>
      <c r="E86" s="97">
        <f>IF(ISNUMBER(D86), (D86 - $B86) / $B86, "")</f>
        <v>-2.4096385542168676E-2</v>
      </c>
      <c r="F86" s="98">
        <f>IF(ISNUMBER(D86), $B91 * E86, "")</f>
        <v>-3614.4578313253014</v>
      </c>
      <c r="G86" s="99">
        <v>405</v>
      </c>
      <c r="H86" s="97">
        <f>IF(ISNUMBER(G86), (G86 - $B86) / $B86, "")</f>
        <v>-2.4096385542168676E-2</v>
      </c>
      <c r="I86" s="100">
        <f>IF(ISNUMBER(G86), $B91 * H86, "")</f>
        <v>-3614.4578313253014</v>
      </c>
      <c r="J86" s="96">
        <v>405</v>
      </c>
      <c r="K86" s="97">
        <f>IF(ISNUMBER(J86), (J86 - $B86) / $B86, "")</f>
        <v>-2.4096385542168676E-2</v>
      </c>
      <c r="L86" s="98">
        <f>IF(ISNUMBER(J86), $B91 * K86, "")</f>
        <v>-3614.4578313253014</v>
      </c>
      <c r="M86" s="99">
        <v>405</v>
      </c>
      <c r="N86" s="97">
        <f>IF(ISNUMBER(M86), (M86 - $B86) / $B86, "")</f>
        <v>-2.4096385542168676E-2</v>
      </c>
      <c r="O86" s="98">
        <f>IF(ISNUMBER(M86), $B91 * N86, "")</f>
        <v>-3614.4578313253014</v>
      </c>
      <c r="Q86" s="161"/>
      <c r="R86" s="161"/>
      <c r="S86" s="161"/>
    </row>
    <row r="87" spans="1:19" ht="17.25" thickBot="1">
      <c r="A87" s="109" t="s">
        <v>85</v>
      </c>
      <c r="B87" s="110">
        <v>199</v>
      </c>
      <c r="C87" s="70">
        <v>-5.0000000000000001E-3</v>
      </c>
      <c r="D87" s="15">
        <v>180</v>
      </c>
      <c r="E87" s="32">
        <f t="shared" ref="E87:E90" si="42">IF(ISNUMBER(D87), (D87 - $B87) / $B87, "")</f>
        <v>-9.5477386934673364E-2</v>
      </c>
      <c r="F87" s="18">
        <f>IF(ISNUMBER(D87), $B91 * E87, "")</f>
        <v>-14321.608040201005</v>
      </c>
      <c r="G87" s="31">
        <v>180</v>
      </c>
      <c r="H87" s="32">
        <f t="shared" ref="H87:H90" si="43">IF(ISNUMBER(G87), (G87 - $B87) / $B87, "")</f>
        <v>-9.5477386934673364E-2</v>
      </c>
      <c r="I87" s="91">
        <f>IF(ISNUMBER(G87), $B91 * H87, "")</f>
        <v>-14321.608040201005</v>
      </c>
      <c r="J87" s="15">
        <v>180</v>
      </c>
      <c r="K87" s="32">
        <f t="shared" ref="K87:K90" si="44">IF(ISNUMBER(J87), (J87 - $B87) / $B87, "")</f>
        <v>-9.5477386934673364E-2</v>
      </c>
      <c r="L87" s="18">
        <f>IF(ISNUMBER(J87), $B91 * K87, "")</f>
        <v>-14321.608040201005</v>
      </c>
      <c r="M87" s="31">
        <v>181</v>
      </c>
      <c r="N87" s="32">
        <f t="shared" ref="N87:N90" si="45">IF(ISNUMBER(M87), (M87 - $B87) / $B87, "")</f>
        <v>-9.0452261306532666E-2</v>
      </c>
      <c r="O87" s="18">
        <f>IF(ISNUMBER(M87), $B91 * N87, "")</f>
        <v>-13567.839195979899</v>
      </c>
      <c r="Q87" s="161"/>
      <c r="R87" s="161"/>
      <c r="S87" s="161"/>
    </row>
    <row r="88" spans="1:19" ht="17.25" thickBot="1">
      <c r="A88" s="109" t="s">
        <v>89</v>
      </c>
      <c r="B88" s="110">
        <v>512</v>
      </c>
      <c r="C88" s="70">
        <v>-5.8252427000000002E-3</v>
      </c>
      <c r="D88" s="15">
        <v>497</v>
      </c>
      <c r="E88" s="32">
        <f t="shared" si="42"/>
        <v>-2.9296875E-2</v>
      </c>
      <c r="F88" s="18">
        <f>IF(ISNUMBER(D88), $B91 * E88, "")</f>
        <v>-4394.53125</v>
      </c>
      <c r="G88" s="31">
        <v>497</v>
      </c>
      <c r="H88" s="32">
        <f t="shared" si="43"/>
        <v>-2.9296875E-2</v>
      </c>
      <c r="I88" s="91">
        <f>IF(ISNUMBER(G88), $B91 * H88, "")</f>
        <v>-4394.53125</v>
      </c>
      <c r="J88" s="15">
        <v>497</v>
      </c>
      <c r="K88" s="32">
        <f t="shared" si="44"/>
        <v>-2.9296875E-2</v>
      </c>
      <c r="L88" s="18">
        <f>IF(ISNUMBER(J88), $B91 * K88, "")</f>
        <v>-4394.53125</v>
      </c>
      <c r="M88" s="31">
        <v>499</v>
      </c>
      <c r="N88" s="32">
        <f t="shared" si="45"/>
        <v>-2.5390625E-2</v>
      </c>
      <c r="O88" s="18">
        <f>IF(ISNUMBER(M88), $B91 * N88, "")</f>
        <v>-3808.59375</v>
      </c>
      <c r="Q88" s="161"/>
      <c r="R88" s="161"/>
      <c r="S88" s="161"/>
    </row>
    <row r="89" spans="1:19">
      <c r="A89" s="109" t="s">
        <v>256</v>
      </c>
      <c r="B89" s="110">
        <v>128</v>
      </c>
      <c r="C89" s="70">
        <v>-7.7519379999999999E-3</v>
      </c>
      <c r="D89" s="15">
        <v>118</v>
      </c>
      <c r="E89" s="32">
        <f t="shared" si="42"/>
        <v>-7.8125E-2</v>
      </c>
      <c r="F89" s="18">
        <f>IF(ISNUMBER(D89), $B91 * E89, "")</f>
        <v>-11718.75</v>
      </c>
      <c r="G89" s="31">
        <v>118</v>
      </c>
      <c r="H89" s="32">
        <f t="shared" si="43"/>
        <v>-7.8125E-2</v>
      </c>
      <c r="I89" s="91">
        <f>IF(ISNUMBER(G89), $B91 * H89, "")</f>
        <v>-11718.75</v>
      </c>
      <c r="J89" s="15">
        <v>118</v>
      </c>
      <c r="K89" s="32">
        <f t="shared" si="44"/>
        <v>-7.8125E-2</v>
      </c>
      <c r="L89" s="18">
        <f>IF(ISNUMBER(J89), $B91 * K89, "")</f>
        <v>-11718.75</v>
      </c>
      <c r="M89" s="31">
        <v>118</v>
      </c>
      <c r="N89" s="32">
        <f t="shared" si="45"/>
        <v>-7.8125E-2</v>
      </c>
      <c r="O89" s="18">
        <f>IF(ISNUMBER(M89), $B91 * N89, "")</f>
        <v>-11718.75</v>
      </c>
      <c r="Q89" s="183"/>
      <c r="R89" s="184"/>
      <c r="S89" s="185"/>
    </row>
    <row r="90" spans="1:19" ht="17.25" thickBot="1">
      <c r="A90" s="114" t="s">
        <v>202</v>
      </c>
      <c r="B90" s="115">
        <v>357</v>
      </c>
      <c r="C90" s="72">
        <v>-8.3333333000000006E-3</v>
      </c>
      <c r="D90" s="24">
        <v>338</v>
      </c>
      <c r="E90" s="25">
        <f t="shared" si="42"/>
        <v>-5.3221288515406161E-2</v>
      </c>
      <c r="F90" s="94">
        <f>IF(ISNUMBER(D90), $B91 * E90, "")</f>
        <v>-7983.1932773109238</v>
      </c>
      <c r="G90" s="92">
        <v>338</v>
      </c>
      <c r="H90" s="25">
        <f t="shared" si="43"/>
        <v>-5.3221288515406161E-2</v>
      </c>
      <c r="I90" s="93">
        <f>IF(ISNUMBER(G90), $B91 * H90, "")</f>
        <v>-7983.1932773109238</v>
      </c>
      <c r="J90" s="24">
        <v>338</v>
      </c>
      <c r="K90" s="25">
        <f t="shared" si="44"/>
        <v>-5.3221288515406161E-2</v>
      </c>
      <c r="L90" s="94">
        <f>IF(ISNUMBER(J90), $B91 * K90, "")</f>
        <v>-7983.1932773109238</v>
      </c>
      <c r="M90" s="92">
        <v>339</v>
      </c>
      <c r="N90" s="25">
        <f t="shared" si="45"/>
        <v>-5.0420168067226892E-2</v>
      </c>
      <c r="O90" s="94">
        <f>IF(ISNUMBER(M90), $B91 * N90, "")</f>
        <v>-7563.0252100840335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-5.1789698461258839E-2</v>
      </c>
      <c r="F91" s="28">
        <f>SUM(F71:F90)</f>
        <v>-155369.09538377653</v>
      </c>
      <c r="G91" s="26" t="s">
        <v>261</v>
      </c>
      <c r="H91" s="27">
        <f>IF(COUNT(H71:H90), SUM(H71:H90) / COUNT(H71:H90), 0)</f>
        <v>-5.1789698461258839E-2</v>
      </c>
      <c r="I91" s="28">
        <f>SUM(I71:I90)</f>
        <v>-155369.09538377653</v>
      </c>
      <c r="J91" s="26" t="s">
        <v>261</v>
      </c>
      <c r="K91" s="27">
        <f>IF(COUNT(K71:K90), SUM(K71:K90) / COUNT(K71:K90), 0)</f>
        <v>-5.1789698461258839E-2</v>
      </c>
      <c r="L91" s="28">
        <f>SUM(L71:L90)</f>
        <v>-155369.09538377653</v>
      </c>
      <c r="M91" s="26" t="s">
        <v>261</v>
      </c>
      <c r="N91" s="27">
        <f>IF(COUNT(N71:N90), SUM(N71:N90) / COUNT(N71:N90), 0)</f>
        <v>-4.9149799930873393E-2</v>
      </c>
      <c r="O91" s="28">
        <f>SUM(O71:O90)</f>
        <v>-147449.39979262021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2022-12-12(월) 오전 00:00</v>
      </c>
      <c r="C96" s="199"/>
      <c r="D96" s="158" t="str">
        <f>TEXT($G$1, "[$-ko-KR]yyyy-mm-dd(ddd) ") &amp; "오후 14:00"</f>
        <v>2022-12-12(월) 오후 14:00</v>
      </c>
      <c r="E96" s="159"/>
      <c r="F96" s="160"/>
      <c r="G96" s="158" t="str">
        <f>TEXT($G$1, "[$-ko-KR]yyyy-mm-dd(ddd) ") &amp; "오후 19:00"</f>
        <v>2022-12-12(월) 오후 19:00</v>
      </c>
      <c r="H96" s="159"/>
      <c r="I96" s="160"/>
      <c r="J96" s="158" t="str">
        <f>TEXT($G$1, "[$-ko-KR]yyyy-mm-dd(ddd) ") &amp; "오후 21:00"</f>
        <v>2022-12-12(월) 오후 21:00</v>
      </c>
      <c r="K96" s="159"/>
      <c r="L96" s="160"/>
      <c r="M96" s="158" t="str">
        <f>TEXT($G$1+1, "[$-ko-KR]yyyy-mm-dd(ddd) ") &amp; "오전 00:00"</f>
        <v>2022-12-13(화)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204</v>
      </c>
      <c r="B98" s="108">
        <v>311</v>
      </c>
      <c r="C98" s="69">
        <v>0.1227436823</v>
      </c>
      <c r="D98" s="13">
        <v>285</v>
      </c>
      <c r="E98" s="14">
        <f>IF(ISNUMBER(D98), (D98 - $B98) / $B98, "")</f>
        <v>-8.3601286173633438E-2</v>
      </c>
      <c r="F98" s="16">
        <f>IF(ISNUMBER(D98), $B118 * E98, "")</f>
        <v>-12540.192926045016</v>
      </c>
      <c r="G98" s="29">
        <v>285</v>
      </c>
      <c r="H98" s="14">
        <f>IF(ISNUMBER(G98), (G98 - $B98) / $B98, "")</f>
        <v>-8.3601286173633438E-2</v>
      </c>
      <c r="I98" s="90">
        <f>IF(ISNUMBER(G98), $B118 * H98, "")</f>
        <v>-12540.192926045016</v>
      </c>
      <c r="J98" s="13">
        <v>285</v>
      </c>
      <c r="K98" s="14">
        <f>IF(ISNUMBER(J98), (J98 - $B98) / $B98, "")</f>
        <v>-8.3601286173633438E-2</v>
      </c>
      <c r="L98" s="16">
        <f>IF(ISNUMBER(J98), $B118 * K98, "")</f>
        <v>-12540.192926045016</v>
      </c>
      <c r="M98" s="29">
        <v>284</v>
      </c>
      <c r="N98" s="14">
        <f>IF(ISNUMBER(M98), (M98 - $B98) / $B98, "")</f>
        <v>-8.6816720257234734E-2</v>
      </c>
      <c r="O98" s="16">
        <f>IF(ISNUMBER(M98), $B118 * N98, "")</f>
        <v>-13022.508038585211</v>
      </c>
      <c r="Q98" s="156"/>
      <c r="R98" s="156"/>
      <c r="S98" s="156"/>
    </row>
    <row r="99" spans="1:19" ht="17.25" thickBot="1">
      <c r="A99" s="109" t="s">
        <v>62</v>
      </c>
      <c r="B99" s="110">
        <v>10190</v>
      </c>
      <c r="C99" s="70">
        <v>5.2142488399999999E-2</v>
      </c>
      <c r="D99" s="15">
        <v>10550</v>
      </c>
      <c r="E99" s="32">
        <f t="shared" ref="E99:E102" si="46">IF(ISNUMBER(D99), (D99 - $B99) / $B99, "")</f>
        <v>3.5328753680078512E-2</v>
      </c>
      <c r="F99" s="18">
        <f>IF(ISNUMBER(D99), $B118 * E99, "")</f>
        <v>5299.3130520117766</v>
      </c>
      <c r="G99" s="31">
        <v>10550</v>
      </c>
      <c r="H99" s="32">
        <f t="shared" ref="H99:H102" si="47">IF(ISNUMBER(G99), (G99 - $B99) / $B99, "")</f>
        <v>3.5328753680078512E-2</v>
      </c>
      <c r="I99" s="91">
        <f>IF(ISNUMBER(G99), $B118 * H99, "")</f>
        <v>5299.3130520117766</v>
      </c>
      <c r="J99" s="15">
        <v>10550</v>
      </c>
      <c r="K99" s="32">
        <f t="shared" ref="K99:K102" si="48">IF(ISNUMBER(J99), (J99 - $B99) / $B99, "")</f>
        <v>3.5328753680078512E-2</v>
      </c>
      <c r="L99" s="18">
        <f>IF(ISNUMBER(J99), $B118 * K99, "")</f>
        <v>5299.3130520117766</v>
      </c>
      <c r="M99" s="31">
        <v>10400</v>
      </c>
      <c r="N99" s="32">
        <f t="shared" ref="N99:N102" si="49">IF(ISNUMBER(M99), (M99 - $B99) / $B99, "")</f>
        <v>2.0608439646712464E-2</v>
      </c>
      <c r="O99" s="18">
        <f>IF(ISNUMBER(M99), $B118 * N99, "")</f>
        <v>3091.2659470068697</v>
      </c>
      <c r="Q99" s="156"/>
      <c r="R99" s="156"/>
      <c r="S99" s="156"/>
    </row>
    <row r="100" spans="1:19" ht="17.25" thickBot="1">
      <c r="A100" s="109" t="s">
        <v>161</v>
      </c>
      <c r="B100" s="110">
        <v>380</v>
      </c>
      <c r="C100" s="70">
        <v>4.9723756899999999E-2</v>
      </c>
      <c r="D100" s="15">
        <v>388</v>
      </c>
      <c r="E100" s="32">
        <f t="shared" si="46"/>
        <v>2.1052631578947368E-2</v>
      </c>
      <c r="F100" s="18">
        <f>IF(ISNUMBER(D100), $B118 * E100, "")</f>
        <v>3157.894736842105</v>
      </c>
      <c r="G100" s="31">
        <v>388</v>
      </c>
      <c r="H100" s="32">
        <f t="shared" si="47"/>
        <v>2.1052631578947368E-2</v>
      </c>
      <c r="I100" s="91">
        <f>IF(ISNUMBER(G100), $B118 * H100, "")</f>
        <v>3157.894736842105</v>
      </c>
      <c r="J100" s="15">
        <v>388</v>
      </c>
      <c r="K100" s="32">
        <f t="shared" si="48"/>
        <v>2.1052631578947368E-2</v>
      </c>
      <c r="L100" s="18">
        <f>IF(ISNUMBER(J100), $B118 * K100, "")</f>
        <v>3157.894736842105</v>
      </c>
      <c r="M100" s="31">
        <v>390</v>
      </c>
      <c r="N100" s="32">
        <f t="shared" si="49"/>
        <v>2.6315789473684209E-2</v>
      </c>
      <c r="O100" s="18">
        <f>IF(ISNUMBER(M100), $B118 * N100, "")</f>
        <v>3947.3684210526312</v>
      </c>
      <c r="Q100" s="161"/>
      <c r="R100" s="161"/>
      <c r="S100" s="161"/>
    </row>
    <row r="101" spans="1:19" ht="17.25" thickBot="1">
      <c r="A101" s="109" t="s">
        <v>130</v>
      </c>
      <c r="B101" s="110">
        <v>867</v>
      </c>
      <c r="C101" s="70">
        <v>2.7251184800000001E-2</v>
      </c>
      <c r="D101" s="15">
        <v>805</v>
      </c>
      <c r="E101" s="32">
        <f t="shared" si="46"/>
        <v>-7.1510957324106117E-2</v>
      </c>
      <c r="F101" s="18">
        <f>IF(ISNUMBER(D101), $B118 * E101, "")</f>
        <v>-10726.643598615918</v>
      </c>
      <c r="G101" s="31">
        <v>805</v>
      </c>
      <c r="H101" s="32">
        <f t="shared" si="47"/>
        <v>-7.1510957324106117E-2</v>
      </c>
      <c r="I101" s="91">
        <f>IF(ISNUMBER(G101), $B118 * H101, "")</f>
        <v>-10726.643598615918</v>
      </c>
      <c r="J101" s="15">
        <v>805</v>
      </c>
      <c r="K101" s="32">
        <f t="shared" si="48"/>
        <v>-7.1510957324106117E-2</v>
      </c>
      <c r="L101" s="18">
        <f>IF(ISNUMBER(J101), $B118 * K101, "")</f>
        <v>-10726.643598615918</v>
      </c>
      <c r="M101" s="31">
        <v>813</v>
      </c>
      <c r="N101" s="32">
        <f t="shared" si="49"/>
        <v>-6.228373702422145E-2</v>
      </c>
      <c r="O101" s="18">
        <f>IF(ISNUMBER(M101), $B118 * N101, "")</f>
        <v>-9342.5605536332168</v>
      </c>
      <c r="Q101" s="161"/>
      <c r="R101" s="161"/>
      <c r="S101" s="161"/>
    </row>
    <row r="102" spans="1:19" ht="17.25" thickBot="1">
      <c r="A102" s="111" t="s">
        <v>172</v>
      </c>
      <c r="B102" s="112">
        <v>3025</v>
      </c>
      <c r="C102" s="71">
        <v>2.7164685899999999E-2</v>
      </c>
      <c r="D102" s="20">
        <v>2895</v>
      </c>
      <c r="E102" s="21">
        <f t="shared" si="46"/>
        <v>-4.2975206611570248E-2</v>
      </c>
      <c r="F102" s="22">
        <f>IF(ISNUMBER(D102), $B118 * E102, "")</f>
        <v>-6446.2809917355371</v>
      </c>
      <c r="G102" s="30">
        <v>2895</v>
      </c>
      <c r="H102" s="21">
        <f t="shared" si="47"/>
        <v>-4.2975206611570248E-2</v>
      </c>
      <c r="I102" s="95">
        <f>IF(ISNUMBER(G102), $B118 * H102, "")</f>
        <v>-6446.2809917355371</v>
      </c>
      <c r="J102" s="20">
        <v>2895</v>
      </c>
      <c r="K102" s="21">
        <f t="shared" si="48"/>
        <v>-4.2975206611570248E-2</v>
      </c>
      <c r="L102" s="22">
        <f>IF(ISNUMBER(J102), $B118 * K102, "")</f>
        <v>-6446.2809917355371</v>
      </c>
      <c r="M102" s="30">
        <v>2910</v>
      </c>
      <c r="N102" s="21">
        <f t="shared" si="49"/>
        <v>-3.8016528925619832E-2</v>
      </c>
      <c r="O102" s="22">
        <f>IF(ISNUMBER(M102), $B118 * N102, "")</f>
        <v>-5702.4793388429744</v>
      </c>
      <c r="Q102" s="161"/>
      <c r="R102" s="161"/>
      <c r="S102" s="161"/>
    </row>
    <row r="103" spans="1:19" ht="17.25" thickBot="1">
      <c r="A103" s="109" t="s">
        <v>216</v>
      </c>
      <c r="B103" s="113">
        <v>539</v>
      </c>
      <c r="C103" s="73">
        <v>2.27703985E-2</v>
      </c>
      <c r="D103" s="96">
        <v>515</v>
      </c>
      <c r="E103" s="97">
        <f>IF(ISNUMBER(D103), (D103 - $B103) / $B103, "")</f>
        <v>-4.4526901669758812E-2</v>
      </c>
      <c r="F103" s="98">
        <f>IF(ISNUMBER(D103), $B118 * E103, "")</f>
        <v>-6679.0352504638213</v>
      </c>
      <c r="G103" s="99">
        <v>515</v>
      </c>
      <c r="H103" s="97">
        <f>IF(ISNUMBER(G103), (G103 - $B103) / $B103, "")</f>
        <v>-4.4526901669758812E-2</v>
      </c>
      <c r="I103" s="100">
        <f>IF(ISNUMBER(G103), $B118 * H103, "")</f>
        <v>-6679.0352504638213</v>
      </c>
      <c r="J103" s="96">
        <v>515</v>
      </c>
      <c r="K103" s="97">
        <f>IF(ISNUMBER(J103), (J103 - $B103) / $B103, "")</f>
        <v>-4.4526901669758812E-2</v>
      </c>
      <c r="L103" s="98">
        <f>IF(ISNUMBER(J103), $B118 * K103, "")</f>
        <v>-6679.0352504638213</v>
      </c>
      <c r="M103" s="99">
        <v>515</v>
      </c>
      <c r="N103" s="97">
        <f>IF(ISNUMBER(M103), (M103 - $B103) / $B103, "")</f>
        <v>-4.4526901669758812E-2</v>
      </c>
      <c r="O103" s="98">
        <f>IF(ISNUMBER(M103), $B118 * N103, "")</f>
        <v>-6679.0352504638213</v>
      </c>
      <c r="Q103" s="161"/>
      <c r="R103" s="161"/>
      <c r="S103" s="161"/>
    </row>
    <row r="104" spans="1:19" ht="17.25" thickBot="1">
      <c r="A104" s="109" t="s">
        <v>183</v>
      </c>
      <c r="B104" s="110">
        <v>156</v>
      </c>
      <c r="C104" s="70">
        <v>1.9607843100000001E-2</v>
      </c>
      <c r="D104" s="15">
        <v>142</v>
      </c>
      <c r="E104" s="32">
        <f t="shared" ref="E104:E107" si="50">IF(ISNUMBER(D104), (D104 - $B104) / $B104, "")</f>
        <v>-8.9743589743589744E-2</v>
      </c>
      <c r="F104" s="18">
        <f>IF(ISNUMBER(D104), $B118 * E104, "")</f>
        <v>-13461.538461538461</v>
      </c>
      <c r="G104" s="31">
        <v>142</v>
      </c>
      <c r="H104" s="32">
        <f t="shared" ref="H104:H107" si="51">IF(ISNUMBER(G104), (G104 - $B104) / $B104, "")</f>
        <v>-8.9743589743589744E-2</v>
      </c>
      <c r="I104" s="91">
        <f>IF(ISNUMBER(G104), $B118 * H104, "")</f>
        <v>-13461.538461538461</v>
      </c>
      <c r="J104" s="15">
        <v>142</v>
      </c>
      <c r="K104" s="32">
        <f t="shared" ref="K104:K107" si="52">IF(ISNUMBER(J104), (J104 - $B104) / $B104, "")</f>
        <v>-8.9743589743589744E-2</v>
      </c>
      <c r="L104" s="18">
        <f>IF(ISNUMBER(J104), $B118 * K104, "")</f>
        <v>-13461.538461538461</v>
      </c>
      <c r="M104" s="31">
        <v>143</v>
      </c>
      <c r="N104" s="32">
        <f t="shared" ref="N104:N107" si="53">IF(ISNUMBER(M104), (M104 - $B104) / $B104, "")</f>
        <v>-8.3333333333333329E-2</v>
      </c>
      <c r="O104" s="18">
        <f>IF(ISNUMBER(M104), $B118 * N104, "")</f>
        <v>-12500</v>
      </c>
      <c r="Q104" s="161"/>
      <c r="R104" s="161"/>
      <c r="S104" s="161"/>
    </row>
    <row r="105" spans="1:19" ht="17.25" thickBot="1">
      <c r="A105" s="109" t="s">
        <v>87</v>
      </c>
      <c r="B105" s="110">
        <v>59050</v>
      </c>
      <c r="C105" s="70">
        <v>1.7927943500000001E-2</v>
      </c>
      <c r="D105" s="15">
        <v>64820</v>
      </c>
      <c r="E105" s="32">
        <f t="shared" si="50"/>
        <v>9.7713801862828117E-2</v>
      </c>
      <c r="F105" s="18">
        <f>IF(ISNUMBER(D105), $B118 * E105, "")</f>
        <v>14657.070279424217</v>
      </c>
      <c r="G105" s="31">
        <v>64820</v>
      </c>
      <c r="H105" s="32">
        <f t="shared" si="51"/>
        <v>9.7713801862828117E-2</v>
      </c>
      <c r="I105" s="91">
        <f>IF(ISNUMBER(G105), $B118 * H105, "")</f>
        <v>14657.070279424217</v>
      </c>
      <c r="J105" s="15">
        <v>64820</v>
      </c>
      <c r="K105" s="32">
        <f t="shared" si="52"/>
        <v>9.7713801862828117E-2</v>
      </c>
      <c r="L105" s="18">
        <f>IF(ISNUMBER(J105), $B118 * K105, "")</f>
        <v>14657.070279424217</v>
      </c>
      <c r="M105" s="31">
        <v>60720</v>
      </c>
      <c r="N105" s="32">
        <f t="shared" si="53"/>
        <v>2.8281117696867062E-2</v>
      </c>
      <c r="O105" s="18">
        <f>IF(ISNUMBER(M105), $B118 * N105, "")</f>
        <v>4242.1676545300597</v>
      </c>
      <c r="Q105" s="161"/>
      <c r="R105" s="161"/>
      <c r="S105" s="161"/>
    </row>
    <row r="106" spans="1:19" ht="17.25" thickBot="1">
      <c r="A106" s="109" t="s">
        <v>134</v>
      </c>
      <c r="B106" s="110">
        <v>1600</v>
      </c>
      <c r="C106" s="70">
        <v>1.5873015899999999E-2</v>
      </c>
      <c r="D106" s="15">
        <v>1510</v>
      </c>
      <c r="E106" s="32">
        <f t="shared" si="50"/>
        <v>-5.6250000000000001E-2</v>
      </c>
      <c r="F106" s="18">
        <f>IF(ISNUMBER(D106), $B118 * E106, "")</f>
        <v>-8437.5</v>
      </c>
      <c r="G106" s="31">
        <v>1510</v>
      </c>
      <c r="H106" s="32">
        <f t="shared" si="51"/>
        <v>-5.6250000000000001E-2</v>
      </c>
      <c r="I106" s="91">
        <f>IF(ISNUMBER(G106), $B118 * H106, "")</f>
        <v>-8437.5</v>
      </c>
      <c r="J106" s="15">
        <v>1510</v>
      </c>
      <c r="K106" s="32">
        <f t="shared" si="52"/>
        <v>-5.6250000000000001E-2</v>
      </c>
      <c r="L106" s="18">
        <f>IF(ISNUMBER(J106), $B118 * K106, "")</f>
        <v>-8437.5</v>
      </c>
      <c r="M106" s="31">
        <v>1510</v>
      </c>
      <c r="N106" s="32">
        <f t="shared" si="53"/>
        <v>-5.6250000000000001E-2</v>
      </c>
      <c r="O106" s="18">
        <f>IF(ISNUMBER(M106), $B118 * N106, "")</f>
        <v>-8437.5</v>
      </c>
      <c r="Q106" s="33"/>
      <c r="R106" s="33"/>
    </row>
    <row r="107" spans="1:19" ht="17.25" thickBot="1">
      <c r="A107" s="114" t="s">
        <v>103</v>
      </c>
      <c r="B107" s="115">
        <v>261</v>
      </c>
      <c r="C107" s="72">
        <v>1.55642023E-2</v>
      </c>
      <c r="D107" s="24">
        <v>250</v>
      </c>
      <c r="E107" s="25">
        <f t="shared" si="50"/>
        <v>-4.2145593869731802E-2</v>
      </c>
      <c r="F107" s="94">
        <f>IF(ISNUMBER(D107), $B118 * E107, "")</f>
        <v>-6321.8390804597702</v>
      </c>
      <c r="G107" s="92">
        <v>250</v>
      </c>
      <c r="H107" s="25">
        <f t="shared" si="51"/>
        <v>-4.2145593869731802E-2</v>
      </c>
      <c r="I107" s="93">
        <f>IF(ISNUMBER(G107), $B118 * H107, "")</f>
        <v>-6321.8390804597702</v>
      </c>
      <c r="J107" s="24">
        <v>250</v>
      </c>
      <c r="K107" s="25">
        <f t="shared" si="52"/>
        <v>-4.2145593869731802E-2</v>
      </c>
      <c r="L107" s="94">
        <f>IF(ISNUMBER(J107), $B118 * K107, "")</f>
        <v>-6321.8390804597702</v>
      </c>
      <c r="M107" s="92">
        <v>249</v>
      </c>
      <c r="N107" s="25">
        <f t="shared" si="53"/>
        <v>-4.5977011494252873E-2</v>
      </c>
      <c r="O107" s="94">
        <f>IF(ISNUMBER(M107), $B118 * N107, "")</f>
        <v>-6896.5517241379312</v>
      </c>
      <c r="Q107" s="170"/>
      <c r="R107" s="171"/>
      <c r="S107" s="172"/>
    </row>
    <row r="108" spans="1:19">
      <c r="A108" s="107" t="s">
        <v>120</v>
      </c>
      <c r="B108" s="108">
        <v>132</v>
      </c>
      <c r="C108" s="69">
        <v>1.5384615399999999E-2</v>
      </c>
      <c r="D108" s="13">
        <v>125</v>
      </c>
      <c r="E108" s="14">
        <f>IF(ISNUMBER(D108), (D108 - $B108) / $B108, "")</f>
        <v>-5.3030303030303032E-2</v>
      </c>
      <c r="F108" s="16">
        <f>IF(ISNUMBER(D108), $B118 * E108, "")</f>
        <v>-7954.545454545455</v>
      </c>
      <c r="G108" s="29">
        <v>125</v>
      </c>
      <c r="H108" s="14">
        <f>IF(ISNUMBER(G108), (G108 - $B108) / $B108, "")</f>
        <v>-5.3030303030303032E-2</v>
      </c>
      <c r="I108" s="90">
        <f>IF(ISNUMBER(G108), $B118 * H108, "")</f>
        <v>-7954.545454545455</v>
      </c>
      <c r="J108" s="13">
        <v>125</v>
      </c>
      <c r="K108" s="14">
        <f>IF(ISNUMBER(J108), (J108 - $B108) / $B108, "")</f>
        <v>-5.3030303030303032E-2</v>
      </c>
      <c r="L108" s="16">
        <f>IF(ISNUMBER(J108), $B118 * K108, "")</f>
        <v>-7954.545454545455</v>
      </c>
      <c r="M108" s="29">
        <v>125</v>
      </c>
      <c r="N108" s="14">
        <f>IF(ISNUMBER(M108), (M108 - $B108) / $B108, "")</f>
        <v>-5.3030303030303032E-2</v>
      </c>
      <c r="O108" s="16">
        <f>IF(ISNUMBER(M108), $B118 * N108, "")</f>
        <v>-7954.545454545455</v>
      </c>
      <c r="Q108" s="173"/>
      <c r="R108" s="174"/>
      <c r="S108" s="175"/>
    </row>
    <row r="109" spans="1:19" ht="17.25" thickBot="1">
      <c r="A109" s="109" t="s">
        <v>122</v>
      </c>
      <c r="B109" s="110">
        <v>25.8</v>
      </c>
      <c r="C109" s="70">
        <v>1.17647059E-2</v>
      </c>
      <c r="D109" s="15">
        <v>24.7</v>
      </c>
      <c r="E109" s="32">
        <f t="shared" ref="E109:E112" si="54">IF(ISNUMBER(D109), (D109 - $B109) / $B109, "")</f>
        <v>-4.2635658914728737E-2</v>
      </c>
      <c r="F109" s="18">
        <f>IF(ISNUMBER(D109), $B118 * E109, "")</f>
        <v>-6395.3488372093107</v>
      </c>
      <c r="G109" s="31">
        <v>24.7</v>
      </c>
      <c r="H109" s="32">
        <f t="shared" ref="H109:H112" si="55">IF(ISNUMBER(G109), (G109 - $B109) / $B109, "")</f>
        <v>-4.2635658914728737E-2</v>
      </c>
      <c r="I109" s="91">
        <f>IF(ISNUMBER(G109), $B118 * H109, "")</f>
        <v>-6395.3488372093107</v>
      </c>
      <c r="J109" s="15">
        <v>24.7</v>
      </c>
      <c r="K109" s="32">
        <f t="shared" ref="K109:K112" si="56">IF(ISNUMBER(J109), (J109 - $B109) / $B109, "")</f>
        <v>-4.2635658914728737E-2</v>
      </c>
      <c r="L109" s="18">
        <f>IF(ISNUMBER(J109), $B118 * K109, "")</f>
        <v>-6395.3488372093107</v>
      </c>
      <c r="M109" s="31">
        <v>24.8</v>
      </c>
      <c r="N109" s="32">
        <f t="shared" ref="N109:N112" si="57">IF(ISNUMBER(M109), (M109 - $B109) / $B109, "")</f>
        <v>-3.875968992248062E-2</v>
      </c>
      <c r="O109" s="18">
        <f>IF(ISNUMBER(M109), $B118 * N109, "")</f>
        <v>-5813.9534883720926</v>
      </c>
      <c r="Q109" s="176"/>
      <c r="R109" s="177"/>
      <c r="S109" s="178"/>
    </row>
    <row r="110" spans="1:19" ht="17.25" thickBot="1">
      <c r="A110" s="109" t="s">
        <v>187</v>
      </c>
      <c r="B110" s="110">
        <v>824</v>
      </c>
      <c r="C110" s="70">
        <v>1.1042944799999999E-2</v>
      </c>
      <c r="D110" s="15">
        <v>790</v>
      </c>
      <c r="E110" s="32">
        <f t="shared" si="54"/>
        <v>-4.12621359223301E-2</v>
      </c>
      <c r="F110" s="18">
        <f>IF(ISNUMBER(D110), $B118 * E110, "")</f>
        <v>-6189.3203883495153</v>
      </c>
      <c r="G110" s="31">
        <v>790</v>
      </c>
      <c r="H110" s="32">
        <f t="shared" si="55"/>
        <v>-4.12621359223301E-2</v>
      </c>
      <c r="I110" s="91">
        <f>IF(ISNUMBER(G110), $B118 * H110, "")</f>
        <v>-6189.3203883495153</v>
      </c>
      <c r="J110" s="15">
        <v>790</v>
      </c>
      <c r="K110" s="32">
        <f t="shared" si="56"/>
        <v>-4.12621359223301E-2</v>
      </c>
      <c r="L110" s="18">
        <f>IF(ISNUMBER(J110), $B118 * K110, "")</f>
        <v>-6189.3203883495153</v>
      </c>
      <c r="M110" s="31">
        <v>794</v>
      </c>
      <c r="N110" s="32">
        <f t="shared" si="57"/>
        <v>-3.640776699029126E-2</v>
      </c>
      <c r="O110" s="18">
        <f>IF(ISNUMBER(M110), $B118 * N110, "")</f>
        <v>-5461.1650485436894</v>
      </c>
      <c r="Q110" s="161"/>
      <c r="R110" s="161"/>
      <c r="S110" s="161"/>
    </row>
    <row r="111" spans="1:19" ht="17.25" thickBot="1">
      <c r="A111" s="109" t="s">
        <v>66</v>
      </c>
      <c r="B111" s="110">
        <v>769</v>
      </c>
      <c r="C111" s="70">
        <v>1.0512483600000001E-2</v>
      </c>
      <c r="D111" s="15">
        <v>736</v>
      </c>
      <c r="E111" s="32">
        <f t="shared" si="54"/>
        <v>-4.2912873862158647E-2</v>
      </c>
      <c r="F111" s="18">
        <f>IF(ISNUMBER(D111), $B118 * E111, "")</f>
        <v>-6436.9310793237973</v>
      </c>
      <c r="G111" s="31">
        <v>736</v>
      </c>
      <c r="H111" s="32">
        <f t="shared" si="55"/>
        <v>-4.2912873862158647E-2</v>
      </c>
      <c r="I111" s="91">
        <f>IF(ISNUMBER(G111), $B118 * H111, "")</f>
        <v>-6436.9310793237973</v>
      </c>
      <c r="J111" s="15">
        <v>736</v>
      </c>
      <c r="K111" s="32">
        <f t="shared" si="56"/>
        <v>-4.2912873862158647E-2</v>
      </c>
      <c r="L111" s="18">
        <f>IF(ISNUMBER(J111), $B118 * K111, "")</f>
        <v>-6436.9310793237973</v>
      </c>
      <c r="M111" s="31">
        <v>741</v>
      </c>
      <c r="N111" s="32">
        <f t="shared" si="57"/>
        <v>-3.6410923276983094E-2</v>
      </c>
      <c r="O111" s="18">
        <f>IF(ISNUMBER(M111), $B118 * N111, "")</f>
        <v>-5461.6384915474637</v>
      </c>
      <c r="Q111" s="156"/>
      <c r="R111" s="156"/>
      <c r="S111" s="156"/>
    </row>
    <row r="112" spans="1:19" ht="17.25" thickBot="1">
      <c r="A112" s="111" t="s">
        <v>83</v>
      </c>
      <c r="B112" s="112">
        <v>1385</v>
      </c>
      <c r="C112" s="71">
        <v>7.2727273000000002E-3</v>
      </c>
      <c r="D112" s="20">
        <v>1295</v>
      </c>
      <c r="E112" s="21">
        <f t="shared" si="54"/>
        <v>-6.4981949458483748E-2</v>
      </c>
      <c r="F112" s="22">
        <f>IF(ISNUMBER(D112), $B118 * E112, "")</f>
        <v>-9747.2924187725621</v>
      </c>
      <c r="G112" s="30">
        <v>1295</v>
      </c>
      <c r="H112" s="21">
        <f t="shared" si="55"/>
        <v>-6.4981949458483748E-2</v>
      </c>
      <c r="I112" s="95">
        <f>IF(ISNUMBER(G112), $B118 * H112, "")</f>
        <v>-9747.2924187725621</v>
      </c>
      <c r="J112" s="20">
        <v>1295</v>
      </c>
      <c r="K112" s="21">
        <f t="shared" si="56"/>
        <v>-6.4981949458483748E-2</v>
      </c>
      <c r="L112" s="22">
        <f>IF(ISNUMBER(J112), $B118 * K112, "")</f>
        <v>-9747.2924187725621</v>
      </c>
      <c r="M112" s="30">
        <v>1295</v>
      </c>
      <c r="N112" s="21">
        <f t="shared" si="57"/>
        <v>-6.4981949458483748E-2</v>
      </c>
      <c r="O112" s="22">
        <f>IF(ISNUMBER(M112), $B118 * N112, "")</f>
        <v>-9747.2924187725621</v>
      </c>
      <c r="Q112" s="156"/>
      <c r="R112" s="156"/>
      <c r="S112" s="156"/>
    </row>
    <row r="113" spans="1:19" ht="17.25" thickBot="1">
      <c r="A113" s="109" t="s">
        <v>165</v>
      </c>
      <c r="B113" s="113">
        <v>1020</v>
      </c>
      <c r="C113" s="73">
        <v>4.9261084000000004E-3</v>
      </c>
      <c r="D113" s="96">
        <v>956</v>
      </c>
      <c r="E113" s="97">
        <f>IF(ISNUMBER(D113), (D113 - $B113) / $B113, "")</f>
        <v>-6.2745098039215685E-2</v>
      </c>
      <c r="F113" s="98">
        <f>IF(ISNUMBER(D113), $B118 * E113, "")</f>
        <v>-9411.7647058823532</v>
      </c>
      <c r="G113" s="99">
        <v>956</v>
      </c>
      <c r="H113" s="97">
        <f>IF(ISNUMBER(G113), (G113 - $B113) / $B113, "")</f>
        <v>-6.2745098039215685E-2</v>
      </c>
      <c r="I113" s="100">
        <f>IF(ISNUMBER(G113), $B118 * H113, "")</f>
        <v>-9411.7647058823532</v>
      </c>
      <c r="J113" s="96">
        <v>956</v>
      </c>
      <c r="K113" s="97">
        <f>IF(ISNUMBER(J113), (J113 - $B113) / $B113, "")</f>
        <v>-6.2745098039215685E-2</v>
      </c>
      <c r="L113" s="98">
        <f>IF(ISNUMBER(J113), $B118 * K113, "")</f>
        <v>-9411.7647058823532</v>
      </c>
      <c r="M113" s="99">
        <v>969</v>
      </c>
      <c r="N113" s="97">
        <f>IF(ISNUMBER(M113), (M113 - $B113) / $B113, "")</f>
        <v>-0.05</v>
      </c>
      <c r="O113" s="98">
        <f>IF(ISNUMBER(M113), $B118 * N113, "")</f>
        <v>-7500</v>
      </c>
      <c r="Q113" s="161"/>
      <c r="R113" s="161"/>
      <c r="S113" s="161"/>
    </row>
    <row r="114" spans="1:19" ht="17.25" thickBot="1">
      <c r="A114" s="109" t="s">
        <v>159</v>
      </c>
      <c r="B114" s="110">
        <v>205</v>
      </c>
      <c r="C114" s="70">
        <v>4.9019607999999998E-3</v>
      </c>
      <c r="D114" s="15">
        <v>194</v>
      </c>
      <c r="E114" s="32">
        <f t="shared" ref="E114:E117" si="58">IF(ISNUMBER(D114), (D114 - $B114) / $B114, "")</f>
        <v>-5.3658536585365853E-2</v>
      </c>
      <c r="F114" s="18">
        <f>IF(ISNUMBER(D114), $B118 * E114, "")</f>
        <v>-8048.7804878048782</v>
      </c>
      <c r="G114" s="31">
        <v>194</v>
      </c>
      <c r="H114" s="32">
        <f t="shared" ref="H114:H117" si="59">IF(ISNUMBER(G114), (G114 - $B114) / $B114, "")</f>
        <v>-5.3658536585365853E-2</v>
      </c>
      <c r="I114" s="91">
        <f>IF(ISNUMBER(G114), $B118 * H114, "")</f>
        <v>-8048.7804878048782</v>
      </c>
      <c r="J114" s="15">
        <v>194</v>
      </c>
      <c r="K114" s="32">
        <f t="shared" ref="K114:K117" si="60">IF(ISNUMBER(J114), (J114 - $B114) / $B114, "")</f>
        <v>-5.3658536585365853E-2</v>
      </c>
      <c r="L114" s="18">
        <f>IF(ISNUMBER(J114), $B118 * K114, "")</f>
        <v>-8048.7804878048782</v>
      </c>
      <c r="M114" s="31">
        <v>195</v>
      </c>
      <c r="N114" s="32">
        <f t="shared" ref="N114:N117" si="61">IF(ISNUMBER(M114), (M114 - $B114) / $B114, "")</f>
        <v>-4.878048780487805E-2</v>
      </c>
      <c r="O114" s="18">
        <f>IF(ISNUMBER(M114), $B118 * N114, "")</f>
        <v>-7317.0731707317073</v>
      </c>
      <c r="Q114" s="161"/>
      <c r="R114" s="161"/>
      <c r="S114" s="161"/>
    </row>
    <row r="115" spans="1:19" ht="17.25" thickBot="1">
      <c r="A115" s="109" t="s">
        <v>101</v>
      </c>
      <c r="B115" s="110">
        <v>249</v>
      </c>
      <c r="C115" s="70">
        <v>4.0322581E-3</v>
      </c>
      <c r="D115" s="15">
        <v>233</v>
      </c>
      <c r="E115" s="32">
        <f t="shared" si="58"/>
        <v>-6.4257028112449793E-2</v>
      </c>
      <c r="F115" s="18">
        <f>IF(ISNUMBER(D115), $B118 * E115, "")</f>
        <v>-9638.5542168674692</v>
      </c>
      <c r="G115" s="31">
        <v>233</v>
      </c>
      <c r="H115" s="32">
        <f t="shared" si="59"/>
        <v>-6.4257028112449793E-2</v>
      </c>
      <c r="I115" s="91">
        <f>IF(ISNUMBER(G115), $B118 * H115, "")</f>
        <v>-9638.5542168674692</v>
      </c>
      <c r="J115" s="15">
        <v>233</v>
      </c>
      <c r="K115" s="32">
        <f t="shared" si="60"/>
        <v>-6.4257028112449793E-2</v>
      </c>
      <c r="L115" s="18">
        <f>IF(ISNUMBER(J115), $B118 * K115, "")</f>
        <v>-9638.5542168674692</v>
      </c>
      <c r="M115" s="31">
        <v>234</v>
      </c>
      <c r="N115" s="32">
        <f t="shared" si="61"/>
        <v>-6.0240963855421686E-2</v>
      </c>
      <c r="O115" s="18">
        <f>IF(ISNUMBER(M115), $B118 * N115, "")</f>
        <v>-9036.1445783132531</v>
      </c>
      <c r="Q115" s="161"/>
      <c r="R115" s="161"/>
      <c r="S115" s="161"/>
    </row>
    <row r="116" spans="1:19">
      <c r="A116" s="109" t="s">
        <v>330</v>
      </c>
      <c r="B116" s="110">
        <v>18140</v>
      </c>
      <c r="C116" s="70">
        <v>2.2099448E-3</v>
      </c>
      <c r="D116" s="15">
        <v>17450</v>
      </c>
      <c r="E116" s="32">
        <f t="shared" si="58"/>
        <v>-3.8037486218302094E-2</v>
      </c>
      <c r="F116" s="18">
        <f>IF(ISNUMBER(D116), $B118 * E116, "")</f>
        <v>-5705.6229327453138</v>
      </c>
      <c r="G116" s="31">
        <v>17450</v>
      </c>
      <c r="H116" s="32">
        <f t="shared" si="59"/>
        <v>-3.8037486218302094E-2</v>
      </c>
      <c r="I116" s="91">
        <f>IF(ISNUMBER(G116), $B118 * H116, "")</f>
        <v>-5705.6229327453138</v>
      </c>
      <c r="J116" s="15">
        <v>17450</v>
      </c>
      <c r="K116" s="32">
        <f t="shared" si="60"/>
        <v>-3.8037486218302094E-2</v>
      </c>
      <c r="L116" s="18">
        <f>IF(ISNUMBER(J116), $B118 * K116, "")</f>
        <v>-5705.6229327453138</v>
      </c>
      <c r="M116" s="31">
        <v>17460</v>
      </c>
      <c r="N116" s="32">
        <f t="shared" si="61"/>
        <v>-3.7486218302094816E-2</v>
      </c>
      <c r="O116" s="18">
        <f>IF(ISNUMBER(M116), $B118 * N116, "")</f>
        <v>-5622.9327453142223</v>
      </c>
      <c r="Q116" s="183"/>
      <c r="R116" s="184"/>
      <c r="S116" s="185"/>
    </row>
    <row r="117" spans="1:19" ht="17.25" thickBot="1">
      <c r="A117" s="114" t="s">
        <v>136</v>
      </c>
      <c r="B117" s="115">
        <v>3085</v>
      </c>
      <c r="C117" s="72">
        <v>1.6233765999999999E-3</v>
      </c>
      <c r="D117" s="24">
        <v>2940</v>
      </c>
      <c r="E117" s="25">
        <f t="shared" si="58"/>
        <v>-4.7001620745542948E-2</v>
      </c>
      <c r="F117" s="94">
        <f>IF(ISNUMBER(D117), $B118 * E117, "")</f>
        <v>-7050.2431118314425</v>
      </c>
      <c r="G117" s="92">
        <v>2940</v>
      </c>
      <c r="H117" s="25">
        <f t="shared" si="59"/>
        <v>-4.7001620745542948E-2</v>
      </c>
      <c r="I117" s="93">
        <f>IF(ISNUMBER(G117), $B118 * H117, "")</f>
        <v>-7050.2431118314425</v>
      </c>
      <c r="J117" s="24">
        <v>2940</v>
      </c>
      <c r="K117" s="25">
        <f t="shared" si="60"/>
        <v>-4.7001620745542948E-2</v>
      </c>
      <c r="L117" s="94">
        <f>IF(ISNUMBER(J117), $B118 * K117, "")</f>
        <v>-7050.2431118314425</v>
      </c>
      <c r="M117" s="92">
        <v>2960</v>
      </c>
      <c r="N117" s="25">
        <f t="shared" si="61"/>
        <v>-4.0518638573743923E-2</v>
      </c>
      <c r="O117" s="94">
        <f>IF(ISNUMBER(M117), $B118 * N117, "")</f>
        <v>-6077.7957860615888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-3.9359051957970841E-2</v>
      </c>
      <c r="F118" s="28">
        <f>SUM(F98:F117)</f>
        <v>-118077.15587391253</v>
      </c>
      <c r="G118" s="26" t="s">
        <v>261</v>
      </c>
      <c r="H118" s="27">
        <f>IF(COUNT(H98:H117), SUM(H98:H117) / COUNT(H98:H117), 0)</f>
        <v>-3.9359051957970841E-2</v>
      </c>
      <c r="I118" s="28">
        <f>SUM(I98:I117)</f>
        <v>-118077.15587391253</v>
      </c>
      <c r="J118" s="26" t="s">
        <v>261</v>
      </c>
      <c r="K118" s="27">
        <f>IF(COUNT(K98:K117), SUM(K98:K117) / COUNT(K98:K117), 0)</f>
        <v>-3.9359051957970841E-2</v>
      </c>
      <c r="L118" s="28">
        <f>SUM(L98:L117)</f>
        <v>-118077.15587391253</v>
      </c>
      <c r="M118" s="26" t="s">
        <v>261</v>
      </c>
      <c r="N118" s="27">
        <f>IF(COUNT(N98:N117), SUM(N98:N117) / COUNT(N98:N117), 0)</f>
        <v>-4.043079135509188E-2</v>
      </c>
      <c r="O118" s="28">
        <f>SUM(O98:O117)</f>
        <v>-121292.37406527561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2022-12-12(월) 오전 00:00</v>
      </c>
      <c r="C123" s="199"/>
      <c r="D123" s="158" t="str">
        <f>TEXT($G$1, "[$-ko-KR]yyyy-mm-dd(ddd) ") &amp; "오후 14:00"</f>
        <v>2022-12-12(월) 오후 14:00</v>
      </c>
      <c r="E123" s="159"/>
      <c r="F123" s="160"/>
      <c r="G123" s="158" t="str">
        <f>TEXT($G$1, "[$-ko-KR]yyyy-mm-dd(ddd) ") &amp; "오후 19:00"</f>
        <v>2022-12-12(월) 오후 19:00</v>
      </c>
      <c r="H123" s="159"/>
      <c r="I123" s="160"/>
      <c r="J123" s="158" t="str">
        <f>TEXT($G$1, "[$-ko-KR]yyyy-mm-dd(ddd) ") &amp; "오후 21:00"</f>
        <v>2022-12-12(월) 오후 21:00</v>
      </c>
      <c r="K123" s="159"/>
      <c r="L123" s="160"/>
      <c r="M123" s="158" t="str">
        <f>TEXT($G$1+1, "[$-ko-KR]yyyy-mm-dd(ddd) ") &amp; "오전 00:00"</f>
        <v>2022-12-13(화)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240</v>
      </c>
      <c r="B125" s="108">
        <v>29.8</v>
      </c>
      <c r="C125" s="69">
        <v>-1.9736842099999999E-2</v>
      </c>
      <c r="D125" s="13">
        <v>28.8</v>
      </c>
      <c r="E125" s="14">
        <f>IF(ISNUMBER(D125), (D125 - $B125) / $B125, "")</f>
        <v>-3.3557046979865772E-2</v>
      </c>
      <c r="F125" s="16">
        <f>IF(ISNUMBER(D125), $B145 * E125, "")</f>
        <v>-5033.5570469798658</v>
      </c>
      <c r="G125" s="29">
        <v>28.8</v>
      </c>
      <c r="H125" s="14">
        <f>IF(ISNUMBER(G125), (G125 - $B125) / $B125, "")</f>
        <v>-3.3557046979865772E-2</v>
      </c>
      <c r="I125" s="90">
        <f>IF(ISNUMBER(G125), $B145 * H125, "")</f>
        <v>-5033.5570469798658</v>
      </c>
      <c r="J125" s="13">
        <v>28.8</v>
      </c>
      <c r="K125" s="14">
        <f>IF(ISNUMBER(J125), (J125 - $B125) / $B125, "")</f>
        <v>-3.3557046979865772E-2</v>
      </c>
      <c r="L125" s="16">
        <f>IF(ISNUMBER(J125), $B145 * K125, "")</f>
        <v>-5033.5570469798658</v>
      </c>
      <c r="M125" s="29">
        <v>28.8</v>
      </c>
      <c r="N125" s="14">
        <f>IF(ISNUMBER(M125), (M125 - $B125) / $B125, "")</f>
        <v>-3.3557046979865772E-2</v>
      </c>
      <c r="O125" s="16">
        <f>IF(ISNUMBER(M125), $B145 * N125, "")</f>
        <v>-5033.5570469798658</v>
      </c>
      <c r="Q125" s="156"/>
      <c r="R125" s="156"/>
      <c r="S125" s="156"/>
    </row>
    <row r="126" spans="1:19" ht="17.25" thickBot="1">
      <c r="A126" s="109" t="s">
        <v>198</v>
      </c>
      <c r="B126" s="110">
        <v>8.85</v>
      </c>
      <c r="C126" s="70">
        <v>-1.9933554799999999E-2</v>
      </c>
      <c r="D126" s="15">
        <v>8.6</v>
      </c>
      <c r="E126" s="32">
        <f t="shared" ref="E126:E129" si="62">IF(ISNUMBER(D126), (D126 - $B126) / $B126, "")</f>
        <v>-2.8248587570621469E-2</v>
      </c>
      <c r="F126" s="18">
        <f>IF(ISNUMBER(D126), $B145 * E126, "")</f>
        <v>-4237.2881355932204</v>
      </c>
      <c r="G126" s="31">
        <v>8.6</v>
      </c>
      <c r="H126" s="32">
        <f t="shared" ref="H126:H129" si="63">IF(ISNUMBER(G126), (G126 - $B126) / $B126, "")</f>
        <v>-2.8248587570621469E-2</v>
      </c>
      <c r="I126" s="91">
        <f>IF(ISNUMBER(G126), $B145 * H126, "")</f>
        <v>-4237.2881355932204</v>
      </c>
      <c r="J126" s="15">
        <v>8.6</v>
      </c>
      <c r="K126" s="32">
        <f t="shared" ref="K126:K129" si="64">IF(ISNUMBER(J126), (J126 - $B126) / $B126, "")</f>
        <v>-2.8248587570621469E-2</v>
      </c>
      <c r="L126" s="18">
        <f>IF(ISNUMBER(J126), $B145 * K126, "")</f>
        <v>-4237.2881355932204</v>
      </c>
      <c r="M126" s="31">
        <v>8.73</v>
      </c>
      <c r="N126" s="32">
        <f t="shared" ref="N126:N129" si="65">IF(ISNUMBER(M126), (M126 - $B126) / $B126, "")</f>
        <v>-1.3559322033898218E-2</v>
      </c>
      <c r="O126" s="18">
        <f>IF(ISNUMBER(M126), $B145 * N126, "")</f>
        <v>-2033.8983050847328</v>
      </c>
      <c r="Q126" s="156"/>
      <c r="R126" s="156"/>
      <c r="S126" s="156"/>
    </row>
    <row r="127" spans="1:19" ht="17.25" thickBot="1">
      <c r="A127" s="109" t="s">
        <v>326</v>
      </c>
      <c r="B127" s="110">
        <v>24.3</v>
      </c>
      <c r="C127" s="70">
        <v>-2.0161290299999999E-2</v>
      </c>
      <c r="D127" s="15">
        <v>24.6</v>
      </c>
      <c r="E127" s="32">
        <f t="shared" si="62"/>
        <v>1.2345679012345708E-2</v>
      </c>
      <c r="F127" s="18">
        <f>IF(ISNUMBER(D127), $B145 * E127, "")</f>
        <v>1851.8518518518563</v>
      </c>
      <c r="G127" s="31">
        <v>24.6</v>
      </c>
      <c r="H127" s="32">
        <f t="shared" si="63"/>
        <v>1.2345679012345708E-2</v>
      </c>
      <c r="I127" s="91">
        <f>IF(ISNUMBER(G127), $B145 * H127, "")</f>
        <v>1851.8518518518563</v>
      </c>
      <c r="J127" s="15">
        <v>24.6</v>
      </c>
      <c r="K127" s="32">
        <f t="shared" si="64"/>
        <v>1.2345679012345708E-2</v>
      </c>
      <c r="L127" s="18">
        <f>IF(ISNUMBER(J127), $B145 * K127, "")</f>
        <v>1851.8518518518563</v>
      </c>
      <c r="M127" s="31">
        <v>24.5</v>
      </c>
      <c r="N127" s="32">
        <f t="shared" si="65"/>
        <v>8.2304526748970906E-3</v>
      </c>
      <c r="O127" s="18">
        <f>IF(ISNUMBER(M127), $B145 * N127, "")</f>
        <v>1234.5679012345636</v>
      </c>
      <c r="Q127" s="161"/>
      <c r="R127" s="161"/>
      <c r="S127" s="161"/>
    </row>
    <row r="128" spans="1:19" ht="17.25" thickBot="1">
      <c r="A128" s="109" t="s">
        <v>141</v>
      </c>
      <c r="B128" s="110">
        <v>3.46</v>
      </c>
      <c r="C128" s="70">
        <v>-2.2598870100000001E-2</v>
      </c>
      <c r="D128" s="15">
        <v>3.35</v>
      </c>
      <c r="E128" s="32">
        <f t="shared" si="62"/>
        <v>-3.179190751445083E-2</v>
      </c>
      <c r="F128" s="18">
        <f>IF(ISNUMBER(D128), $B145 * E128, "")</f>
        <v>-4768.7861271676247</v>
      </c>
      <c r="G128" s="31">
        <v>3.35</v>
      </c>
      <c r="H128" s="32">
        <f t="shared" si="63"/>
        <v>-3.179190751445083E-2</v>
      </c>
      <c r="I128" s="91">
        <f>IF(ISNUMBER(G128), $B145 * H128, "")</f>
        <v>-4768.7861271676247</v>
      </c>
      <c r="J128" s="15">
        <v>3.35</v>
      </c>
      <c r="K128" s="32">
        <f t="shared" si="64"/>
        <v>-3.179190751445083E-2</v>
      </c>
      <c r="L128" s="18">
        <f>IF(ISNUMBER(J128), $B145 * K128, "")</f>
        <v>-4768.7861271676247</v>
      </c>
      <c r="M128" s="31">
        <v>3.39</v>
      </c>
      <c r="N128" s="32">
        <f t="shared" si="65"/>
        <v>-2.0231213872832325E-2</v>
      </c>
      <c r="O128" s="18">
        <f>IF(ISNUMBER(M128), $B145 * N128, "")</f>
        <v>-3034.6820809248488</v>
      </c>
      <c r="Q128" s="161"/>
      <c r="R128" s="161"/>
      <c r="S128" s="161"/>
    </row>
    <row r="129" spans="1:19" ht="17.25" thickBot="1">
      <c r="A129" s="111" t="s">
        <v>118</v>
      </c>
      <c r="B129" s="112">
        <v>6.8</v>
      </c>
      <c r="C129" s="71">
        <v>-2.2988505699999998E-2</v>
      </c>
      <c r="D129" s="20">
        <v>6.46</v>
      </c>
      <c r="E129" s="21">
        <f t="shared" si="62"/>
        <v>-4.9999999999999982E-2</v>
      </c>
      <c r="F129" s="22">
        <f>IF(ISNUMBER(D129), $B145 * E129, "")</f>
        <v>-7499.9999999999973</v>
      </c>
      <c r="G129" s="30">
        <v>6.46</v>
      </c>
      <c r="H129" s="21">
        <f t="shared" si="63"/>
        <v>-4.9999999999999982E-2</v>
      </c>
      <c r="I129" s="95">
        <f>IF(ISNUMBER(G129), $B145 * H129, "")</f>
        <v>-7499.9999999999973</v>
      </c>
      <c r="J129" s="20">
        <v>6.46</v>
      </c>
      <c r="K129" s="21">
        <f t="shared" si="64"/>
        <v>-4.9999999999999982E-2</v>
      </c>
      <c r="L129" s="22">
        <f>IF(ISNUMBER(J129), $B145 * K129, "")</f>
        <v>-7499.9999999999973</v>
      </c>
      <c r="M129" s="30">
        <v>6.49</v>
      </c>
      <c r="N129" s="21">
        <f t="shared" si="65"/>
        <v>-4.5588235294117589E-2</v>
      </c>
      <c r="O129" s="22">
        <f>IF(ISNUMBER(M129), $B145 * N129, "")</f>
        <v>-6838.2352941176387</v>
      </c>
      <c r="Q129" s="161"/>
      <c r="R129" s="161"/>
      <c r="S129" s="161"/>
    </row>
    <row r="130" spans="1:19" ht="17.25" thickBot="1">
      <c r="A130" s="109" t="s">
        <v>210</v>
      </c>
      <c r="B130" s="113">
        <v>67.900000000000006</v>
      </c>
      <c r="C130" s="73">
        <v>-2.3021582700000001E-2</v>
      </c>
      <c r="D130" s="96">
        <v>64</v>
      </c>
      <c r="E130" s="97">
        <f>IF(ISNUMBER(D130), (D130 - $B130) / $B130, "")</f>
        <v>-5.7437407952871951E-2</v>
      </c>
      <c r="F130" s="98">
        <f>IF(ISNUMBER(D130), $B145 * E130, "")</f>
        <v>-8615.6111929307917</v>
      </c>
      <c r="G130" s="99">
        <v>64</v>
      </c>
      <c r="H130" s="97">
        <f>IF(ISNUMBER(G130), (G130 - $B130) / $B130, "")</f>
        <v>-5.7437407952871951E-2</v>
      </c>
      <c r="I130" s="100">
        <f>IF(ISNUMBER(G130), $B145 * H130, "")</f>
        <v>-8615.6111929307917</v>
      </c>
      <c r="J130" s="96">
        <v>64</v>
      </c>
      <c r="K130" s="97">
        <f>IF(ISNUMBER(J130), (J130 - $B130) / $B130, "")</f>
        <v>-5.7437407952871951E-2</v>
      </c>
      <c r="L130" s="98">
        <f>IF(ISNUMBER(J130), $B145 * K130, "")</f>
        <v>-8615.6111929307917</v>
      </c>
      <c r="M130" s="99">
        <v>64.900000000000006</v>
      </c>
      <c r="N130" s="97">
        <f>IF(ISNUMBER(M130), (M130 - $B130) / $B130, "")</f>
        <v>-4.4182621502209127E-2</v>
      </c>
      <c r="O130" s="98">
        <f>IF(ISNUMBER(M130), $B145 * N130, "")</f>
        <v>-6627.3932253313687</v>
      </c>
      <c r="Q130" s="161"/>
      <c r="R130" s="161"/>
      <c r="S130" s="161"/>
    </row>
    <row r="131" spans="1:19" ht="17.25" thickBot="1">
      <c r="A131" s="109" t="s">
        <v>230</v>
      </c>
      <c r="B131" s="110">
        <v>42.3</v>
      </c>
      <c r="C131" s="70">
        <v>-2.3094688200000001E-2</v>
      </c>
      <c r="D131" s="15">
        <v>40.1</v>
      </c>
      <c r="E131" s="32">
        <f t="shared" ref="E131:E134" si="66">IF(ISNUMBER(D131), (D131 - $B131) / $B131, "")</f>
        <v>-5.2009456264775315E-2</v>
      </c>
      <c r="F131" s="18">
        <f>IF(ISNUMBER(D131), $B145 * E131, "")</f>
        <v>-7801.4184397162971</v>
      </c>
      <c r="G131" s="31">
        <v>40.1</v>
      </c>
      <c r="H131" s="32">
        <f t="shared" ref="H131:H134" si="67">IF(ISNUMBER(G131), (G131 - $B131) / $B131, "")</f>
        <v>-5.2009456264775315E-2</v>
      </c>
      <c r="I131" s="91">
        <f>IF(ISNUMBER(G131), $B145 * H131, "")</f>
        <v>-7801.4184397162971</v>
      </c>
      <c r="J131" s="15">
        <v>40.1</v>
      </c>
      <c r="K131" s="32">
        <f t="shared" ref="K131:K134" si="68">IF(ISNUMBER(J131), (J131 - $B131) / $B131, "")</f>
        <v>-5.2009456264775315E-2</v>
      </c>
      <c r="L131" s="18">
        <f>IF(ISNUMBER(J131), $B145 * K131, "")</f>
        <v>-7801.4184397162971</v>
      </c>
      <c r="M131" s="31">
        <v>40.200000000000003</v>
      </c>
      <c r="N131" s="32">
        <f t="shared" ref="N131:N134" si="69">IF(ISNUMBER(M131), (M131 - $B131) / $B131, "")</f>
        <v>-4.9645390070921856E-2</v>
      </c>
      <c r="O131" s="18">
        <f>IF(ISNUMBER(M131), $B145 * N131, "")</f>
        <v>-7446.8085106382787</v>
      </c>
      <c r="Q131" s="161"/>
      <c r="R131" s="161"/>
      <c r="S131" s="161"/>
    </row>
    <row r="132" spans="1:19" ht="17.25" thickBot="1">
      <c r="A132" s="109" t="s">
        <v>191</v>
      </c>
      <c r="B132" s="110">
        <v>53.4</v>
      </c>
      <c r="C132" s="70">
        <v>-2.3765996300000002E-2</v>
      </c>
      <c r="D132" s="15">
        <v>51.2</v>
      </c>
      <c r="E132" s="32">
        <f t="shared" si="66"/>
        <v>-4.1198501872659096E-2</v>
      </c>
      <c r="F132" s="18">
        <f>IF(ISNUMBER(D132), $B145 * E132, "")</f>
        <v>-6179.7752808988644</v>
      </c>
      <c r="G132" s="31">
        <v>51.2</v>
      </c>
      <c r="H132" s="32">
        <f t="shared" si="67"/>
        <v>-4.1198501872659096E-2</v>
      </c>
      <c r="I132" s="91">
        <f>IF(ISNUMBER(G132), $B145 * H132, "")</f>
        <v>-6179.7752808988644</v>
      </c>
      <c r="J132" s="15">
        <v>51.2</v>
      </c>
      <c r="K132" s="32">
        <f t="shared" si="68"/>
        <v>-4.1198501872659096E-2</v>
      </c>
      <c r="L132" s="18">
        <f>IF(ISNUMBER(J132), $B145 * K132, "")</f>
        <v>-6179.7752808988644</v>
      </c>
      <c r="M132" s="31">
        <v>51.5</v>
      </c>
      <c r="N132" s="32">
        <f t="shared" si="69"/>
        <v>-3.5580524344569264E-2</v>
      </c>
      <c r="O132" s="18">
        <f>IF(ISNUMBER(M132), $B145 * N132, "")</f>
        <v>-5337.0786516853896</v>
      </c>
      <c r="Q132" s="161"/>
      <c r="R132" s="161"/>
      <c r="S132" s="161"/>
    </row>
    <row r="133" spans="1:19" ht="17.25" thickBot="1">
      <c r="A133" s="109" t="s">
        <v>71</v>
      </c>
      <c r="B133" s="110">
        <v>12</v>
      </c>
      <c r="C133" s="70">
        <v>-2.4390243900000001E-2</v>
      </c>
      <c r="D133" s="15">
        <v>11.4</v>
      </c>
      <c r="E133" s="32">
        <f t="shared" si="66"/>
        <v>-4.9999999999999968E-2</v>
      </c>
      <c r="F133" s="18">
        <f>IF(ISNUMBER(D133), $B145 * E133, "")</f>
        <v>-7499.9999999999955</v>
      </c>
      <c r="G133" s="31">
        <v>11.4</v>
      </c>
      <c r="H133" s="32">
        <f t="shared" si="67"/>
        <v>-4.9999999999999968E-2</v>
      </c>
      <c r="I133" s="91">
        <f>IF(ISNUMBER(G133), $B145 * H133, "")</f>
        <v>-7499.9999999999955</v>
      </c>
      <c r="J133" s="15">
        <v>11.4</v>
      </c>
      <c r="K133" s="32">
        <f t="shared" si="68"/>
        <v>-4.9999999999999968E-2</v>
      </c>
      <c r="L133" s="18">
        <f>IF(ISNUMBER(J133), $B145 * K133, "")</f>
        <v>-7499.9999999999955</v>
      </c>
      <c r="M133" s="31">
        <v>11.4</v>
      </c>
      <c r="N133" s="32">
        <f t="shared" si="69"/>
        <v>-4.9999999999999968E-2</v>
      </c>
      <c r="O133" s="18">
        <f>IF(ISNUMBER(M133), $B145 * N133, "")</f>
        <v>-7499.9999999999955</v>
      </c>
      <c r="Q133" s="33"/>
      <c r="R133" s="33"/>
    </row>
    <row r="134" spans="1:19" ht="17.25" thickBot="1">
      <c r="A134" s="114" t="s">
        <v>350</v>
      </c>
      <c r="B134" s="115">
        <v>7.73</v>
      </c>
      <c r="C134" s="72">
        <v>-2.5220680999999998E-2</v>
      </c>
      <c r="D134" s="24">
        <v>7.29</v>
      </c>
      <c r="E134" s="25">
        <f t="shared" si="66"/>
        <v>-5.6921086675291124E-2</v>
      </c>
      <c r="F134" s="94">
        <f>IF(ISNUMBER(D134), $B145 * E134, "")</f>
        <v>-8538.1630012936694</v>
      </c>
      <c r="G134" s="92">
        <v>7.29</v>
      </c>
      <c r="H134" s="25">
        <f t="shared" si="67"/>
        <v>-5.6921086675291124E-2</v>
      </c>
      <c r="I134" s="93">
        <f>IF(ISNUMBER(G134), $B145 * H134, "")</f>
        <v>-8538.1630012936694</v>
      </c>
      <c r="J134" s="24">
        <v>7.29</v>
      </c>
      <c r="K134" s="25">
        <f t="shared" si="68"/>
        <v>-5.6921086675291124E-2</v>
      </c>
      <c r="L134" s="94">
        <f>IF(ISNUMBER(J134), $B145 * K134, "")</f>
        <v>-8538.1630012936694</v>
      </c>
      <c r="M134" s="92">
        <v>7.34</v>
      </c>
      <c r="N134" s="25">
        <f t="shared" si="69"/>
        <v>-5.0452781371280793E-2</v>
      </c>
      <c r="O134" s="94">
        <f>IF(ISNUMBER(M134), $B145 * N134, "")</f>
        <v>-7567.9172056921188</v>
      </c>
      <c r="Q134" s="170"/>
      <c r="R134" s="171"/>
      <c r="S134" s="172"/>
    </row>
    <row r="135" spans="1:19">
      <c r="A135" s="107" t="s">
        <v>155</v>
      </c>
      <c r="B135" s="108">
        <v>30.7</v>
      </c>
      <c r="C135" s="69">
        <v>-2.53968254E-2</v>
      </c>
      <c r="D135" s="13">
        <v>29.9</v>
      </c>
      <c r="E135" s="14">
        <f>IF(ISNUMBER(D135), (D135 - $B135) / $B135, "")</f>
        <v>-2.605863192182413E-2</v>
      </c>
      <c r="F135" s="16">
        <f>IF(ISNUMBER(D135), $B145 * E135, "")</f>
        <v>-3908.7947882736194</v>
      </c>
      <c r="G135" s="29">
        <v>29.9</v>
      </c>
      <c r="H135" s="14">
        <f>IF(ISNUMBER(G135), (G135 - $B135) / $B135, "")</f>
        <v>-2.605863192182413E-2</v>
      </c>
      <c r="I135" s="90">
        <f>IF(ISNUMBER(G135), $B145 * H135, "")</f>
        <v>-3908.7947882736194</v>
      </c>
      <c r="J135" s="13">
        <v>29.9</v>
      </c>
      <c r="K135" s="14">
        <f>IF(ISNUMBER(J135), (J135 - $B135) / $B135, "")</f>
        <v>-2.605863192182413E-2</v>
      </c>
      <c r="L135" s="16">
        <f>IF(ISNUMBER(J135), $B145 * K135, "")</f>
        <v>-3908.7947882736194</v>
      </c>
      <c r="M135" s="29">
        <v>30</v>
      </c>
      <c r="N135" s="14">
        <f>IF(ISNUMBER(M135), (M135 - $B135) / $B135, "")</f>
        <v>-2.280130293159607E-2</v>
      </c>
      <c r="O135" s="16">
        <f>IF(ISNUMBER(M135), $B145 * N135, "")</f>
        <v>-3420.1954397394106</v>
      </c>
      <c r="Q135" s="173"/>
      <c r="R135" s="174"/>
      <c r="S135" s="175"/>
    </row>
    <row r="136" spans="1:19" ht="17.25" thickBot="1">
      <c r="A136" s="109" t="s">
        <v>200</v>
      </c>
      <c r="B136" s="110">
        <v>6.9</v>
      </c>
      <c r="C136" s="70">
        <v>-2.54237288E-2</v>
      </c>
      <c r="D136" s="15">
        <v>6.65</v>
      </c>
      <c r="E136" s="32">
        <f t="shared" ref="E136:E139" si="70">IF(ISNUMBER(D136), (D136 - $B136) / $B136, "")</f>
        <v>-3.6231884057971016E-2</v>
      </c>
      <c r="F136" s="18">
        <f>IF(ISNUMBER(D136), $B145 * E136, "")</f>
        <v>-5434.782608695652</v>
      </c>
      <c r="G136" s="31">
        <v>6.65</v>
      </c>
      <c r="H136" s="32">
        <f t="shared" ref="H136:H139" si="71">IF(ISNUMBER(G136), (G136 - $B136) / $B136, "")</f>
        <v>-3.6231884057971016E-2</v>
      </c>
      <c r="I136" s="91">
        <f>IF(ISNUMBER(G136), $B145 * H136, "")</f>
        <v>-5434.782608695652</v>
      </c>
      <c r="J136" s="15">
        <v>6.65</v>
      </c>
      <c r="K136" s="32">
        <f t="shared" ref="K136:K139" si="72">IF(ISNUMBER(J136), (J136 - $B136) / $B136, "")</f>
        <v>-3.6231884057971016E-2</v>
      </c>
      <c r="L136" s="18">
        <f>IF(ISNUMBER(J136), $B145 * K136, "")</f>
        <v>-5434.782608695652</v>
      </c>
      <c r="M136" s="31">
        <v>6.74</v>
      </c>
      <c r="N136" s="32">
        <f t="shared" ref="N136:N139" si="73">IF(ISNUMBER(M136), (M136 - $B136) / $B136, "")</f>
        <v>-2.318840579710147E-2</v>
      </c>
      <c r="O136" s="18">
        <f>IF(ISNUMBER(M136), $B145 * N136, "")</f>
        <v>-3478.2608695652207</v>
      </c>
      <c r="Q136" s="176"/>
      <c r="R136" s="177"/>
      <c r="S136" s="178"/>
    </row>
    <row r="137" spans="1:19" ht="17.25" thickBot="1">
      <c r="A137" s="109" t="s">
        <v>107</v>
      </c>
      <c r="B137" s="110">
        <v>41.3</v>
      </c>
      <c r="C137" s="70">
        <v>-2.59433962E-2</v>
      </c>
      <c r="D137" s="15">
        <v>39.5</v>
      </c>
      <c r="E137" s="32">
        <f t="shared" si="70"/>
        <v>-4.3583535108958772E-2</v>
      </c>
      <c r="F137" s="18">
        <f>IF(ISNUMBER(D137), $B145 * E137, "")</f>
        <v>-6537.530266343816</v>
      </c>
      <c r="G137" s="31">
        <v>39.5</v>
      </c>
      <c r="H137" s="32">
        <f t="shared" si="71"/>
        <v>-4.3583535108958772E-2</v>
      </c>
      <c r="I137" s="91">
        <f>IF(ISNUMBER(G137), $B145 * H137, "")</f>
        <v>-6537.530266343816</v>
      </c>
      <c r="J137" s="15">
        <v>39.5</v>
      </c>
      <c r="K137" s="32">
        <f t="shared" si="72"/>
        <v>-4.3583535108958772E-2</v>
      </c>
      <c r="L137" s="18">
        <f>IF(ISNUMBER(J137), $B145 * K137, "")</f>
        <v>-6537.530266343816</v>
      </c>
      <c r="M137" s="31">
        <v>39.5</v>
      </c>
      <c r="N137" s="32">
        <f t="shared" si="73"/>
        <v>-4.3583535108958772E-2</v>
      </c>
      <c r="O137" s="18">
        <f>IF(ISNUMBER(M137), $B145 * N137, "")</f>
        <v>-6537.530266343816</v>
      </c>
      <c r="Q137" s="161"/>
      <c r="R137" s="161"/>
      <c r="S137" s="161"/>
    </row>
    <row r="138" spans="1:19" ht="17.25" thickBot="1">
      <c r="A138" s="109" t="s">
        <v>143</v>
      </c>
      <c r="B138" s="110">
        <v>4.32</v>
      </c>
      <c r="C138" s="70">
        <v>-2.7027026999999999E-2</v>
      </c>
      <c r="D138" s="15">
        <v>4.1100000000000003</v>
      </c>
      <c r="E138" s="32">
        <f t="shared" si="70"/>
        <v>-4.8611111111111098E-2</v>
      </c>
      <c r="F138" s="18">
        <f>IF(ISNUMBER(D138), $B145 * E138, "")</f>
        <v>-7291.6666666666652</v>
      </c>
      <c r="G138" s="31">
        <v>4.1100000000000003</v>
      </c>
      <c r="H138" s="32">
        <f t="shared" si="71"/>
        <v>-4.8611111111111098E-2</v>
      </c>
      <c r="I138" s="91">
        <f>IF(ISNUMBER(G138), $B145 * H138, "")</f>
        <v>-7291.6666666666652</v>
      </c>
      <c r="J138" s="15">
        <v>4.1100000000000003</v>
      </c>
      <c r="K138" s="32">
        <f t="shared" si="72"/>
        <v>-4.8611111111111098E-2</v>
      </c>
      <c r="L138" s="18">
        <f>IF(ISNUMBER(J138), $B145 * K138, "")</f>
        <v>-7291.6666666666652</v>
      </c>
      <c r="M138" s="31">
        <v>4.1399999999999997</v>
      </c>
      <c r="N138" s="32">
        <f t="shared" si="73"/>
        <v>-4.1666666666666803E-2</v>
      </c>
      <c r="O138" s="18">
        <f>IF(ISNUMBER(M138), $B145 * N138, "")</f>
        <v>-6250.0000000000209</v>
      </c>
      <c r="Q138" s="156"/>
      <c r="R138" s="156"/>
      <c r="S138" s="156"/>
    </row>
    <row r="139" spans="1:19" ht="17.25" thickBot="1">
      <c r="A139" s="111" t="s">
        <v>224</v>
      </c>
      <c r="B139" s="112">
        <v>21.4</v>
      </c>
      <c r="C139" s="71">
        <v>-2.7272727300000001E-2</v>
      </c>
      <c r="D139" s="20">
        <v>20.3</v>
      </c>
      <c r="E139" s="21">
        <f t="shared" si="70"/>
        <v>-5.1401869158878406E-2</v>
      </c>
      <c r="F139" s="22">
        <f>IF(ISNUMBER(D139), $B145 * E139, "")</f>
        <v>-7710.2803738317607</v>
      </c>
      <c r="G139" s="30">
        <v>20.3</v>
      </c>
      <c r="H139" s="21">
        <f t="shared" si="71"/>
        <v>-5.1401869158878406E-2</v>
      </c>
      <c r="I139" s="95">
        <f>IF(ISNUMBER(G139), $B145 * H139, "")</f>
        <v>-7710.2803738317607</v>
      </c>
      <c r="J139" s="20">
        <v>20.3</v>
      </c>
      <c r="K139" s="21">
        <f t="shared" si="72"/>
        <v>-5.1401869158878406E-2</v>
      </c>
      <c r="L139" s="22">
        <f>IF(ISNUMBER(J139), $B145 * K139, "")</f>
        <v>-7710.2803738317607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156"/>
      <c r="R139" s="156"/>
      <c r="S139" s="156"/>
    </row>
    <row r="140" spans="1:19" ht="17.25" thickBot="1">
      <c r="A140" s="109" t="s">
        <v>212</v>
      </c>
      <c r="B140" s="113">
        <v>86.7</v>
      </c>
      <c r="C140" s="73">
        <v>-2.8026905800000002E-2</v>
      </c>
      <c r="D140" s="96">
        <v>82.5</v>
      </c>
      <c r="E140" s="97">
        <f>IF(ISNUMBER(D140), (D140 - $B140) / $B140, "")</f>
        <v>-4.8442906574394498E-2</v>
      </c>
      <c r="F140" s="98">
        <f>IF(ISNUMBER(D140), $B145 * E140, "")</f>
        <v>-7266.4359861591747</v>
      </c>
      <c r="G140" s="99">
        <v>82.5</v>
      </c>
      <c r="H140" s="97">
        <f>IF(ISNUMBER(G140), (G140 - $B140) / $B140, "")</f>
        <v>-4.8442906574394498E-2</v>
      </c>
      <c r="I140" s="100">
        <f>IF(ISNUMBER(G140), $B145 * H140, "")</f>
        <v>-7266.4359861591747</v>
      </c>
      <c r="J140" s="96">
        <v>82.5</v>
      </c>
      <c r="K140" s="97">
        <f>IF(ISNUMBER(J140), (J140 - $B140) / $B140, "")</f>
        <v>-4.8442906574394498E-2</v>
      </c>
      <c r="L140" s="98">
        <f>IF(ISNUMBER(J140), $B145 * K140, "")</f>
        <v>-7266.4359861591747</v>
      </c>
      <c r="M140" s="99">
        <v>82.9</v>
      </c>
      <c r="N140" s="97">
        <f>IF(ISNUMBER(M140), (M140 - $B140) / $B140, "")</f>
        <v>-4.3829296424452102E-2</v>
      </c>
      <c r="O140" s="98">
        <f>IF(ISNUMBER(M140), $B145 * N140, "")</f>
        <v>-6574.3944636678152</v>
      </c>
      <c r="Q140" s="161"/>
      <c r="R140" s="161"/>
      <c r="S140" s="161"/>
    </row>
    <row r="141" spans="1:19" ht="17.25" thickBot="1">
      <c r="A141" s="109" t="s">
        <v>228</v>
      </c>
      <c r="B141" s="110">
        <v>65.099999999999994</v>
      </c>
      <c r="C141" s="70">
        <v>-2.8358208999999999E-2</v>
      </c>
      <c r="D141" s="15">
        <v>63.2</v>
      </c>
      <c r="E141" s="32">
        <f t="shared" ref="E141:E144" si="74">IF(ISNUMBER(D141), (D141 - $B141) / $B141, "")</f>
        <v>-2.9185867895545187E-2</v>
      </c>
      <c r="F141" s="18">
        <f>IF(ISNUMBER(D141), $B145 * E141, "")</f>
        <v>-4377.8801843317779</v>
      </c>
      <c r="G141" s="31">
        <v>63.2</v>
      </c>
      <c r="H141" s="32">
        <f t="shared" ref="H141:H144" si="75">IF(ISNUMBER(G141), (G141 - $B141) / $B141, "")</f>
        <v>-2.9185867895545187E-2</v>
      </c>
      <c r="I141" s="91">
        <f>IF(ISNUMBER(G141), $B145 * H141, "")</f>
        <v>-4377.8801843317779</v>
      </c>
      <c r="J141" s="15">
        <v>63.2</v>
      </c>
      <c r="K141" s="32">
        <f t="shared" ref="K141:K144" si="76">IF(ISNUMBER(J141), (J141 - $B141) / $B141, "")</f>
        <v>-2.9185867895545187E-2</v>
      </c>
      <c r="L141" s="18">
        <f>IF(ISNUMBER(J141), $B145 * K141, "")</f>
        <v>-4377.8801843317779</v>
      </c>
      <c r="M141" s="31">
        <v>62.7</v>
      </c>
      <c r="N141" s="32">
        <f t="shared" ref="N141:N144" si="77">IF(ISNUMBER(M141), (M141 - $B141) / $B141, "")</f>
        <v>-3.6866359447004483E-2</v>
      </c>
      <c r="O141" s="18">
        <f>IF(ISNUMBER(M141), $B145 * N141, "")</f>
        <v>-5529.9539170506723</v>
      </c>
      <c r="Q141" s="161"/>
      <c r="R141" s="161"/>
      <c r="S141" s="161"/>
    </row>
    <row r="142" spans="1:19" ht="17.25" thickBot="1">
      <c r="A142" s="109" t="s">
        <v>338</v>
      </c>
      <c r="B142" s="110">
        <v>5.04</v>
      </c>
      <c r="C142" s="70">
        <v>-3.0769230799999998E-2</v>
      </c>
      <c r="D142" s="15">
        <v>4.9000000000000004</v>
      </c>
      <c r="E142" s="32">
        <f t="shared" si="74"/>
        <v>-2.7777777777777714E-2</v>
      </c>
      <c r="F142" s="18">
        <f>IF(ISNUMBER(D142), $B145 * E142, "")</f>
        <v>-4166.666666666657</v>
      </c>
      <c r="G142" s="31">
        <v>4.9000000000000004</v>
      </c>
      <c r="H142" s="32">
        <f t="shared" si="75"/>
        <v>-2.7777777777777714E-2</v>
      </c>
      <c r="I142" s="91">
        <f>IF(ISNUMBER(G142), $B145 * H142, "")</f>
        <v>-4166.666666666657</v>
      </c>
      <c r="J142" s="15">
        <v>4.9000000000000004</v>
      </c>
      <c r="K142" s="32">
        <f t="shared" si="76"/>
        <v>-2.7777777777777714E-2</v>
      </c>
      <c r="L142" s="18">
        <f>IF(ISNUMBER(J142), $B145 * K142, "")</f>
        <v>-4166.666666666657</v>
      </c>
      <c r="M142" s="31">
        <v>4.92</v>
      </c>
      <c r="N142" s="32">
        <f t="shared" si="77"/>
        <v>-2.3809523809523829E-2</v>
      </c>
      <c r="O142" s="18">
        <f>IF(ISNUMBER(M142), $B145 * N142, "")</f>
        <v>-3571.4285714285743</v>
      </c>
      <c r="Q142" s="161"/>
      <c r="R142" s="161"/>
      <c r="S142" s="161"/>
    </row>
    <row r="143" spans="1:19">
      <c r="A143" s="109" t="s">
        <v>195</v>
      </c>
      <c r="B143" s="110">
        <v>6.71</v>
      </c>
      <c r="C143" s="70">
        <v>-3.7302726000000001E-2</v>
      </c>
      <c r="D143" s="15">
        <v>6.48</v>
      </c>
      <c r="E143" s="32">
        <f t="shared" si="74"/>
        <v>-3.4277198211624373E-2</v>
      </c>
      <c r="F143" s="18">
        <f>IF(ISNUMBER(D143), $B145 * E143, "")</f>
        <v>-5141.5797317436563</v>
      </c>
      <c r="G143" s="31">
        <v>6.48</v>
      </c>
      <c r="H143" s="32">
        <f t="shared" si="75"/>
        <v>-3.4277198211624373E-2</v>
      </c>
      <c r="I143" s="91">
        <f>IF(ISNUMBER(G143), $B145 * H143, "")</f>
        <v>-5141.5797317436563</v>
      </c>
      <c r="J143" s="15">
        <v>6.48</v>
      </c>
      <c r="K143" s="32">
        <f t="shared" si="76"/>
        <v>-3.4277198211624373E-2</v>
      </c>
      <c r="L143" s="18">
        <f>IF(ISNUMBER(J143), $B145 * K143, "")</f>
        <v>-5141.5797317436563</v>
      </c>
      <c r="M143" s="31">
        <v>6.52</v>
      </c>
      <c r="N143" s="32">
        <f t="shared" si="77"/>
        <v>-2.8315946348733294E-2</v>
      </c>
      <c r="O143" s="18">
        <f>IF(ISNUMBER(M143), $B145 * N143, "")</f>
        <v>-4247.3919523099939</v>
      </c>
      <c r="Q143" s="183"/>
      <c r="R143" s="184"/>
      <c r="S143" s="185"/>
    </row>
    <row r="144" spans="1:19" ht="17.25" thickBot="1">
      <c r="A144" s="114" t="s">
        <v>181</v>
      </c>
      <c r="B144" s="115">
        <v>5.03</v>
      </c>
      <c r="C144" s="72">
        <v>-5.80524345E-2</v>
      </c>
      <c r="D144" s="24">
        <v>4.8099999999999996</v>
      </c>
      <c r="E144" s="25">
        <f t="shared" si="74"/>
        <v>-4.3737574552684025E-2</v>
      </c>
      <c r="F144" s="94">
        <f>IF(ISNUMBER(D144), $B145 * E144, "")</f>
        <v>-6560.6361829026037</v>
      </c>
      <c r="G144" s="92">
        <v>4.8099999999999996</v>
      </c>
      <c r="H144" s="25">
        <f t="shared" si="75"/>
        <v>-4.3737574552684025E-2</v>
      </c>
      <c r="I144" s="93">
        <f>IF(ISNUMBER(G144), $B145 * H144, "")</f>
        <v>-6560.6361829026037</v>
      </c>
      <c r="J144" s="24">
        <v>4.8099999999999996</v>
      </c>
      <c r="K144" s="25">
        <f t="shared" si="76"/>
        <v>-4.3737574552684025E-2</v>
      </c>
      <c r="L144" s="94">
        <f>IF(ISNUMBER(J144), $B145 * K144, "")</f>
        <v>-6560.6361829026037</v>
      </c>
      <c r="M144" s="92">
        <v>4.8499999999999996</v>
      </c>
      <c r="N144" s="25">
        <f t="shared" si="77"/>
        <v>-3.578528827037785E-2</v>
      </c>
      <c r="O144" s="94">
        <f>IF(ISNUMBER(M144), $B145 * N144, "")</f>
        <v>-5367.7932405566771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-3.8906333609447952E-2</v>
      </c>
      <c r="F145" s="28">
        <f>SUM(F125:F144)</f>
        <v>-116719.00082834385</v>
      </c>
      <c r="G145" s="26" t="s">
        <v>261</v>
      </c>
      <c r="H145" s="27">
        <f>IF(COUNT(H125:H144), SUM(H125:H144) / COUNT(H125:H144), 0)</f>
        <v>-3.8906333609447952E-2</v>
      </c>
      <c r="I145" s="28">
        <f>SUM(I125:I144)</f>
        <v>-116719.00082834385</v>
      </c>
      <c r="J145" s="26" t="s">
        <v>261</v>
      </c>
      <c r="K145" s="27">
        <f>IF(COUNT(K125:K144), SUM(K125:K144) / COUNT(K125:K144), 0)</f>
        <v>-3.8906333609447952E-2</v>
      </c>
      <c r="L145" s="28">
        <f>SUM(L125:L144)</f>
        <v>-116719.00082834385</v>
      </c>
      <c r="M145" s="26" t="s">
        <v>261</v>
      </c>
      <c r="N145" s="27">
        <f>IF(COUNT(N125:N144), SUM(N125:N144) / COUNT(N125:N144), 0)</f>
        <v>-3.4290743837904543E-2</v>
      </c>
      <c r="O145" s="28">
        <f>SUM(O125:O144)</f>
        <v>-102872.23151371363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2022-12-12(월) 오전 00:00</v>
      </c>
      <c r="C150" s="199"/>
      <c r="D150" s="158" t="str">
        <f>TEXT($G$1, "[$-ko-KR]yyyy-mm-dd(ddd) ") &amp; "오후 14:00"</f>
        <v>2022-12-12(월) 오후 14:00</v>
      </c>
      <c r="E150" s="159"/>
      <c r="F150" s="160"/>
      <c r="G150" s="158" t="str">
        <f>TEXT($G$1, "[$-ko-KR]yyyy-mm-dd(ddd) ") &amp; "오후 19:00"</f>
        <v>2022-12-12(월) 오후 19:00</v>
      </c>
      <c r="H150" s="159"/>
      <c r="I150" s="160"/>
      <c r="J150" s="158" t="str">
        <f>TEXT($G$1, "[$-ko-KR]yyyy-mm-dd(ddd) ") &amp; "오후 21:00"</f>
        <v>2022-12-12(월) 오후 21:00</v>
      </c>
      <c r="K150" s="159"/>
      <c r="L150" s="160"/>
      <c r="M150" s="158" t="str">
        <f>TEXT($G$1+1, "[$-ko-KR]yyyy-mm-dd(ddd) ") &amp; "오전 00:00"</f>
        <v>2022-12-13(화)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60</v>
      </c>
      <c r="B152" s="108">
        <v>530</v>
      </c>
      <c r="C152" s="69">
        <v>-1.1194029899999999E-2</v>
      </c>
      <c r="D152" s="13">
        <v>502</v>
      </c>
      <c r="E152" s="14">
        <f>IF(ISNUMBER(D152), (D152 - $B152) / $B152, "")</f>
        <v>-5.2830188679245285E-2</v>
      </c>
      <c r="F152" s="16">
        <f>IF(ISNUMBER(D152), $B172 * E152, "")</f>
        <v>-7924.5283018867931</v>
      </c>
      <c r="G152" s="29">
        <v>502</v>
      </c>
      <c r="H152" s="14">
        <f>IF(ISNUMBER(G152), (G152 - $B152) / $B152, "")</f>
        <v>-5.2830188679245285E-2</v>
      </c>
      <c r="I152" s="90">
        <f>IF(ISNUMBER(G152), $B172 * H152, "")</f>
        <v>-7924.5283018867931</v>
      </c>
      <c r="J152" s="13">
        <v>502</v>
      </c>
      <c r="K152" s="14">
        <f>IF(ISNUMBER(J152), (J152 - $B152) / $B152, "")</f>
        <v>-5.2830188679245285E-2</v>
      </c>
      <c r="L152" s="16">
        <f>IF(ISNUMBER(J152), $B172 * K152, "")</f>
        <v>-7924.5283018867931</v>
      </c>
      <c r="M152" s="29">
        <v>503</v>
      </c>
      <c r="N152" s="14">
        <f>IF(ISNUMBER(M152), (M152 - $B152) / $B152, "")</f>
        <v>-5.0943396226415097E-2</v>
      </c>
      <c r="O152" s="16">
        <f>IF(ISNUMBER(M152), $B172 * N152, "")</f>
        <v>-7641.5094339622647</v>
      </c>
      <c r="Q152" s="156"/>
      <c r="R152" s="156"/>
      <c r="S152" s="156"/>
    </row>
    <row r="153" spans="1:19" ht="17.25" thickBot="1">
      <c r="A153" s="109" t="s">
        <v>153</v>
      </c>
      <c r="B153" s="110">
        <v>432</v>
      </c>
      <c r="C153" s="70">
        <v>-1.14416476E-2</v>
      </c>
      <c r="D153" s="15">
        <v>406</v>
      </c>
      <c r="E153" s="32">
        <f t="shared" ref="E153:E156" si="78">IF(ISNUMBER(D153), (D153 - $B153) / $B153, "")</f>
        <v>-6.0185185185185182E-2</v>
      </c>
      <c r="F153" s="18">
        <f>IF(ISNUMBER(D153), $B172 * E153, "")</f>
        <v>-9027.7777777777774</v>
      </c>
      <c r="G153" s="31">
        <v>406</v>
      </c>
      <c r="H153" s="32">
        <f t="shared" ref="H153:H156" si="79">IF(ISNUMBER(G153), (G153 - $B153) / $B153, "")</f>
        <v>-6.0185185185185182E-2</v>
      </c>
      <c r="I153" s="91">
        <f>IF(ISNUMBER(G153), $B172 * H153, "")</f>
        <v>-9027.7777777777774</v>
      </c>
      <c r="J153" s="15">
        <v>406</v>
      </c>
      <c r="K153" s="32">
        <f t="shared" ref="K153:K156" si="80">IF(ISNUMBER(J153), (J153 - $B153) / $B153, "")</f>
        <v>-6.0185185185185182E-2</v>
      </c>
      <c r="L153" s="18">
        <f>IF(ISNUMBER(J153), $B172 * K153, "")</f>
        <v>-9027.7777777777774</v>
      </c>
      <c r="M153" s="31">
        <v>408</v>
      </c>
      <c r="N153" s="32">
        <f t="shared" ref="N153:N156" si="81">IF(ISNUMBER(M153), (M153 - $B153) / $B153, "")</f>
        <v>-5.5555555555555552E-2</v>
      </c>
      <c r="O153" s="18">
        <f>IF(ISNUMBER(M153), $B172 * N153, "")</f>
        <v>-8333.3333333333321</v>
      </c>
      <c r="Q153" s="156"/>
      <c r="R153" s="156"/>
      <c r="S153" s="156"/>
    </row>
    <row r="154" spans="1:19" ht="17.25" thickBot="1">
      <c r="A154" s="109" t="s">
        <v>105</v>
      </c>
      <c r="B154" s="110">
        <v>244</v>
      </c>
      <c r="C154" s="70">
        <v>-1.2145749000000001E-2</v>
      </c>
      <c r="D154" s="15">
        <v>228</v>
      </c>
      <c r="E154" s="32">
        <f t="shared" si="78"/>
        <v>-6.5573770491803282E-2</v>
      </c>
      <c r="F154" s="18">
        <f>IF(ISNUMBER(D154), $B172 * E154, "")</f>
        <v>-9836.0655737704928</v>
      </c>
      <c r="G154" s="31">
        <v>228</v>
      </c>
      <c r="H154" s="32">
        <f t="shared" si="79"/>
        <v>-6.5573770491803282E-2</v>
      </c>
      <c r="I154" s="91">
        <f>IF(ISNUMBER(G154), $B172 * H154, "")</f>
        <v>-9836.0655737704928</v>
      </c>
      <c r="J154" s="15">
        <v>228</v>
      </c>
      <c r="K154" s="32">
        <f t="shared" si="80"/>
        <v>-6.5573770491803282E-2</v>
      </c>
      <c r="L154" s="18">
        <f>IF(ISNUMBER(J154), $B172 * K154, "")</f>
        <v>-9836.0655737704928</v>
      </c>
      <c r="M154" s="31">
        <v>230</v>
      </c>
      <c r="N154" s="32">
        <f t="shared" si="81"/>
        <v>-5.737704918032787E-2</v>
      </c>
      <c r="O154" s="18">
        <f>IF(ISNUMBER(M154), $B172 * N154, "")</f>
        <v>-8606.557377049181</v>
      </c>
      <c r="Q154" s="161"/>
      <c r="R154" s="161"/>
      <c r="S154" s="161"/>
    </row>
    <row r="155" spans="1:19" ht="17.25" thickBot="1">
      <c r="A155" s="109" t="s">
        <v>226</v>
      </c>
      <c r="B155" s="110">
        <v>239</v>
      </c>
      <c r="C155" s="70">
        <v>-1.2396694200000001E-2</v>
      </c>
      <c r="D155" s="15">
        <v>227</v>
      </c>
      <c r="E155" s="32">
        <f t="shared" si="78"/>
        <v>-5.0209205020920501E-2</v>
      </c>
      <c r="F155" s="18">
        <f>IF(ISNUMBER(D155), $B172 * E155, "")</f>
        <v>-7531.3807531380753</v>
      </c>
      <c r="G155" s="31">
        <v>227</v>
      </c>
      <c r="H155" s="32">
        <f t="shared" si="79"/>
        <v>-5.0209205020920501E-2</v>
      </c>
      <c r="I155" s="91">
        <f>IF(ISNUMBER(G155), $B172 * H155, "")</f>
        <v>-7531.3807531380753</v>
      </c>
      <c r="J155" s="15">
        <v>227</v>
      </c>
      <c r="K155" s="32">
        <f t="shared" si="80"/>
        <v>-5.0209205020920501E-2</v>
      </c>
      <c r="L155" s="18">
        <f>IF(ISNUMBER(J155), $B172 * K155, "")</f>
        <v>-7531.3807531380753</v>
      </c>
      <c r="M155" s="31">
        <v>228</v>
      </c>
      <c r="N155" s="32">
        <f t="shared" si="81"/>
        <v>-4.6025104602510462E-2</v>
      </c>
      <c r="O155" s="18">
        <f>IF(ISNUMBER(M155), $B172 * N155, "")</f>
        <v>-6903.7656903765692</v>
      </c>
      <c r="Q155" s="161"/>
      <c r="R155" s="161"/>
      <c r="S155" s="161"/>
    </row>
    <row r="156" spans="1:19" ht="17.25" thickBot="1">
      <c r="A156" s="111" t="s">
        <v>234</v>
      </c>
      <c r="B156" s="112">
        <v>510</v>
      </c>
      <c r="C156" s="71">
        <v>-1.35396518E-2</v>
      </c>
      <c r="D156" s="20">
        <v>446</v>
      </c>
      <c r="E156" s="21">
        <f t="shared" si="78"/>
        <v>-0.12549019607843137</v>
      </c>
      <c r="F156" s="22">
        <f>IF(ISNUMBER(D156), $B172 * E156, "")</f>
        <v>-18823.529411764706</v>
      </c>
      <c r="G156" s="30">
        <v>446</v>
      </c>
      <c r="H156" s="21">
        <f t="shared" si="79"/>
        <v>-0.12549019607843137</v>
      </c>
      <c r="I156" s="95">
        <f>IF(ISNUMBER(G156), $B172 * H156, "")</f>
        <v>-18823.529411764706</v>
      </c>
      <c r="J156" s="20">
        <v>446</v>
      </c>
      <c r="K156" s="21">
        <f t="shared" si="80"/>
        <v>-0.12549019607843137</v>
      </c>
      <c r="L156" s="22">
        <f>IF(ISNUMBER(J156), $B172 * K156, "")</f>
        <v>-18823.529411764706</v>
      </c>
      <c r="M156" s="30">
        <v>434</v>
      </c>
      <c r="N156" s="21">
        <f t="shared" si="81"/>
        <v>-0.14901960784313725</v>
      </c>
      <c r="O156" s="22">
        <f>IF(ISNUMBER(M156), $B172 * N156, "")</f>
        <v>-22352.941176470587</v>
      </c>
      <c r="Q156" s="161"/>
      <c r="R156" s="161"/>
      <c r="S156" s="161"/>
    </row>
    <row r="157" spans="1:19" ht="17.25" thickBot="1">
      <c r="A157" s="109" t="s">
        <v>176</v>
      </c>
      <c r="B157" s="113">
        <v>349</v>
      </c>
      <c r="C157" s="73">
        <v>-1.41242938E-2</v>
      </c>
      <c r="D157" s="96">
        <v>336</v>
      </c>
      <c r="E157" s="97">
        <f>IF(ISNUMBER(D157), (D157 - $B157) / $B157, "")</f>
        <v>-3.7249283667621778E-2</v>
      </c>
      <c r="F157" s="98">
        <f>IF(ISNUMBER(D157), $B172 * E157, "")</f>
        <v>-5587.3925501432668</v>
      </c>
      <c r="G157" s="99">
        <v>336</v>
      </c>
      <c r="H157" s="97">
        <f>IF(ISNUMBER(G157), (G157 - $B157) / $B157, "")</f>
        <v>-3.7249283667621778E-2</v>
      </c>
      <c r="I157" s="100">
        <f>IF(ISNUMBER(G157), $B172 * H157, "")</f>
        <v>-5587.3925501432668</v>
      </c>
      <c r="J157" s="96">
        <v>336</v>
      </c>
      <c r="K157" s="97">
        <f>IF(ISNUMBER(J157), (J157 - $B157) / $B157, "")</f>
        <v>-3.7249283667621778E-2</v>
      </c>
      <c r="L157" s="98">
        <f>IF(ISNUMBER(J157), $B172 * K157, "")</f>
        <v>-5587.3925501432668</v>
      </c>
      <c r="M157" s="99">
        <v>337</v>
      </c>
      <c r="N157" s="97">
        <f>IF(ISNUMBER(M157), (M157 - $B157) / $B157, "")</f>
        <v>-3.4383954154727794E-2</v>
      </c>
      <c r="O157" s="98">
        <f>IF(ISNUMBER(M157), $B172 * N157, "")</f>
        <v>-5157.5931232091689</v>
      </c>
      <c r="Q157" s="161"/>
      <c r="R157" s="161"/>
      <c r="S157" s="161"/>
    </row>
    <row r="158" spans="1:19" ht="17.25" thickBot="1">
      <c r="A158" s="109" t="s">
        <v>342</v>
      </c>
      <c r="B158" s="110">
        <v>138</v>
      </c>
      <c r="C158" s="70">
        <v>-1.42857143E-2</v>
      </c>
      <c r="D158" s="15">
        <v>135</v>
      </c>
      <c r="E158" s="32">
        <f t="shared" ref="E158:E161" si="82">IF(ISNUMBER(D158), (D158 - $B158) / $B158, "")</f>
        <v>-2.1739130434782608E-2</v>
      </c>
      <c r="F158" s="18">
        <f>IF(ISNUMBER(D158), $B172 * E158, "")</f>
        <v>-3260.869565217391</v>
      </c>
      <c r="G158" s="31">
        <v>135</v>
      </c>
      <c r="H158" s="32">
        <f t="shared" ref="H158:H161" si="83">IF(ISNUMBER(G158), (G158 - $B158) / $B158, "")</f>
        <v>-2.1739130434782608E-2</v>
      </c>
      <c r="I158" s="91">
        <f>IF(ISNUMBER(G158), $B172 * H158, "")</f>
        <v>-3260.869565217391</v>
      </c>
      <c r="J158" s="15">
        <v>135</v>
      </c>
      <c r="K158" s="32">
        <f t="shared" ref="K158:K161" si="84">IF(ISNUMBER(J158), (J158 - $B158) / $B158, "")</f>
        <v>-2.1739130434782608E-2</v>
      </c>
      <c r="L158" s="18">
        <f>IF(ISNUMBER(J158), $B172 * K158, "")</f>
        <v>-3260.869565217391</v>
      </c>
      <c r="M158" s="31">
        <v>135</v>
      </c>
      <c r="N158" s="32">
        <f t="shared" ref="N158:N161" si="85">IF(ISNUMBER(M158), (M158 - $B158) / $B158, "")</f>
        <v>-2.1739130434782608E-2</v>
      </c>
      <c r="O158" s="18">
        <f>IF(ISNUMBER(M158), $B172 * N158, "")</f>
        <v>-3260.869565217391</v>
      </c>
      <c r="Q158" s="161"/>
      <c r="R158" s="161"/>
      <c r="S158" s="161"/>
    </row>
    <row r="159" spans="1:19" ht="17.25" thickBot="1">
      <c r="A159" s="109" t="s">
        <v>346</v>
      </c>
      <c r="B159" s="110">
        <v>531</v>
      </c>
      <c r="C159" s="70">
        <v>-1.48423006E-2</v>
      </c>
      <c r="D159" s="15">
        <v>527</v>
      </c>
      <c r="E159" s="32">
        <f t="shared" si="82"/>
        <v>-7.5329566854990581E-3</v>
      </c>
      <c r="F159" s="18">
        <f>IF(ISNUMBER(D159), $B172 * E159, "")</f>
        <v>-1129.9435028248588</v>
      </c>
      <c r="G159" s="31">
        <v>527</v>
      </c>
      <c r="H159" s="32">
        <f t="shared" si="83"/>
        <v>-7.5329566854990581E-3</v>
      </c>
      <c r="I159" s="91">
        <f>IF(ISNUMBER(G159), $B172 * H159, "")</f>
        <v>-1129.9435028248588</v>
      </c>
      <c r="J159" s="15">
        <v>527</v>
      </c>
      <c r="K159" s="32">
        <f t="shared" si="84"/>
        <v>-7.5329566854990581E-3</v>
      </c>
      <c r="L159" s="18">
        <f>IF(ISNUMBER(J159), $B172 * K159, "")</f>
        <v>-1129.9435028248588</v>
      </c>
      <c r="M159" s="31">
        <v>530</v>
      </c>
      <c r="N159" s="32">
        <f t="shared" si="85"/>
        <v>-1.8832391713747645E-3</v>
      </c>
      <c r="O159" s="18">
        <f>IF(ISNUMBER(M159), $B172 * N159, "")</f>
        <v>-282.4858757062147</v>
      </c>
      <c r="Q159" s="161"/>
      <c r="R159" s="161"/>
      <c r="S159" s="161"/>
    </row>
    <row r="160" spans="1:19" ht="17.25" thickBot="1">
      <c r="A160" s="109" t="s">
        <v>208</v>
      </c>
      <c r="B160" s="110">
        <v>112</v>
      </c>
      <c r="C160" s="70">
        <v>-1.75438596E-2</v>
      </c>
      <c r="D160" s="15">
        <v>104</v>
      </c>
      <c r="E160" s="32">
        <f t="shared" si="82"/>
        <v>-7.1428571428571425E-2</v>
      </c>
      <c r="F160" s="18">
        <f>IF(ISNUMBER(D160), $B172 * E160, "")</f>
        <v>-10714.285714285714</v>
      </c>
      <c r="G160" s="31">
        <v>104</v>
      </c>
      <c r="H160" s="32">
        <f t="shared" si="83"/>
        <v>-7.1428571428571425E-2</v>
      </c>
      <c r="I160" s="91">
        <f>IF(ISNUMBER(G160), $B172 * H160, "")</f>
        <v>-10714.285714285714</v>
      </c>
      <c r="J160" s="15">
        <v>104</v>
      </c>
      <c r="K160" s="32">
        <f t="shared" si="84"/>
        <v>-7.1428571428571425E-2</v>
      </c>
      <c r="L160" s="18">
        <f>IF(ISNUMBER(J160), $B172 * K160, "")</f>
        <v>-10714.285714285714</v>
      </c>
      <c r="M160" s="31">
        <v>105</v>
      </c>
      <c r="N160" s="32">
        <f t="shared" si="85"/>
        <v>-6.25E-2</v>
      </c>
      <c r="O160" s="18">
        <f>IF(ISNUMBER(M160), $B172 * N160, "")</f>
        <v>-9375</v>
      </c>
      <c r="Q160" s="33"/>
      <c r="R160" s="33"/>
    </row>
    <row r="161" spans="1:19" ht="17.25" thickBot="1">
      <c r="A161" s="114" t="s">
        <v>167</v>
      </c>
      <c r="B161" s="115">
        <v>205</v>
      </c>
      <c r="C161" s="72">
        <v>-1.9138756E-2</v>
      </c>
      <c r="D161" s="24">
        <v>191</v>
      </c>
      <c r="E161" s="25">
        <f t="shared" si="82"/>
        <v>-6.8292682926829273E-2</v>
      </c>
      <c r="F161" s="94">
        <f>IF(ISNUMBER(D161), $B172 * E161, "")</f>
        <v>-10243.90243902439</v>
      </c>
      <c r="G161" s="92">
        <v>191</v>
      </c>
      <c r="H161" s="25">
        <f t="shared" si="83"/>
        <v>-6.8292682926829273E-2</v>
      </c>
      <c r="I161" s="93">
        <f>IF(ISNUMBER(G161), $B172 * H161, "")</f>
        <v>-10243.90243902439</v>
      </c>
      <c r="J161" s="24">
        <v>191</v>
      </c>
      <c r="K161" s="25">
        <f t="shared" si="84"/>
        <v>-6.8292682926829273E-2</v>
      </c>
      <c r="L161" s="94">
        <f>IF(ISNUMBER(J161), $B172 * K161, "")</f>
        <v>-10243.90243902439</v>
      </c>
      <c r="M161" s="92">
        <v>192</v>
      </c>
      <c r="N161" s="25">
        <f t="shared" si="85"/>
        <v>-6.3414634146341464E-2</v>
      </c>
      <c r="O161" s="94">
        <f>IF(ISNUMBER(M161), $B172 * N161, "")</f>
        <v>-9512.1951219512193</v>
      </c>
      <c r="Q161" s="170"/>
      <c r="R161" s="171"/>
      <c r="S161" s="172"/>
    </row>
    <row r="162" spans="1:19">
      <c r="A162" s="107" t="s">
        <v>232</v>
      </c>
      <c r="B162" s="108">
        <v>304</v>
      </c>
      <c r="C162" s="69">
        <v>-1.9354838700000002E-2</v>
      </c>
      <c r="D162" s="13">
        <v>290</v>
      </c>
      <c r="E162" s="14">
        <f>IF(ISNUMBER(D162), (D162 - $B162) / $B162, "")</f>
        <v>-4.6052631578947366E-2</v>
      </c>
      <c r="F162" s="16">
        <f>IF(ISNUMBER(D162), $B172 * E162, "")</f>
        <v>-6907.894736842105</v>
      </c>
      <c r="G162" s="29">
        <v>290</v>
      </c>
      <c r="H162" s="14">
        <f>IF(ISNUMBER(G162), (G162 - $B162) / $B162, "")</f>
        <v>-4.6052631578947366E-2</v>
      </c>
      <c r="I162" s="90">
        <f>IF(ISNUMBER(G162), $B172 * H162, "")</f>
        <v>-6907.894736842105</v>
      </c>
      <c r="J162" s="13">
        <v>290</v>
      </c>
      <c r="K162" s="14">
        <f>IF(ISNUMBER(J162), (J162 - $B162) / $B162, "")</f>
        <v>-4.6052631578947366E-2</v>
      </c>
      <c r="L162" s="16">
        <f>IF(ISNUMBER(J162), $B172 * K162, "")</f>
        <v>-6907.894736842105</v>
      </c>
      <c r="M162" s="29">
        <v>290</v>
      </c>
      <c r="N162" s="14">
        <f>IF(ISNUMBER(M162), (M162 - $B162) / $B162, "")</f>
        <v>-4.6052631578947366E-2</v>
      </c>
      <c r="O162" s="16">
        <f>IF(ISNUMBER(M162), $B172 * N162, "")</f>
        <v>-6907.894736842105</v>
      </c>
      <c r="Q162" s="173"/>
      <c r="R162" s="174"/>
      <c r="S162" s="175"/>
    </row>
    <row r="163" spans="1:19" ht="17.25" thickBot="1">
      <c r="A163" s="109" t="s">
        <v>222</v>
      </c>
      <c r="B163" s="110">
        <v>469</v>
      </c>
      <c r="C163" s="70">
        <v>-2.08768267E-2</v>
      </c>
      <c r="D163" s="15">
        <v>445</v>
      </c>
      <c r="E163" s="32">
        <f t="shared" ref="E163:E166" si="86">IF(ISNUMBER(D163), (D163 - $B163) / $B163, "")</f>
        <v>-5.1172707889125799E-2</v>
      </c>
      <c r="F163" s="18">
        <f>IF(ISNUMBER(D163), $B172 * E163, "")</f>
        <v>-7675.9061833688702</v>
      </c>
      <c r="G163" s="31">
        <v>445</v>
      </c>
      <c r="H163" s="32">
        <f t="shared" ref="H163:H166" si="87">IF(ISNUMBER(G163), (G163 - $B163) / $B163, "")</f>
        <v>-5.1172707889125799E-2</v>
      </c>
      <c r="I163" s="91">
        <f>IF(ISNUMBER(G163), $B172 * H163, "")</f>
        <v>-7675.9061833688702</v>
      </c>
      <c r="J163" s="15">
        <v>445</v>
      </c>
      <c r="K163" s="32">
        <f t="shared" ref="K163:K166" si="88">IF(ISNUMBER(J163), (J163 - $B163) / $B163, "")</f>
        <v>-5.1172707889125799E-2</v>
      </c>
      <c r="L163" s="18">
        <f>IF(ISNUMBER(J163), $B172 * K163, "")</f>
        <v>-7675.9061833688702</v>
      </c>
      <c r="M163" s="31">
        <v>447</v>
      </c>
      <c r="N163" s="32">
        <f t="shared" ref="N163:N166" si="89">IF(ISNUMBER(M163), (M163 - $B163) / $B163, "")</f>
        <v>-4.6908315565031986E-2</v>
      </c>
      <c r="O163" s="18">
        <f>IF(ISNUMBER(M163), $B172 * N163, "")</f>
        <v>-7036.2473347547975</v>
      </c>
      <c r="Q163" s="176"/>
      <c r="R163" s="177"/>
      <c r="S163" s="178"/>
    </row>
    <row r="164" spans="1:19" ht="17.25" thickBot="1">
      <c r="A164" s="109" t="s">
        <v>242</v>
      </c>
      <c r="B164" s="110">
        <v>461</v>
      </c>
      <c r="C164" s="70">
        <v>-2.12314225E-2</v>
      </c>
      <c r="D164" s="15">
        <v>441</v>
      </c>
      <c r="E164" s="32">
        <f t="shared" si="86"/>
        <v>-4.3383947939262472E-2</v>
      </c>
      <c r="F164" s="18">
        <f>IF(ISNUMBER(D164), $B172 * E164, "")</f>
        <v>-6507.5921908893706</v>
      </c>
      <c r="G164" s="31">
        <v>441</v>
      </c>
      <c r="H164" s="32">
        <f t="shared" si="87"/>
        <v>-4.3383947939262472E-2</v>
      </c>
      <c r="I164" s="91">
        <f>IF(ISNUMBER(G164), $B172 * H164, "")</f>
        <v>-6507.5921908893706</v>
      </c>
      <c r="J164" s="15">
        <v>441</v>
      </c>
      <c r="K164" s="32">
        <f t="shared" si="88"/>
        <v>-4.3383947939262472E-2</v>
      </c>
      <c r="L164" s="18">
        <f>IF(ISNUMBER(J164), $B172 * K164, "")</f>
        <v>-6507.5921908893706</v>
      </c>
      <c r="M164" s="31">
        <v>442</v>
      </c>
      <c r="N164" s="32">
        <f t="shared" si="89"/>
        <v>-4.1214750542299353E-2</v>
      </c>
      <c r="O164" s="18">
        <f>IF(ISNUMBER(M164), $B172 * N164, "")</f>
        <v>-6182.2125813449029</v>
      </c>
      <c r="Q164" s="161"/>
      <c r="R164" s="161"/>
      <c r="S164" s="161"/>
    </row>
    <row r="165" spans="1:19" ht="17.25" thickBot="1">
      <c r="A165" s="109" t="s">
        <v>68</v>
      </c>
      <c r="B165" s="110">
        <v>361</v>
      </c>
      <c r="C165" s="70">
        <v>-2.1680216799999999E-2</v>
      </c>
      <c r="D165" s="15">
        <v>339</v>
      </c>
      <c r="E165" s="32">
        <f t="shared" si="86"/>
        <v>-6.0941828254847646E-2</v>
      </c>
      <c r="F165" s="18">
        <f>IF(ISNUMBER(D165), $B172 * E165, "")</f>
        <v>-9141.2742382271463</v>
      </c>
      <c r="G165" s="31">
        <v>339</v>
      </c>
      <c r="H165" s="32">
        <f t="shared" si="87"/>
        <v>-6.0941828254847646E-2</v>
      </c>
      <c r="I165" s="91">
        <f>IF(ISNUMBER(G165), $B172 * H165, "")</f>
        <v>-9141.2742382271463</v>
      </c>
      <c r="J165" s="15">
        <v>339</v>
      </c>
      <c r="K165" s="32">
        <f t="shared" si="88"/>
        <v>-6.0941828254847646E-2</v>
      </c>
      <c r="L165" s="18">
        <f>IF(ISNUMBER(J165), $B172 * K165, "")</f>
        <v>-9141.2742382271463</v>
      </c>
      <c r="M165" s="31">
        <v>339</v>
      </c>
      <c r="N165" s="32">
        <f t="shared" si="89"/>
        <v>-6.0941828254847646E-2</v>
      </c>
      <c r="O165" s="18">
        <f>IF(ISNUMBER(M165), $B172 * N165, "")</f>
        <v>-9141.2742382271463</v>
      </c>
      <c r="Q165" s="156"/>
      <c r="R165" s="156"/>
      <c r="S165" s="156"/>
    </row>
    <row r="166" spans="1:19" ht="17.25" thickBot="1">
      <c r="A166" s="111" t="s">
        <v>352</v>
      </c>
      <c r="B166" s="112">
        <v>264</v>
      </c>
      <c r="C166" s="71">
        <v>-2.5830258299999999E-2</v>
      </c>
      <c r="D166" s="20">
        <v>246</v>
      </c>
      <c r="E166" s="21">
        <f t="shared" si="86"/>
        <v>-6.8181818181818177E-2</v>
      </c>
      <c r="F166" s="22">
        <f>IF(ISNUMBER(D166), $B172 * E166, "")</f>
        <v>-10227.272727272726</v>
      </c>
      <c r="G166" s="30">
        <v>246</v>
      </c>
      <c r="H166" s="21">
        <f t="shared" si="87"/>
        <v>-6.8181818181818177E-2</v>
      </c>
      <c r="I166" s="95">
        <f>IF(ISNUMBER(G166), $B172 * H166, "")</f>
        <v>-10227.272727272726</v>
      </c>
      <c r="J166" s="20">
        <v>246</v>
      </c>
      <c r="K166" s="21">
        <f t="shared" si="88"/>
        <v>-6.8181818181818177E-2</v>
      </c>
      <c r="L166" s="22">
        <f>IF(ISNUMBER(J166), $B172 * K166, "")</f>
        <v>-10227.272727272726</v>
      </c>
      <c r="M166" s="30">
        <v>248</v>
      </c>
      <c r="N166" s="21">
        <f t="shared" si="89"/>
        <v>-6.0606060606060608E-2</v>
      </c>
      <c r="O166" s="22">
        <f>IF(ISNUMBER(M166), $B172 * N166, "")</f>
        <v>-9090.9090909090919</v>
      </c>
      <c r="Q166" s="156"/>
      <c r="R166" s="156"/>
      <c r="S166" s="156"/>
    </row>
    <row r="167" spans="1:19" ht="17.25" thickBot="1">
      <c r="A167" s="109" t="s">
        <v>349</v>
      </c>
      <c r="B167" s="113">
        <v>779</v>
      </c>
      <c r="C167" s="73">
        <v>-2.8678304200000001E-2</v>
      </c>
      <c r="D167" s="96">
        <v>742</v>
      </c>
      <c r="E167" s="97">
        <f>IF(ISNUMBER(D167), (D167 - $B167) / $B167, "")</f>
        <v>-4.7496790757381259E-2</v>
      </c>
      <c r="F167" s="98">
        <f>IF(ISNUMBER(D167), $B172 * E167, "")</f>
        <v>-7124.5186136071889</v>
      </c>
      <c r="G167" s="99">
        <v>742</v>
      </c>
      <c r="H167" s="97">
        <f>IF(ISNUMBER(G167), (G167 - $B167) / $B167, "")</f>
        <v>-4.7496790757381259E-2</v>
      </c>
      <c r="I167" s="100">
        <f>IF(ISNUMBER(G167), $B172 * H167, "")</f>
        <v>-7124.5186136071889</v>
      </c>
      <c r="J167" s="96">
        <v>742</v>
      </c>
      <c r="K167" s="97">
        <f>IF(ISNUMBER(J167), (J167 - $B167) / $B167, "")</f>
        <v>-4.7496790757381259E-2</v>
      </c>
      <c r="L167" s="98">
        <f>IF(ISNUMBER(J167), $B172 * K167, "")</f>
        <v>-7124.5186136071889</v>
      </c>
      <c r="M167" s="99">
        <v>747</v>
      </c>
      <c r="N167" s="97">
        <f>IF(ISNUMBER(M167), (M167 - $B167) / $B167, "")</f>
        <v>-4.1078305519897301E-2</v>
      </c>
      <c r="O167" s="98">
        <f>IF(ISNUMBER(M167), $B172 * N167, "")</f>
        <v>-6161.7458279845951</v>
      </c>
      <c r="Q167" s="161"/>
      <c r="R167" s="161"/>
      <c r="S167" s="161"/>
    </row>
    <row r="168" spans="1:19" ht="17.25" thickBot="1">
      <c r="A168" s="109" t="s">
        <v>238</v>
      </c>
      <c r="B168" s="110">
        <v>641</v>
      </c>
      <c r="C168" s="70">
        <v>-2.87878788E-2</v>
      </c>
      <c r="D168" s="15">
        <v>619</v>
      </c>
      <c r="E168" s="32">
        <f t="shared" ref="E168:E171" si="90">IF(ISNUMBER(D168), (D168 - $B168) / $B168, "")</f>
        <v>-3.4321372854914198E-2</v>
      </c>
      <c r="F168" s="18">
        <f>IF(ISNUMBER(D168), $B172 * E168, "")</f>
        <v>-5148.2059282371292</v>
      </c>
      <c r="G168" s="31">
        <v>619</v>
      </c>
      <c r="H168" s="32">
        <f t="shared" ref="H168:H171" si="91">IF(ISNUMBER(G168), (G168 - $B168) / $B168, "")</f>
        <v>-3.4321372854914198E-2</v>
      </c>
      <c r="I168" s="91">
        <f>IF(ISNUMBER(G168), $B172 * H168, "")</f>
        <v>-5148.2059282371292</v>
      </c>
      <c r="J168" s="15">
        <v>619</v>
      </c>
      <c r="K168" s="32">
        <f t="shared" ref="K168:K171" si="92">IF(ISNUMBER(J168), (J168 - $B168) / $B168, "")</f>
        <v>-3.4321372854914198E-2</v>
      </c>
      <c r="L168" s="18">
        <f>IF(ISNUMBER(J168), $B172 * K168, "")</f>
        <v>-5148.2059282371292</v>
      </c>
      <c r="M168" s="31">
        <v>618</v>
      </c>
      <c r="N168" s="32">
        <f t="shared" ref="N168:N171" si="93">IF(ISNUMBER(M168), (M168 - $B168) / $B168, "")</f>
        <v>-3.5881435257410298E-2</v>
      </c>
      <c r="O168" s="18">
        <f>IF(ISNUMBER(M168), $B172 * N168, "")</f>
        <v>-5382.2152886115446</v>
      </c>
      <c r="Q168" s="161"/>
      <c r="R168" s="161"/>
      <c r="S168" s="161"/>
    </row>
    <row r="169" spans="1:19" ht="17.25" thickBot="1">
      <c r="A169" s="109" t="s">
        <v>244</v>
      </c>
      <c r="B169" s="110">
        <v>103</v>
      </c>
      <c r="C169" s="70">
        <v>-3.7383177599999998E-2</v>
      </c>
      <c r="D169" s="15">
        <v>97.8</v>
      </c>
      <c r="E169" s="32">
        <f t="shared" si="90"/>
        <v>-5.0485436893203908E-2</v>
      </c>
      <c r="F169" s="18">
        <f>IF(ISNUMBER(D169), $B172 * E169, "")</f>
        <v>-7572.8155339805862</v>
      </c>
      <c r="G169" s="31">
        <v>97.8</v>
      </c>
      <c r="H169" s="32">
        <f t="shared" si="91"/>
        <v>-5.0485436893203908E-2</v>
      </c>
      <c r="I169" s="91">
        <f>IF(ISNUMBER(G169), $B172 * H169, "")</f>
        <v>-7572.8155339805862</v>
      </c>
      <c r="J169" s="15">
        <v>97.8</v>
      </c>
      <c r="K169" s="32">
        <f t="shared" si="92"/>
        <v>-5.0485436893203908E-2</v>
      </c>
      <c r="L169" s="18">
        <f>IF(ISNUMBER(J169), $B172 * K169, "")</f>
        <v>-7572.8155339805862</v>
      </c>
      <c r="M169" s="31">
        <v>98</v>
      </c>
      <c r="N169" s="32">
        <f t="shared" si="93"/>
        <v>-4.8543689320388349E-2</v>
      </c>
      <c r="O169" s="18">
        <f>IF(ISNUMBER(M169), $B172 * N169, "")</f>
        <v>-7281.5533980582522</v>
      </c>
      <c r="Q169" s="161"/>
      <c r="R169" s="161"/>
      <c r="S169" s="161"/>
    </row>
    <row r="170" spans="1:19">
      <c r="A170" s="109" t="s">
        <v>218</v>
      </c>
      <c r="B170" s="110">
        <v>355</v>
      </c>
      <c r="C170" s="70">
        <v>-3.7940379400000002E-2</v>
      </c>
      <c r="D170" s="15">
        <v>341</v>
      </c>
      <c r="E170" s="32">
        <f t="shared" si="90"/>
        <v>-3.9436619718309862E-2</v>
      </c>
      <c r="F170" s="18">
        <f>IF(ISNUMBER(D170), $B172 * E170, "")</f>
        <v>-5915.4929577464791</v>
      </c>
      <c r="G170" s="31">
        <v>341</v>
      </c>
      <c r="H170" s="32">
        <f t="shared" si="91"/>
        <v>-3.9436619718309862E-2</v>
      </c>
      <c r="I170" s="91">
        <f>IF(ISNUMBER(G170), $B172 * H170, "")</f>
        <v>-5915.4929577464791</v>
      </c>
      <c r="J170" s="15">
        <v>341</v>
      </c>
      <c r="K170" s="32">
        <f t="shared" si="92"/>
        <v>-3.9436619718309862E-2</v>
      </c>
      <c r="L170" s="18">
        <f>IF(ISNUMBER(J170), $B172 * K170, "")</f>
        <v>-5915.4929577464791</v>
      </c>
      <c r="M170" s="31">
        <v>341</v>
      </c>
      <c r="N170" s="32">
        <f t="shared" si="93"/>
        <v>-3.9436619718309862E-2</v>
      </c>
      <c r="O170" s="18">
        <f>IF(ISNUMBER(M170), $B172 * N170, "")</f>
        <v>-5915.4929577464791</v>
      </c>
      <c r="Q170" s="183"/>
      <c r="R170" s="184"/>
      <c r="S170" s="185"/>
    </row>
    <row r="171" spans="1:19" ht="17.25" thickBot="1">
      <c r="A171" s="114" t="s">
        <v>157</v>
      </c>
      <c r="B171" s="115">
        <v>176</v>
      </c>
      <c r="C171" s="72">
        <v>-3.8251366100000003E-2</v>
      </c>
      <c r="D171" s="24">
        <v>171</v>
      </c>
      <c r="E171" s="25">
        <f t="shared" si="90"/>
        <v>-2.8409090909090908E-2</v>
      </c>
      <c r="F171" s="94">
        <f>IF(ISNUMBER(D171), $B172 * E171, "")</f>
        <v>-4261.363636363636</v>
      </c>
      <c r="G171" s="92">
        <v>171</v>
      </c>
      <c r="H171" s="25">
        <f t="shared" si="91"/>
        <v>-2.8409090909090908E-2</v>
      </c>
      <c r="I171" s="93">
        <f>IF(ISNUMBER(G171), $B172 * H171, "")</f>
        <v>-4261.363636363636</v>
      </c>
      <c r="J171" s="24">
        <v>171</v>
      </c>
      <c r="K171" s="25">
        <f t="shared" si="92"/>
        <v>-2.8409090909090908E-2</v>
      </c>
      <c r="L171" s="94">
        <f>IF(ISNUMBER(J171), $B172 * K171, "")</f>
        <v>-4261.363636363636</v>
      </c>
      <c r="M171" s="92">
        <v>169</v>
      </c>
      <c r="N171" s="25">
        <f t="shared" si="93"/>
        <v>-3.9772727272727272E-2</v>
      </c>
      <c r="O171" s="94">
        <f>IF(ISNUMBER(M171), $B172 * N171, "")</f>
        <v>-5965.909090909091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-5.1520670778789558E-2</v>
      </c>
      <c r="F172" s="28">
        <f>SUM(F152:F171)</f>
        <v>-154562.01233636867</v>
      </c>
      <c r="G172" s="26" t="s">
        <v>261</v>
      </c>
      <c r="H172" s="27">
        <f>IF(COUNT(H152:H171), SUM(H152:H171) / COUNT(H152:H171), 0)</f>
        <v>-5.1520670778789558E-2</v>
      </c>
      <c r="I172" s="28">
        <f>SUM(I152:I171)</f>
        <v>-154562.01233636867</v>
      </c>
      <c r="J172" s="26" t="s">
        <v>261</v>
      </c>
      <c r="K172" s="27">
        <f>IF(COUNT(K152:K171), SUM(K152:K171) / COUNT(K152:K171), 0)</f>
        <v>-5.1520670778789558E-2</v>
      </c>
      <c r="L172" s="28">
        <f>SUM(L152:L171)</f>
        <v>-154562.01233636867</v>
      </c>
      <c r="M172" s="26" t="s">
        <v>261</v>
      </c>
      <c r="N172" s="27">
        <f>IF(COUNT(N152:N171), SUM(N152:N171) / COUNT(N152:N171), 0)</f>
        <v>-5.0163901747554654E-2</v>
      </c>
      <c r="O172" s="28">
        <f>SUM(O152:O171)</f>
        <v>-150491.70524266394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2022-12-12(월) 오전 00:00</v>
      </c>
      <c r="C177" s="199"/>
      <c r="D177" s="158" t="str">
        <f>TEXT($G$1, "[$-ko-KR]yyyy-mm-dd(ddd) ") &amp; "오후 14:00"</f>
        <v>2022-12-12(월) 오후 14:00</v>
      </c>
      <c r="E177" s="159"/>
      <c r="F177" s="160"/>
      <c r="G177" s="158" t="str">
        <f>TEXT($G$1, "[$-ko-KR]yyyy-mm-dd(ddd) ") &amp; "오후 19:00"</f>
        <v>2022-12-12(월) 오후 19:00</v>
      </c>
      <c r="H177" s="159"/>
      <c r="I177" s="160"/>
      <c r="J177" s="158" t="str">
        <f>TEXT($G$1, "[$-ko-KR]yyyy-mm-dd(ddd) ") &amp; "오후 21:00"</f>
        <v>2022-12-12(월) 오후 21:00</v>
      </c>
      <c r="K177" s="159"/>
      <c r="L177" s="160"/>
      <c r="M177" s="158" t="str">
        <f>TEXT($G$1+1, "[$-ko-KR]yyyy-mm-dd(ddd) ") &amp; "오전 00:00"</f>
        <v>2022-12-13(화)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71</v>
      </c>
      <c r="B179" s="108">
        <v>12</v>
      </c>
      <c r="C179" s="69">
        <v>-2.4390243900000001E-2</v>
      </c>
      <c r="D179" s="13">
        <v>11.4</v>
      </c>
      <c r="E179" s="14">
        <f>IF(ISNUMBER(D179), (D179 - $B179) / $B179, "")</f>
        <v>-4.9999999999999968E-2</v>
      </c>
      <c r="F179" s="16">
        <f>IF(ISNUMBER(D179), $B199 * E179, "")</f>
        <v>-7499.9999999999955</v>
      </c>
      <c r="G179" s="29">
        <v>11.4</v>
      </c>
      <c r="H179" s="14">
        <f>IF(ISNUMBER(G179), (G179 - $B179) / $B179, "")</f>
        <v>-4.9999999999999968E-2</v>
      </c>
      <c r="I179" s="90">
        <f>IF(ISNUMBER(G179), $B199 * H179, "")</f>
        <v>-7499.9999999999955</v>
      </c>
      <c r="J179" s="13">
        <v>11.4</v>
      </c>
      <c r="K179" s="14">
        <f>IF(ISNUMBER(J179), (J179 - $B179) / $B179, "")</f>
        <v>-4.9999999999999968E-2</v>
      </c>
      <c r="L179" s="16">
        <f>IF(ISNUMBER(J179), $B199 * K179, "")</f>
        <v>-7499.9999999999955</v>
      </c>
      <c r="M179" s="29">
        <v>11.4</v>
      </c>
      <c r="N179" s="14">
        <f>IF(ISNUMBER(M179), (M179 - $B179) / $B179, "")</f>
        <v>-4.9999999999999968E-2</v>
      </c>
      <c r="O179" s="16">
        <f>IF(ISNUMBER(M179), $B199 * N179, "")</f>
        <v>-7499.9999999999955</v>
      </c>
      <c r="Q179" s="156"/>
      <c r="R179" s="156"/>
      <c r="S179" s="156"/>
    </row>
    <row r="180" spans="1:19" ht="17.25" thickBot="1">
      <c r="A180" s="109" t="s">
        <v>147</v>
      </c>
      <c r="B180" s="110">
        <v>10770</v>
      </c>
      <c r="C180" s="70">
        <v>-2.4456521700000001E-2</v>
      </c>
      <c r="D180" s="15">
        <v>10100</v>
      </c>
      <c r="E180" s="32">
        <f t="shared" ref="E180:E183" si="94">IF(ISNUMBER(D180), (D180 - $B180) / $B180, "")</f>
        <v>-6.2209842154131847E-2</v>
      </c>
      <c r="F180" s="18">
        <f>IF(ISNUMBER(D180), $B199 * E180, "")</f>
        <v>-9331.4763231197776</v>
      </c>
      <c r="G180" s="31">
        <v>10100</v>
      </c>
      <c r="H180" s="32">
        <f t="shared" ref="H180:H183" si="95">IF(ISNUMBER(G180), (G180 - $B180) / $B180, "")</f>
        <v>-6.2209842154131847E-2</v>
      </c>
      <c r="I180" s="91">
        <f>IF(ISNUMBER(G180), $B199 * H180, "")</f>
        <v>-9331.4763231197776</v>
      </c>
      <c r="J180" s="15">
        <v>10100</v>
      </c>
      <c r="K180" s="32">
        <f t="shared" ref="K180:K183" si="96">IF(ISNUMBER(J180), (J180 - $B180) / $B180, "")</f>
        <v>-6.2209842154131847E-2</v>
      </c>
      <c r="L180" s="18">
        <f>IF(ISNUMBER(J180), $B199 * K180, "")</f>
        <v>-9331.4763231197776</v>
      </c>
      <c r="M180" s="31">
        <v>10110</v>
      </c>
      <c r="N180" s="32">
        <f t="shared" ref="N180:N183" si="97">IF(ISNUMBER(M180), (M180 - $B180) / $B180, "")</f>
        <v>-6.1281337047353758E-2</v>
      </c>
      <c r="O180" s="18">
        <f>IF(ISNUMBER(M180), $B199 * N180, "")</f>
        <v>-9192.2005571030641</v>
      </c>
      <c r="Q180" s="156"/>
      <c r="R180" s="156"/>
      <c r="S180" s="156"/>
    </row>
    <row r="181" spans="1:19" ht="17.25" thickBot="1">
      <c r="A181" s="109" t="s">
        <v>350</v>
      </c>
      <c r="B181" s="110">
        <v>7.73</v>
      </c>
      <c r="C181" s="70">
        <v>-2.5220680999999998E-2</v>
      </c>
      <c r="D181" s="15">
        <v>7.29</v>
      </c>
      <c r="E181" s="32">
        <f t="shared" si="94"/>
        <v>-5.6921086675291124E-2</v>
      </c>
      <c r="F181" s="18">
        <f>IF(ISNUMBER(D181), $B199 * E181, "")</f>
        <v>-8538.1630012936694</v>
      </c>
      <c r="G181" s="31">
        <v>7.29</v>
      </c>
      <c r="H181" s="32">
        <f t="shared" si="95"/>
        <v>-5.6921086675291124E-2</v>
      </c>
      <c r="I181" s="91">
        <f>IF(ISNUMBER(G181), $B199 * H181, "")</f>
        <v>-8538.1630012936694</v>
      </c>
      <c r="J181" s="15">
        <v>7.29</v>
      </c>
      <c r="K181" s="32">
        <f t="shared" si="96"/>
        <v>-5.6921086675291124E-2</v>
      </c>
      <c r="L181" s="18">
        <f>IF(ISNUMBER(J181), $B199 * K181, "")</f>
        <v>-8538.1630012936694</v>
      </c>
      <c r="M181" s="31">
        <v>7.34</v>
      </c>
      <c r="N181" s="32">
        <f t="shared" si="97"/>
        <v>-5.0452781371280793E-2</v>
      </c>
      <c r="O181" s="18">
        <f>IF(ISNUMBER(M181), $B199 * N181, "")</f>
        <v>-7567.9172056921188</v>
      </c>
      <c r="Q181" s="161"/>
      <c r="R181" s="161"/>
      <c r="S181" s="161"/>
    </row>
    <row r="182" spans="1:19" ht="17.25" thickBot="1">
      <c r="A182" s="109" t="s">
        <v>155</v>
      </c>
      <c r="B182" s="110">
        <v>30.7</v>
      </c>
      <c r="C182" s="70">
        <v>-2.53968254E-2</v>
      </c>
      <c r="D182" s="15">
        <v>29.9</v>
      </c>
      <c r="E182" s="32">
        <f t="shared" si="94"/>
        <v>-2.605863192182413E-2</v>
      </c>
      <c r="F182" s="18">
        <f>IF(ISNUMBER(D182), $B199 * E182, "")</f>
        <v>-3908.7947882736194</v>
      </c>
      <c r="G182" s="31">
        <v>29.9</v>
      </c>
      <c r="H182" s="32">
        <f t="shared" si="95"/>
        <v>-2.605863192182413E-2</v>
      </c>
      <c r="I182" s="91">
        <f>IF(ISNUMBER(G182), $B199 * H182, "")</f>
        <v>-3908.7947882736194</v>
      </c>
      <c r="J182" s="15">
        <v>29.9</v>
      </c>
      <c r="K182" s="32">
        <f t="shared" si="96"/>
        <v>-2.605863192182413E-2</v>
      </c>
      <c r="L182" s="18">
        <f>IF(ISNUMBER(J182), $B199 * K182, "")</f>
        <v>-3908.7947882736194</v>
      </c>
      <c r="M182" s="31">
        <v>30</v>
      </c>
      <c r="N182" s="32">
        <f t="shared" si="97"/>
        <v>-2.280130293159607E-2</v>
      </c>
      <c r="O182" s="18">
        <f>IF(ISNUMBER(M182), $B199 * N182, "")</f>
        <v>-3420.1954397394106</v>
      </c>
      <c r="Q182" s="161"/>
      <c r="R182" s="161"/>
      <c r="S182" s="161"/>
    </row>
    <row r="183" spans="1:19" ht="17.25" thickBot="1">
      <c r="A183" s="111" t="s">
        <v>200</v>
      </c>
      <c r="B183" s="112">
        <v>6.9</v>
      </c>
      <c r="C183" s="71">
        <v>-2.54237288E-2</v>
      </c>
      <c r="D183" s="20">
        <v>6.65</v>
      </c>
      <c r="E183" s="21">
        <f t="shared" si="94"/>
        <v>-3.6231884057971016E-2</v>
      </c>
      <c r="F183" s="22">
        <f>IF(ISNUMBER(D183), $B199 * E183, "")</f>
        <v>-5434.782608695652</v>
      </c>
      <c r="G183" s="30">
        <v>6.65</v>
      </c>
      <c r="H183" s="21">
        <f t="shared" si="95"/>
        <v>-3.6231884057971016E-2</v>
      </c>
      <c r="I183" s="95">
        <f>IF(ISNUMBER(G183), $B199 * H183, "")</f>
        <v>-5434.782608695652</v>
      </c>
      <c r="J183" s="20">
        <v>6.65</v>
      </c>
      <c r="K183" s="21">
        <f t="shared" si="96"/>
        <v>-3.6231884057971016E-2</v>
      </c>
      <c r="L183" s="22">
        <f>IF(ISNUMBER(J183), $B199 * K183, "")</f>
        <v>-5434.782608695652</v>
      </c>
      <c r="M183" s="30">
        <v>6.74</v>
      </c>
      <c r="N183" s="21">
        <f t="shared" si="97"/>
        <v>-2.318840579710147E-2</v>
      </c>
      <c r="O183" s="22">
        <f>IF(ISNUMBER(M183), $B199 * N183, "")</f>
        <v>-3478.2608695652207</v>
      </c>
      <c r="Q183" s="161"/>
      <c r="R183" s="161"/>
      <c r="S183" s="161"/>
    </row>
    <row r="184" spans="1:19" ht="17.25" thickBot="1">
      <c r="A184" s="109" t="s">
        <v>352</v>
      </c>
      <c r="B184" s="113">
        <v>264</v>
      </c>
      <c r="C184" s="73">
        <v>-2.5830258299999999E-2</v>
      </c>
      <c r="D184" s="96">
        <v>246</v>
      </c>
      <c r="E184" s="97">
        <f>IF(ISNUMBER(D184), (D184 - $B184) / $B184, "")</f>
        <v>-6.8181818181818177E-2</v>
      </c>
      <c r="F184" s="98">
        <f>IF(ISNUMBER(D184), $B199 * E184, "")</f>
        <v>-10227.272727272726</v>
      </c>
      <c r="G184" s="99">
        <v>246</v>
      </c>
      <c r="H184" s="97">
        <f>IF(ISNUMBER(G184), (G184 - $B184) / $B184, "")</f>
        <v>-6.8181818181818177E-2</v>
      </c>
      <c r="I184" s="100">
        <f>IF(ISNUMBER(G184), $B199 * H184, "")</f>
        <v>-10227.272727272726</v>
      </c>
      <c r="J184" s="96">
        <v>246</v>
      </c>
      <c r="K184" s="97">
        <f>IF(ISNUMBER(J184), (J184 - $B184) / $B184, "")</f>
        <v>-6.8181818181818177E-2</v>
      </c>
      <c r="L184" s="98">
        <f>IF(ISNUMBER(J184), $B199 * K184, "")</f>
        <v>-10227.272727272726</v>
      </c>
      <c r="M184" s="99">
        <v>248</v>
      </c>
      <c r="N184" s="97">
        <f>IF(ISNUMBER(M184), (M184 - $B184) / $B184, "")</f>
        <v>-6.0606060606060608E-2</v>
      </c>
      <c r="O184" s="98">
        <f>IF(ISNUMBER(M184), $B199 * N184, "")</f>
        <v>-9090.9090909090919</v>
      </c>
      <c r="Q184" s="161"/>
      <c r="R184" s="161"/>
      <c r="S184" s="161"/>
    </row>
    <row r="185" spans="1:19" ht="17.25" thickBot="1">
      <c r="A185" s="109" t="s">
        <v>107</v>
      </c>
      <c r="B185" s="110">
        <v>41.3</v>
      </c>
      <c r="C185" s="70">
        <v>-2.59433962E-2</v>
      </c>
      <c r="D185" s="15">
        <v>39.5</v>
      </c>
      <c r="E185" s="32">
        <f t="shared" ref="E185:E188" si="98">IF(ISNUMBER(D185), (D185 - $B185) / $B185, "")</f>
        <v>-4.3583535108958772E-2</v>
      </c>
      <c r="F185" s="18">
        <f>IF(ISNUMBER(D185), $B199 * E185, "")</f>
        <v>-6537.530266343816</v>
      </c>
      <c r="G185" s="31">
        <v>39.5</v>
      </c>
      <c r="H185" s="32">
        <f t="shared" ref="H185:H188" si="99">IF(ISNUMBER(G185), (G185 - $B185) / $B185, "")</f>
        <v>-4.3583535108958772E-2</v>
      </c>
      <c r="I185" s="91">
        <f>IF(ISNUMBER(G185), $B199 * H185, "")</f>
        <v>-6537.530266343816</v>
      </c>
      <c r="J185" s="15">
        <v>39.5</v>
      </c>
      <c r="K185" s="32">
        <f t="shared" ref="K185:K188" si="100">IF(ISNUMBER(J185), (J185 - $B185) / $B185, "")</f>
        <v>-4.3583535108958772E-2</v>
      </c>
      <c r="L185" s="18">
        <f>IF(ISNUMBER(J185), $B199 * K185, "")</f>
        <v>-6537.530266343816</v>
      </c>
      <c r="M185" s="31">
        <v>39.5</v>
      </c>
      <c r="N185" s="32">
        <f t="shared" ref="N185:N188" si="101">IF(ISNUMBER(M185), (M185 - $B185) / $B185, "")</f>
        <v>-4.3583535108958772E-2</v>
      </c>
      <c r="O185" s="18">
        <f>IF(ISNUMBER(M185), $B199 * N185, "")</f>
        <v>-6537.530266343816</v>
      </c>
      <c r="Q185" s="161"/>
      <c r="R185" s="161"/>
      <c r="S185" s="161"/>
    </row>
    <row r="186" spans="1:19" ht="17.25" thickBot="1">
      <c r="A186" s="109" t="s">
        <v>143</v>
      </c>
      <c r="B186" s="110">
        <v>4.32</v>
      </c>
      <c r="C186" s="70">
        <v>-2.7027026999999999E-2</v>
      </c>
      <c r="D186" s="15">
        <v>4.1100000000000003</v>
      </c>
      <c r="E186" s="32">
        <f t="shared" si="98"/>
        <v>-4.8611111111111098E-2</v>
      </c>
      <c r="F186" s="18">
        <f>IF(ISNUMBER(D186), $B199 * E186, "")</f>
        <v>-7291.6666666666652</v>
      </c>
      <c r="G186" s="31">
        <v>4.1100000000000003</v>
      </c>
      <c r="H186" s="32">
        <f t="shared" si="99"/>
        <v>-4.8611111111111098E-2</v>
      </c>
      <c r="I186" s="91">
        <f>IF(ISNUMBER(G186), $B199 * H186, "")</f>
        <v>-7291.6666666666652</v>
      </c>
      <c r="J186" s="15">
        <v>4.1100000000000003</v>
      </c>
      <c r="K186" s="32">
        <f t="shared" si="100"/>
        <v>-4.8611111111111098E-2</v>
      </c>
      <c r="L186" s="18">
        <f>IF(ISNUMBER(J186), $B199 * K186, "")</f>
        <v>-7291.6666666666652</v>
      </c>
      <c r="M186" s="31">
        <v>4.1399999999999997</v>
      </c>
      <c r="N186" s="32">
        <f t="shared" si="101"/>
        <v>-4.1666666666666803E-2</v>
      </c>
      <c r="O186" s="18">
        <f>IF(ISNUMBER(M186), $B199 * N186, "")</f>
        <v>-6250.0000000000209</v>
      </c>
      <c r="Q186" s="161"/>
      <c r="R186" s="161"/>
      <c r="S186" s="161"/>
    </row>
    <row r="187" spans="1:19" ht="17.25" thickBot="1">
      <c r="A187" s="109" t="s">
        <v>224</v>
      </c>
      <c r="B187" s="110">
        <v>21.4</v>
      </c>
      <c r="C187" s="70">
        <v>-2.7272727300000001E-2</v>
      </c>
      <c r="D187" s="15">
        <v>20.3</v>
      </c>
      <c r="E187" s="32">
        <f t="shared" si="98"/>
        <v>-5.1401869158878406E-2</v>
      </c>
      <c r="F187" s="18">
        <f>IF(ISNUMBER(D187), $B199 * E187, "")</f>
        <v>-7710.2803738317607</v>
      </c>
      <c r="G187" s="31">
        <v>20.3</v>
      </c>
      <c r="H187" s="32">
        <f t="shared" si="99"/>
        <v>-5.1401869158878406E-2</v>
      </c>
      <c r="I187" s="91">
        <f>IF(ISNUMBER(G187), $B199 * H187, "")</f>
        <v>-7710.2803738317607</v>
      </c>
      <c r="J187" s="15">
        <v>20.3</v>
      </c>
      <c r="K187" s="32">
        <f t="shared" si="100"/>
        <v>-5.1401869158878406E-2</v>
      </c>
      <c r="L187" s="18">
        <f>IF(ISNUMBER(J187), $B199 * K187, "")</f>
        <v>-7710.2803738317607</v>
      </c>
      <c r="M187" s="31">
        <v>20.3</v>
      </c>
      <c r="N187" s="32">
        <f t="shared" si="101"/>
        <v>-5.1401869158878406E-2</v>
      </c>
      <c r="O187" s="18">
        <f>IF(ISNUMBER(M187), $B199 * N187, "")</f>
        <v>-7710.2803738317607</v>
      </c>
      <c r="Q187" s="33"/>
      <c r="R187" s="33"/>
    </row>
    <row r="188" spans="1:19" ht="17.25" thickBot="1">
      <c r="A188" s="114" t="s">
        <v>212</v>
      </c>
      <c r="B188" s="115">
        <v>86.7</v>
      </c>
      <c r="C188" s="72">
        <v>-2.8026905800000002E-2</v>
      </c>
      <c r="D188" s="24">
        <v>82.5</v>
      </c>
      <c r="E188" s="25">
        <f t="shared" si="98"/>
        <v>-4.8442906574394498E-2</v>
      </c>
      <c r="F188" s="94">
        <f>IF(ISNUMBER(D188), $B199 * E188, "")</f>
        <v>-7266.4359861591747</v>
      </c>
      <c r="G188" s="92">
        <v>82.5</v>
      </c>
      <c r="H188" s="25">
        <f t="shared" si="99"/>
        <v>-4.8442906574394498E-2</v>
      </c>
      <c r="I188" s="93">
        <f>IF(ISNUMBER(G188), $B199 * H188, "")</f>
        <v>-7266.4359861591747</v>
      </c>
      <c r="J188" s="24">
        <v>82.5</v>
      </c>
      <c r="K188" s="25">
        <f t="shared" si="100"/>
        <v>-4.8442906574394498E-2</v>
      </c>
      <c r="L188" s="94">
        <f>IF(ISNUMBER(J188), $B199 * K188, "")</f>
        <v>-7266.4359861591747</v>
      </c>
      <c r="M188" s="92">
        <v>82.9</v>
      </c>
      <c r="N188" s="25">
        <f t="shared" si="101"/>
        <v>-4.3829296424452102E-2</v>
      </c>
      <c r="O188" s="94">
        <f>IF(ISNUMBER(M188), $B199 * N188, "")</f>
        <v>-6574.3944636678152</v>
      </c>
      <c r="Q188" s="170"/>
      <c r="R188" s="171"/>
      <c r="S188" s="172"/>
    </row>
    <row r="189" spans="1:19">
      <c r="A189" s="107" t="s">
        <v>228</v>
      </c>
      <c r="B189" s="108">
        <v>65.099999999999994</v>
      </c>
      <c r="C189" s="69">
        <v>-2.8358208999999999E-2</v>
      </c>
      <c r="D189" s="13">
        <v>63.2</v>
      </c>
      <c r="E189" s="14">
        <f>IF(ISNUMBER(D189), (D189 - $B189) / $B189, "")</f>
        <v>-2.9185867895545187E-2</v>
      </c>
      <c r="F189" s="16">
        <f>IF(ISNUMBER(D189), $B199 * E189, "")</f>
        <v>-4377.8801843317779</v>
      </c>
      <c r="G189" s="29">
        <v>63.2</v>
      </c>
      <c r="H189" s="14">
        <f>IF(ISNUMBER(G189), (G189 - $B189) / $B189, "")</f>
        <v>-2.9185867895545187E-2</v>
      </c>
      <c r="I189" s="90">
        <f>IF(ISNUMBER(G189), $B199 * H189, "")</f>
        <v>-4377.8801843317779</v>
      </c>
      <c r="J189" s="13">
        <v>63.2</v>
      </c>
      <c r="K189" s="14">
        <f>IF(ISNUMBER(J189), (J189 - $B189) / $B189, "")</f>
        <v>-2.9185867895545187E-2</v>
      </c>
      <c r="L189" s="16">
        <f>IF(ISNUMBER(J189), $B199 * K189, "")</f>
        <v>-4377.8801843317779</v>
      </c>
      <c r="M189" s="29">
        <v>62.7</v>
      </c>
      <c r="N189" s="14">
        <f>IF(ISNUMBER(M189), (M189 - $B189) / $B189, "")</f>
        <v>-3.6866359447004483E-2</v>
      </c>
      <c r="O189" s="16">
        <f>IF(ISNUMBER(M189), $B199 * N189, "")</f>
        <v>-5529.9539170506723</v>
      </c>
      <c r="Q189" s="173"/>
      <c r="R189" s="174"/>
      <c r="S189" s="175"/>
    </row>
    <row r="190" spans="1:19" ht="17.25" thickBot="1">
      <c r="A190" s="109" t="s">
        <v>349</v>
      </c>
      <c r="B190" s="110">
        <v>779</v>
      </c>
      <c r="C190" s="70">
        <v>-2.8678304200000001E-2</v>
      </c>
      <c r="D190" s="15">
        <v>742</v>
      </c>
      <c r="E190" s="32">
        <f t="shared" ref="E190:E193" si="102">IF(ISNUMBER(D190), (D190 - $B190) / $B190, "")</f>
        <v>-4.7496790757381259E-2</v>
      </c>
      <c r="F190" s="18">
        <f>IF(ISNUMBER(D190), $B199 * E190, "")</f>
        <v>-7124.5186136071889</v>
      </c>
      <c r="G190" s="31">
        <v>742</v>
      </c>
      <c r="H190" s="32">
        <f t="shared" ref="H190:H193" si="103">IF(ISNUMBER(G190), (G190 - $B190) / $B190, "")</f>
        <v>-4.7496790757381259E-2</v>
      </c>
      <c r="I190" s="91">
        <f>IF(ISNUMBER(G190), $B199 * H190, "")</f>
        <v>-7124.5186136071889</v>
      </c>
      <c r="J190" s="15">
        <v>742</v>
      </c>
      <c r="K190" s="32">
        <f t="shared" ref="K190:K193" si="104">IF(ISNUMBER(J190), (J190 - $B190) / $B190, "")</f>
        <v>-4.7496790757381259E-2</v>
      </c>
      <c r="L190" s="18">
        <f>IF(ISNUMBER(J190), $B199 * K190, "")</f>
        <v>-7124.5186136071889</v>
      </c>
      <c r="M190" s="31">
        <v>747</v>
      </c>
      <c r="N190" s="32">
        <f t="shared" ref="N190:N193" si="105">IF(ISNUMBER(M190), (M190 - $B190) / $B190, "")</f>
        <v>-4.1078305519897301E-2</v>
      </c>
      <c r="O190" s="18">
        <f>IF(ISNUMBER(M190), $B199 * N190, "")</f>
        <v>-6161.7458279845951</v>
      </c>
      <c r="Q190" s="176"/>
      <c r="R190" s="177"/>
      <c r="S190" s="178"/>
    </row>
    <row r="191" spans="1:19" ht="17.25" thickBot="1">
      <c r="A191" s="109" t="s">
        <v>238</v>
      </c>
      <c r="B191" s="110">
        <v>641</v>
      </c>
      <c r="C191" s="70">
        <v>-2.87878788E-2</v>
      </c>
      <c r="D191" s="15">
        <v>619</v>
      </c>
      <c r="E191" s="32">
        <f t="shared" si="102"/>
        <v>-3.4321372854914198E-2</v>
      </c>
      <c r="F191" s="18">
        <f>IF(ISNUMBER(D191), $B199 * E191, "")</f>
        <v>-5148.2059282371292</v>
      </c>
      <c r="G191" s="31">
        <v>619</v>
      </c>
      <c r="H191" s="32">
        <f t="shared" si="103"/>
        <v>-3.4321372854914198E-2</v>
      </c>
      <c r="I191" s="91">
        <f>IF(ISNUMBER(G191), $B199 * H191, "")</f>
        <v>-5148.2059282371292</v>
      </c>
      <c r="J191" s="15">
        <v>619</v>
      </c>
      <c r="K191" s="32">
        <f t="shared" si="104"/>
        <v>-3.4321372854914198E-2</v>
      </c>
      <c r="L191" s="18">
        <f>IF(ISNUMBER(J191), $B199 * K191, "")</f>
        <v>-5148.2059282371292</v>
      </c>
      <c r="M191" s="31">
        <v>618</v>
      </c>
      <c r="N191" s="32">
        <f t="shared" si="105"/>
        <v>-3.5881435257410298E-2</v>
      </c>
      <c r="O191" s="18">
        <f>IF(ISNUMBER(M191), $B199 * N191, "")</f>
        <v>-5382.2152886115446</v>
      </c>
      <c r="Q191" s="161"/>
      <c r="R191" s="161"/>
      <c r="S191" s="161"/>
    </row>
    <row r="192" spans="1:19" ht="17.25" thickBot="1">
      <c r="A192" s="109" t="s">
        <v>178</v>
      </c>
      <c r="B192" s="110">
        <v>1645</v>
      </c>
      <c r="C192" s="70">
        <v>-2.9498525099999999E-2</v>
      </c>
      <c r="D192" s="15">
        <v>1575</v>
      </c>
      <c r="E192" s="32">
        <f t="shared" si="102"/>
        <v>-4.2553191489361701E-2</v>
      </c>
      <c r="F192" s="18">
        <f>IF(ISNUMBER(D192), $B199 * E192, "")</f>
        <v>-6382.9787234042551</v>
      </c>
      <c r="G192" s="31">
        <v>1575</v>
      </c>
      <c r="H192" s="32">
        <f t="shared" si="103"/>
        <v>-4.2553191489361701E-2</v>
      </c>
      <c r="I192" s="91">
        <f>IF(ISNUMBER(G192), $B199 * H192, "")</f>
        <v>-6382.9787234042551</v>
      </c>
      <c r="J192" s="15">
        <v>1575</v>
      </c>
      <c r="K192" s="32">
        <f t="shared" si="104"/>
        <v>-4.2553191489361701E-2</v>
      </c>
      <c r="L192" s="18">
        <f>IF(ISNUMBER(J192), $B199 * K192, "")</f>
        <v>-6382.9787234042551</v>
      </c>
      <c r="M192" s="31">
        <v>1595</v>
      </c>
      <c r="N192" s="32">
        <f t="shared" si="105"/>
        <v>-3.0395136778115502E-2</v>
      </c>
      <c r="O192" s="18">
        <f>IF(ISNUMBER(M192), $B199 * N192, "")</f>
        <v>-4559.2705167173253</v>
      </c>
      <c r="Q192" s="156"/>
      <c r="R192" s="156"/>
      <c r="S192" s="156"/>
    </row>
    <row r="193" spans="1:19" ht="17.25" thickBot="1">
      <c r="A193" s="111" t="s">
        <v>338</v>
      </c>
      <c r="B193" s="112">
        <v>5.04</v>
      </c>
      <c r="C193" s="71">
        <v>-3.0769230799999998E-2</v>
      </c>
      <c r="D193" s="20">
        <v>4.9000000000000004</v>
      </c>
      <c r="E193" s="21">
        <f t="shared" si="102"/>
        <v>-2.7777777777777714E-2</v>
      </c>
      <c r="F193" s="22">
        <f>IF(ISNUMBER(D193), $B199 * E193, "")</f>
        <v>-4166.666666666657</v>
      </c>
      <c r="G193" s="30">
        <v>4.9000000000000004</v>
      </c>
      <c r="H193" s="21">
        <f t="shared" si="103"/>
        <v>-2.7777777777777714E-2</v>
      </c>
      <c r="I193" s="95">
        <f>IF(ISNUMBER(G193), $B199 * H193, "")</f>
        <v>-4166.666666666657</v>
      </c>
      <c r="J193" s="20">
        <v>4.9000000000000004</v>
      </c>
      <c r="K193" s="21">
        <f t="shared" si="104"/>
        <v>-2.7777777777777714E-2</v>
      </c>
      <c r="L193" s="22">
        <f>IF(ISNUMBER(J193), $B199 * K193, "")</f>
        <v>-4166.666666666657</v>
      </c>
      <c r="M193" s="30">
        <v>4.92</v>
      </c>
      <c r="N193" s="21">
        <f t="shared" si="105"/>
        <v>-2.3809523809523829E-2</v>
      </c>
      <c r="O193" s="22">
        <f>IF(ISNUMBER(M193), $B199 * N193, "")</f>
        <v>-3571.4285714285743</v>
      </c>
      <c r="Q193" s="156"/>
      <c r="R193" s="156"/>
      <c r="S193" s="156"/>
    </row>
    <row r="194" spans="1:19" ht="17.25" thickBot="1">
      <c r="A194" s="109" t="s">
        <v>195</v>
      </c>
      <c r="B194" s="113">
        <v>6.71</v>
      </c>
      <c r="C194" s="73">
        <v>-3.7302726000000001E-2</v>
      </c>
      <c r="D194" s="96">
        <v>6.48</v>
      </c>
      <c r="E194" s="97">
        <f>IF(ISNUMBER(D194), (D194 - $B194) / $B194, "")</f>
        <v>-3.4277198211624373E-2</v>
      </c>
      <c r="F194" s="98">
        <f>IF(ISNUMBER(D194), $B199 * E194, "")</f>
        <v>-5141.5797317436563</v>
      </c>
      <c r="G194" s="99">
        <v>6.48</v>
      </c>
      <c r="H194" s="97">
        <f>IF(ISNUMBER(G194), (G194 - $B194) / $B194, "")</f>
        <v>-3.4277198211624373E-2</v>
      </c>
      <c r="I194" s="100">
        <f>IF(ISNUMBER(G194), $B199 * H194, "")</f>
        <v>-5141.5797317436563</v>
      </c>
      <c r="J194" s="96">
        <v>6.48</v>
      </c>
      <c r="K194" s="97">
        <f>IF(ISNUMBER(J194), (J194 - $B194) / $B194, "")</f>
        <v>-3.4277198211624373E-2</v>
      </c>
      <c r="L194" s="98">
        <f>IF(ISNUMBER(J194), $B199 * K194, "")</f>
        <v>-5141.5797317436563</v>
      </c>
      <c r="M194" s="99">
        <v>6.52</v>
      </c>
      <c r="N194" s="97">
        <f>IF(ISNUMBER(M194), (M194 - $B194) / $B194, "")</f>
        <v>-2.8315946348733294E-2</v>
      </c>
      <c r="O194" s="98">
        <f>IF(ISNUMBER(M194), $B199 * N194, "")</f>
        <v>-4247.3919523099939</v>
      </c>
      <c r="Q194" s="161"/>
      <c r="R194" s="161"/>
      <c r="S194" s="161"/>
    </row>
    <row r="195" spans="1:19" ht="17.25" thickBot="1">
      <c r="A195" s="109" t="s">
        <v>244</v>
      </c>
      <c r="B195" s="110">
        <v>103</v>
      </c>
      <c r="C195" s="70">
        <v>-3.7383177599999998E-2</v>
      </c>
      <c r="D195" s="15">
        <v>97.8</v>
      </c>
      <c r="E195" s="32">
        <f t="shared" ref="E195:E198" si="106">IF(ISNUMBER(D195), (D195 - $B195) / $B195, "")</f>
        <v>-5.0485436893203908E-2</v>
      </c>
      <c r="F195" s="18">
        <f>IF(ISNUMBER(D195), $B199 * E195, "")</f>
        <v>-7572.8155339805862</v>
      </c>
      <c r="G195" s="31">
        <v>97.8</v>
      </c>
      <c r="H195" s="32">
        <f t="shared" ref="H195:H198" si="107">IF(ISNUMBER(G195), (G195 - $B195) / $B195, "")</f>
        <v>-5.0485436893203908E-2</v>
      </c>
      <c r="I195" s="91">
        <f>IF(ISNUMBER(G195), $B199 * H195, "")</f>
        <v>-7572.8155339805862</v>
      </c>
      <c r="J195" s="15">
        <v>97.8</v>
      </c>
      <c r="K195" s="32">
        <f t="shared" ref="K195:K198" si="108">IF(ISNUMBER(J195), (J195 - $B195) / $B195, "")</f>
        <v>-5.0485436893203908E-2</v>
      </c>
      <c r="L195" s="18">
        <f>IF(ISNUMBER(J195), $B199 * K195, "")</f>
        <v>-7572.8155339805862</v>
      </c>
      <c r="M195" s="31">
        <v>98</v>
      </c>
      <c r="N195" s="32">
        <f t="shared" ref="N195:N198" si="109">IF(ISNUMBER(M195), (M195 - $B195) / $B195, "")</f>
        <v>-4.8543689320388349E-2</v>
      </c>
      <c r="O195" s="18">
        <f>IF(ISNUMBER(M195), $B199 * N195, "")</f>
        <v>-7281.5533980582522</v>
      </c>
      <c r="Q195" s="161"/>
      <c r="R195" s="161"/>
      <c r="S195" s="161"/>
    </row>
    <row r="196" spans="1:19" ht="17.25" thickBot="1">
      <c r="A196" s="109" t="s">
        <v>218</v>
      </c>
      <c r="B196" s="110">
        <v>355</v>
      </c>
      <c r="C196" s="70">
        <v>-3.7940379400000002E-2</v>
      </c>
      <c r="D196" s="15">
        <v>341</v>
      </c>
      <c r="E196" s="32">
        <f t="shared" si="106"/>
        <v>-3.9436619718309862E-2</v>
      </c>
      <c r="F196" s="18">
        <f>IF(ISNUMBER(D196), $B199 * E196, "")</f>
        <v>-5915.4929577464791</v>
      </c>
      <c r="G196" s="31">
        <v>341</v>
      </c>
      <c r="H196" s="32">
        <f t="shared" si="107"/>
        <v>-3.9436619718309862E-2</v>
      </c>
      <c r="I196" s="91">
        <f>IF(ISNUMBER(G196), $B199 * H196, "")</f>
        <v>-5915.4929577464791</v>
      </c>
      <c r="J196" s="15">
        <v>341</v>
      </c>
      <c r="K196" s="32">
        <f t="shared" si="108"/>
        <v>-3.9436619718309862E-2</v>
      </c>
      <c r="L196" s="18">
        <f>IF(ISNUMBER(J196), $B199 * K196, "")</f>
        <v>-5915.4929577464791</v>
      </c>
      <c r="M196" s="31">
        <v>341</v>
      </c>
      <c r="N196" s="32">
        <f t="shared" si="109"/>
        <v>-3.9436619718309862E-2</v>
      </c>
      <c r="O196" s="18">
        <f>IF(ISNUMBER(M196), $B199 * N196, "")</f>
        <v>-5915.4929577464791</v>
      </c>
      <c r="Q196" s="161"/>
      <c r="R196" s="161"/>
      <c r="S196" s="161"/>
    </row>
    <row r="197" spans="1:19">
      <c r="A197" s="109" t="s">
        <v>157</v>
      </c>
      <c r="B197" s="110">
        <v>176</v>
      </c>
      <c r="C197" s="70">
        <v>-3.8251366100000003E-2</v>
      </c>
      <c r="D197" s="15">
        <v>171</v>
      </c>
      <c r="E197" s="32">
        <f t="shared" si="106"/>
        <v>-2.8409090909090908E-2</v>
      </c>
      <c r="F197" s="18">
        <f>IF(ISNUMBER(D197), $B199 * E197, "")</f>
        <v>-4261.363636363636</v>
      </c>
      <c r="G197" s="31">
        <v>171</v>
      </c>
      <c r="H197" s="32">
        <f t="shared" si="107"/>
        <v>-2.8409090909090908E-2</v>
      </c>
      <c r="I197" s="91">
        <f>IF(ISNUMBER(G197), $B199 * H197, "")</f>
        <v>-4261.363636363636</v>
      </c>
      <c r="J197" s="15">
        <v>171</v>
      </c>
      <c r="K197" s="32">
        <f t="shared" si="108"/>
        <v>-2.8409090909090908E-2</v>
      </c>
      <c r="L197" s="18">
        <f>IF(ISNUMBER(J197), $B199 * K197, "")</f>
        <v>-4261.363636363636</v>
      </c>
      <c r="M197" s="31">
        <v>169</v>
      </c>
      <c r="N197" s="32">
        <f t="shared" si="109"/>
        <v>-3.9772727272727272E-2</v>
      </c>
      <c r="O197" s="18">
        <f>IF(ISNUMBER(M197), $B199 * N197, "")</f>
        <v>-5965.909090909091</v>
      </c>
      <c r="Q197" s="183"/>
      <c r="R197" s="184"/>
      <c r="S197" s="185"/>
    </row>
    <row r="198" spans="1:19" ht="17.25" thickBot="1">
      <c r="A198" s="114" t="s">
        <v>181</v>
      </c>
      <c r="B198" s="115">
        <v>5.03</v>
      </c>
      <c r="C198" s="72">
        <v>-5.80524345E-2</v>
      </c>
      <c r="D198" s="24">
        <v>4.8099999999999996</v>
      </c>
      <c r="E198" s="25">
        <f t="shared" si="106"/>
        <v>-4.3737574552684025E-2</v>
      </c>
      <c r="F198" s="94">
        <f>IF(ISNUMBER(D198), $B199 * E198, "")</f>
        <v>-6560.6361829026037</v>
      </c>
      <c r="G198" s="92">
        <v>4.8099999999999996</v>
      </c>
      <c r="H198" s="25">
        <f t="shared" si="107"/>
        <v>-4.3737574552684025E-2</v>
      </c>
      <c r="I198" s="93">
        <f>IF(ISNUMBER(G198), $B199 * H198, "")</f>
        <v>-6560.6361829026037</v>
      </c>
      <c r="J198" s="24">
        <v>4.8099999999999996</v>
      </c>
      <c r="K198" s="25">
        <f t="shared" si="108"/>
        <v>-4.3737574552684025E-2</v>
      </c>
      <c r="L198" s="94">
        <f>IF(ISNUMBER(J198), $B199 * K198, "")</f>
        <v>-6560.6361829026037</v>
      </c>
      <c r="M198" s="92">
        <v>4.8499999999999996</v>
      </c>
      <c r="N198" s="25">
        <f t="shared" si="109"/>
        <v>-3.578528827037785E-2</v>
      </c>
      <c r="O198" s="94">
        <f>IF(ISNUMBER(M198), $B199 * N198, "")</f>
        <v>-5367.7932405566771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-4.3466180300213604E-2</v>
      </c>
      <c r="F199" s="28">
        <f>SUM(F179:F198)</f>
        <v>-130398.54090064083</v>
      </c>
      <c r="G199" s="26" t="s">
        <v>261</v>
      </c>
      <c r="H199" s="27">
        <f>IF(COUNT(H179:H198), SUM(H179:H198) / COUNT(H179:H198), 0)</f>
        <v>-4.3466180300213604E-2</v>
      </c>
      <c r="I199" s="28">
        <f>SUM(I179:I198)</f>
        <v>-130398.54090064083</v>
      </c>
      <c r="J199" s="26" t="s">
        <v>261</v>
      </c>
      <c r="K199" s="27">
        <f>IF(COUNT(K179:K198), SUM(K179:K198) / COUNT(K179:K198), 0)</f>
        <v>-4.3466180300213604E-2</v>
      </c>
      <c r="L199" s="28">
        <f>SUM(L179:L198)</f>
        <v>-130398.54090064083</v>
      </c>
      <c r="M199" s="26" t="s">
        <v>261</v>
      </c>
      <c r="N199" s="27">
        <f>IF(COUNT(N179:N198), SUM(N179:N198) / COUNT(N179:N198), 0)</f>
        <v>-4.0434814342741834E-2</v>
      </c>
      <c r="O199" s="28">
        <f>SUM(O179:O198)</f>
        <v>-121304.44302822553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C7528-1370-469B-BAFF-BB50B9E56493}">
  <sheetPr codeName="Sheet19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44908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71,194 KRW (2.37%)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65,890 KRW (2.20%)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25,958 KRW (0.87%)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14,671 KRW (0.49%)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2022-12-13(화) 오전 00:00</v>
      </c>
      <c r="C15" s="202"/>
      <c r="D15" s="158" t="str">
        <f>TEXT($G$1, "[$-ko-KR]yyyy-mm-dd(ddd) ") &amp; "오후 14:00"</f>
        <v>2022-12-13(화) 오후 14:00</v>
      </c>
      <c r="E15" s="159"/>
      <c r="F15" s="160"/>
      <c r="G15" s="158" t="str">
        <f>TEXT($G$1, "[$-ko-KR]yyyy-mm-dd(ddd) ") &amp; "오후 19:00"</f>
        <v>2022-12-13(화) 오후 19:00</v>
      </c>
      <c r="H15" s="159"/>
      <c r="I15" s="160"/>
      <c r="J15" s="158" t="str">
        <f>TEXT($G$1, "[$-ko-KR]yyyy-mm-dd(ddd) ") &amp; "오후 21:00"</f>
        <v>2022-12-13(화) 오후 21:00</v>
      </c>
      <c r="K15" s="159"/>
      <c r="L15" s="160"/>
      <c r="M15" s="158" t="str">
        <f>TEXT($G$1+1, "[$-ko-KR]yyyy-mm-dd(ddd) ") &amp; "오전 00:00"</f>
        <v>2022-12-14(수)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2022-12-13(화) 오전 00:00</v>
      </c>
      <c r="C42" s="199"/>
      <c r="D42" s="158" t="str">
        <f>TEXT($G$1, "[$-ko-KR]yyyy-mm-dd(ddd) ") &amp; "오후 14:00"</f>
        <v>2022-12-13(화) 오후 14:00</v>
      </c>
      <c r="E42" s="159"/>
      <c r="F42" s="160"/>
      <c r="G42" s="158" t="str">
        <f>TEXT($G$1, "[$-ko-KR]yyyy-mm-dd(ddd) ") &amp; "오후 19:00"</f>
        <v>2022-12-13(화) 오후 19:00</v>
      </c>
      <c r="H42" s="159"/>
      <c r="I42" s="160"/>
      <c r="J42" s="158" t="str">
        <f>TEXT($G$1, "[$-ko-KR]yyyy-mm-dd(ddd) ") &amp; "오후 21:00"</f>
        <v>2022-12-13(화) 오후 21:00</v>
      </c>
      <c r="K42" s="159"/>
      <c r="L42" s="160"/>
      <c r="M42" s="158" t="str">
        <f>TEXT($G$1+1, "[$-ko-KR]yyyy-mm-dd(ddd) ") &amp; "오전 00:00"</f>
        <v>2022-12-14(수)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56</v>
      </c>
      <c r="B44" s="108">
        <v>45.2</v>
      </c>
      <c r="C44" s="69">
        <v>4.87238979E-2</v>
      </c>
      <c r="D44" s="13">
        <v>42.7</v>
      </c>
      <c r="E44" s="14">
        <f>IF(ISNUMBER(D44), (D44 - $B44) / $B44, "")</f>
        <v>-5.5309734513274332E-2</v>
      </c>
      <c r="F44" s="16">
        <f>IF(ISNUMBER(D44), $B64 * E44, "")</f>
        <v>-8296.4601769911496</v>
      </c>
      <c r="G44" s="29">
        <v>44.4</v>
      </c>
      <c r="H44" s="14">
        <f>IF(ISNUMBER(G44), (G44 - $B44) / $B44, "")</f>
        <v>-1.7699115044247881E-2</v>
      </c>
      <c r="I44" s="90">
        <f>IF(ISNUMBER(G44), $B64 * H44, "")</f>
        <v>-2654.867256637182</v>
      </c>
      <c r="J44" s="13">
        <v>44.4</v>
      </c>
      <c r="K44" s="14">
        <f>IF(ISNUMBER(J44), (J44 - $B44) / $B44, "")</f>
        <v>-1.7699115044247881E-2</v>
      </c>
      <c r="L44" s="16">
        <f>IF(ISNUMBER(J44), $B64 * K44, "")</f>
        <v>-2654.867256637182</v>
      </c>
      <c r="M44" s="29">
        <v>44.2</v>
      </c>
      <c r="N44" s="14">
        <f>IF(ISNUMBER(M44), (M44 - $B44) / $B44, "")</f>
        <v>-2.2123893805309734E-2</v>
      </c>
      <c r="O44" s="16">
        <f>IF(ISNUMBER(M44), $B64 * N44, "")</f>
        <v>-3318.5840707964603</v>
      </c>
      <c r="Q44" s="156"/>
      <c r="R44" s="156"/>
      <c r="S44" s="156"/>
    </row>
    <row r="45" spans="1:19" ht="17.25" customHeight="1" thickBot="1">
      <c r="A45" s="109" t="s">
        <v>326</v>
      </c>
      <c r="B45" s="110">
        <v>24.5</v>
      </c>
      <c r="C45" s="70">
        <v>1.2396694200000001E-2</v>
      </c>
      <c r="D45" s="15">
        <v>23.6</v>
      </c>
      <c r="E45" s="32">
        <f t="shared" ref="E45:E48" si="14">IF(ISNUMBER(D45), (D45 - $B45) / $B45, "")</f>
        <v>-3.6734693877550961E-2</v>
      </c>
      <c r="F45" s="18">
        <f>IF(ISNUMBER(D45), $B64 * E45, "")</f>
        <v>-5510.2040816326444</v>
      </c>
      <c r="G45" s="31">
        <v>24.4</v>
      </c>
      <c r="H45" s="32">
        <f t="shared" ref="H45:H48" si="15">IF(ISNUMBER(G45), (G45 - $B45) / $B45, "")</f>
        <v>-4.0816326530612821E-3</v>
      </c>
      <c r="I45" s="91">
        <f>IF(ISNUMBER(G45), $B64 * H45, "")</f>
        <v>-612.24489795919237</v>
      </c>
      <c r="J45" s="15">
        <v>24.4</v>
      </c>
      <c r="K45" s="32">
        <f t="shared" ref="K45:K48" si="16">IF(ISNUMBER(J45), (J45 - $B45) / $B45, "")</f>
        <v>-4.0816326530612821E-3</v>
      </c>
      <c r="L45" s="18">
        <f>IF(ISNUMBER(J45), $B64 * K45, "")</f>
        <v>-612.24489795919237</v>
      </c>
      <c r="M45" s="31">
        <v>24.2</v>
      </c>
      <c r="N45" s="32">
        <f t="shared" ref="N45:N48" si="17">IF(ISNUMBER(M45), (M45 - $B45) / $B45, "")</f>
        <v>-1.2244897959183702E-2</v>
      </c>
      <c r="O45" s="18">
        <f>IF(ISNUMBER(M45), $B64 * N45, "")</f>
        <v>-1836.7346938775554</v>
      </c>
      <c r="Q45" s="156"/>
      <c r="R45" s="156"/>
      <c r="S45" s="156"/>
    </row>
    <row r="46" spans="1:19" ht="17.25" customHeight="1" thickBot="1">
      <c r="A46" s="109" t="s">
        <v>206</v>
      </c>
      <c r="B46" s="110">
        <v>3.56</v>
      </c>
      <c r="C46" s="70">
        <v>8.4985835999999999E-3</v>
      </c>
      <c r="D46" s="15">
        <v>3.56</v>
      </c>
      <c r="E46" s="32">
        <f t="shared" si="14"/>
        <v>0</v>
      </c>
      <c r="F46" s="18">
        <f>IF(ISNUMBER(D46), $B64 * E46, "")</f>
        <v>0</v>
      </c>
      <c r="G46" s="31">
        <v>3.7</v>
      </c>
      <c r="H46" s="32">
        <f t="shared" si="15"/>
        <v>3.9325842696629247E-2</v>
      </c>
      <c r="I46" s="91">
        <f>IF(ISNUMBER(G46), $B64 * H46, "")</f>
        <v>5898.8764044943873</v>
      </c>
      <c r="J46" s="15">
        <v>3.7</v>
      </c>
      <c r="K46" s="32">
        <f t="shared" si="16"/>
        <v>3.9325842696629247E-2</v>
      </c>
      <c r="L46" s="18">
        <f>IF(ISNUMBER(J46), $B64 * K46, "")</f>
        <v>5898.8764044943873</v>
      </c>
      <c r="M46" s="31">
        <v>3.69</v>
      </c>
      <c r="N46" s="32">
        <f t="shared" si="17"/>
        <v>3.6516853932584241E-2</v>
      </c>
      <c r="O46" s="18">
        <f>IF(ISNUMBER(M46), $B64 * N46, "")</f>
        <v>5477.5280898876363</v>
      </c>
      <c r="Q46" s="161"/>
      <c r="R46" s="161"/>
      <c r="S46" s="161"/>
    </row>
    <row r="47" spans="1:19" ht="17.25" customHeight="1" thickBot="1">
      <c r="A47" s="109" t="s">
        <v>141</v>
      </c>
      <c r="B47" s="110">
        <v>3.39</v>
      </c>
      <c r="C47" s="70">
        <v>-1.4534883700000001E-2</v>
      </c>
      <c r="D47" s="15">
        <v>3.35</v>
      </c>
      <c r="E47" s="32">
        <f t="shared" si="14"/>
        <v>-1.1799410029498535E-2</v>
      </c>
      <c r="F47" s="18">
        <f>IF(ISNUMBER(D47), $B64 * E47, "")</f>
        <v>-1769.9115044247803</v>
      </c>
      <c r="G47" s="31">
        <v>4.0599999999999996</v>
      </c>
      <c r="H47" s="32">
        <f t="shared" si="15"/>
        <v>0.19764011799410014</v>
      </c>
      <c r="I47" s="91">
        <f>IF(ISNUMBER(G47), $B64 * H47, "")</f>
        <v>29646.017699115022</v>
      </c>
      <c r="J47" s="15">
        <v>4.0599999999999996</v>
      </c>
      <c r="K47" s="32">
        <f t="shared" si="16"/>
        <v>0.19764011799410014</v>
      </c>
      <c r="L47" s="18">
        <f>IF(ISNUMBER(J47), $B64 * K47, "")</f>
        <v>29646.017699115022</v>
      </c>
      <c r="M47" s="31">
        <v>4.07</v>
      </c>
      <c r="N47" s="32">
        <f t="shared" si="17"/>
        <v>0.20058997050147498</v>
      </c>
      <c r="O47" s="18">
        <f>IF(ISNUMBER(M47), $B64 * N47, "")</f>
        <v>30088.495575221248</v>
      </c>
      <c r="Q47" s="161"/>
      <c r="R47" s="161"/>
      <c r="S47" s="161"/>
    </row>
    <row r="48" spans="1:19" ht="17.25" customHeight="1" thickBot="1">
      <c r="A48" s="111" t="s">
        <v>336</v>
      </c>
      <c r="B48" s="112">
        <v>82.3</v>
      </c>
      <c r="C48" s="71">
        <v>-2.2565320699999999E-2</v>
      </c>
      <c r="D48" s="20">
        <v>79.8</v>
      </c>
      <c r="E48" s="21">
        <f t="shared" si="14"/>
        <v>-3.0376670716889431E-2</v>
      </c>
      <c r="F48" s="22">
        <f>IF(ISNUMBER(D48), $B64 * E48, "")</f>
        <v>-4556.500607533415</v>
      </c>
      <c r="G48" s="30">
        <v>82.7</v>
      </c>
      <c r="H48" s="21">
        <f t="shared" si="15"/>
        <v>4.8602673147023776E-3</v>
      </c>
      <c r="I48" s="95">
        <f>IF(ISNUMBER(G48), $B64 * H48, "")</f>
        <v>729.04009720535669</v>
      </c>
      <c r="J48" s="20">
        <v>82.7</v>
      </c>
      <c r="K48" s="21">
        <f t="shared" si="16"/>
        <v>4.8602673147023776E-3</v>
      </c>
      <c r="L48" s="22">
        <f>IF(ISNUMBER(J48), $B64 * K48, "")</f>
        <v>729.04009720535669</v>
      </c>
      <c r="M48" s="30">
        <v>81.900000000000006</v>
      </c>
      <c r="N48" s="21">
        <f t="shared" si="17"/>
        <v>-4.860267314702205E-3</v>
      </c>
      <c r="O48" s="22">
        <f>IF(ISNUMBER(M48), $B64 * N48, "")</f>
        <v>-729.04009720533077</v>
      </c>
      <c r="Q48" s="161"/>
      <c r="R48" s="161"/>
      <c r="S48" s="161"/>
    </row>
    <row r="49" spans="1:19" ht="17.25" customHeight="1" thickBot="1">
      <c r="A49" s="109" t="s">
        <v>333</v>
      </c>
      <c r="B49" s="113">
        <v>62.2</v>
      </c>
      <c r="C49" s="73">
        <v>-2.3547880699999999E-2</v>
      </c>
      <c r="D49" s="96">
        <v>61.1</v>
      </c>
      <c r="E49" s="97">
        <f>IF(ISNUMBER(D49), (D49 - $B49) / $B49, "")</f>
        <v>-1.7684887459807095E-2</v>
      </c>
      <c r="F49" s="98">
        <f>IF(ISNUMBER(D49), $B64 * E49, "")</f>
        <v>-2652.7331189710644</v>
      </c>
      <c r="G49" s="99">
        <v>63.2</v>
      </c>
      <c r="H49" s="97">
        <f>IF(ISNUMBER(G49), (G49 - $B49) / $B49, "")</f>
        <v>1.607717041800643E-2</v>
      </c>
      <c r="I49" s="100">
        <f>IF(ISNUMBER(G49), $B64 * H49, "")</f>
        <v>2411.5755627009644</v>
      </c>
      <c r="J49" s="96">
        <v>63.2</v>
      </c>
      <c r="K49" s="97">
        <f>IF(ISNUMBER(J49), (J49 - $B49) / $B49, "")</f>
        <v>1.607717041800643E-2</v>
      </c>
      <c r="L49" s="98">
        <f>IF(ISNUMBER(J49), $B64 * K49, "")</f>
        <v>2411.5755627009644</v>
      </c>
      <c r="M49" s="99">
        <v>62.7</v>
      </c>
      <c r="N49" s="97">
        <f>IF(ISNUMBER(M49), (M49 - $B49) / $B49, "")</f>
        <v>8.0385852090032149E-3</v>
      </c>
      <c r="O49" s="98">
        <f>IF(ISNUMBER(M49), $B64 * N49, "")</f>
        <v>1205.7877813504822</v>
      </c>
      <c r="Q49" s="161"/>
      <c r="R49" s="161"/>
      <c r="S49" s="161"/>
    </row>
    <row r="50" spans="1:19" ht="17.25" customHeight="1" thickBot="1">
      <c r="A50" s="109" t="s">
        <v>122</v>
      </c>
      <c r="B50" s="110">
        <v>24.8</v>
      </c>
      <c r="C50" s="70">
        <v>-2.3622047199999999E-2</v>
      </c>
      <c r="D50" s="15">
        <v>24.3</v>
      </c>
      <c r="E50" s="32">
        <f t="shared" ref="E50:E53" si="18">IF(ISNUMBER(D50), (D50 - $B50) / $B50, "")</f>
        <v>-2.0161290322580645E-2</v>
      </c>
      <c r="F50" s="18">
        <f>IF(ISNUMBER(D50), $B64 * E50, "")</f>
        <v>-3024.1935483870966</v>
      </c>
      <c r="G50" s="31">
        <v>25.3</v>
      </c>
      <c r="H50" s="32">
        <f t="shared" ref="H50:H53" si="19">IF(ISNUMBER(G50), (G50 - $B50) / $B50, "")</f>
        <v>2.0161290322580645E-2</v>
      </c>
      <c r="I50" s="91">
        <f>IF(ISNUMBER(G50), $B64 * H50, "")</f>
        <v>3024.1935483870966</v>
      </c>
      <c r="J50" s="15">
        <v>25.3</v>
      </c>
      <c r="K50" s="32">
        <f t="shared" ref="K50:K53" si="20">IF(ISNUMBER(J50), (J50 - $B50) / $B50, "")</f>
        <v>2.0161290322580645E-2</v>
      </c>
      <c r="L50" s="18">
        <f>IF(ISNUMBER(J50), $B64 * K50, "")</f>
        <v>3024.1935483870966</v>
      </c>
      <c r="M50" s="31">
        <v>25</v>
      </c>
      <c r="N50" s="32">
        <f t="shared" ref="N50:N53" si="21">IF(ISNUMBER(M50), (M50 - $B50) / $B50, "")</f>
        <v>8.0645161290322284E-3</v>
      </c>
      <c r="O50" s="18">
        <f>IF(ISNUMBER(M50), $B64 * N50, "")</f>
        <v>1209.6774193548342</v>
      </c>
      <c r="Q50" s="161"/>
      <c r="R50" s="161"/>
      <c r="S50" s="161"/>
    </row>
    <row r="51" spans="1:19" ht="17.25" customHeight="1" thickBot="1">
      <c r="A51" s="109" t="s">
        <v>126</v>
      </c>
      <c r="B51" s="110">
        <v>28.6</v>
      </c>
      <c r="C51" s="70">
        <v>-2.3890785000000001E-2</v>
      </c>
      <c r="D51" s="15">
        <v>27.9</v>
      </c>
      <c r="E51" s="32">
        <f t="shared" si="18"/>
        <v>-2.4475524475524573E-2</v>
      </c>
      <c r="F51" s="18">
        <f>IF(ISNUMBER(D51), $B64 * E51, "")</f>
        <v>-3671.3286713286861</v>
      </c>
      <c r="G51" s="31">
        <v>29.3</v>
      </c>
      <c r="H51" s="32">
        <f t="shared" si="19"/>
        <v>2.4475524475524448E-2</v>
      </c>
      <c r="I51" s="91">
        <f>IF(ISNUMBER(G51), $B64 * H51, "")</f>
        <v>3671.328671328667</v>
      </c>
      <c r="J51" s="15">
        <v>29.3</v>
      </c>
      <c r="K51" s="32">
        <f t="shared" si="20"/>
        <v>2.4475524475524448E-2</v>
      </c>
      <c r="L51" s="18">
        <f>IF(ISNUMBER(J51), $B64 * K51, "")</f>
        <v>3671.328671328667</v>
      </c>
      <c r="M51" s="31">
        <v>29.1</v>
      </c>
      <c r="N51" s="32">
        <f t="shared" si="21"/>
        <v>1.748251748251748E-2</v>
      </c>
      <c r="O51" s="18">
        <f>IF(ISNUMBER(M51), $B64 * N51, "")</f>
        <v>2622.3776223776222</v>
      </c>
      <c r="Q51" s="161"/>
      <c r="R51" s="161"/>
      <c r="S51" s="161"/>
    </row>
    <row r="52" spans="1:19" ht="17.25" customHeight="1" thickBot="1">
      <c r="A52" s="109" t="s">
        <v>200</v>
      </c>
      <c r="B52" s="110">
        <v>6.74</v>
      </c>
      <c r="C52" s="70">
        <v>-2.4602025999999999E-2</v>
      </c>
      <c r="D52" s="15">
        <v>6.64</v>
      </c>
      <c r="E52" s="32">
        <f t="shared" si="18"/>
        <v>-1.4836795252225598E-2</v>
      </c>
      <c r="F52" s="18">
        <f>IF(ISNUMBER(D52), $B64 * E52, "")</f>
        <v>-2225.5192878338398</v>
      </c>
      <c r="G52" s="31">
        <v>6.92</v>
      </c>
      <c r="H52" s="32">
        <f t="shared" si="19"/>
        <v>2.6706231454005892E-2</v>
      </c>
      <c r="I52" s="91">
        <f>IF(ISNUMBER(G52), $B64 * H52, "")</f>
        <v>4005.9347181008839</v>
      </c>
      <c r="J52" s="15">
        <v>6.92</v>
      </c>
      <c r="K52" s="32">
        <f t="shared" si="20"/>
        <v>2.6706231454005892E-2</v>
      </c>
      <c r="L52" s="18">
        <f>IF(ISNUMBER(J52), $B64 * K52, "")</f>
        <v>4005.9347181008839</v>
      </c>
      <c r="M52" s="31">
        <v>6.89</v>
      </c>
      <c r="N52" s="32">
        <f t="shared" si="21"/>
        <v>2.2255192878338201E-2</v>
      </c>
      <c r="O52" s="18">
        <f>IF(ISNUMBER(M52), $B64 * N52, "")</f>
        <v>3338.27893175073</v>
      </c>
      <c r="Q52" s="33"/>
      <c r="R52" s="33"/>
    </row>
    <row r="53" spans="1:19" ht="17.25" customHeight="1" thickBot="1">
      <c r="A53" s="114" t="s">
        <v>145</v>
      </c>
      <c r="B53" s="115">
        <v>70</v>
      </c>
      <c r="C53" s="72">
        <v>-2.50696379E-2</v>
      </c>
      <c r="D53" s="24">
        <v>69.8</v>
      </c>
      <c r="E53" s="25">
        <f t="shared" si="18"/>
        <v>-2.8571428571428979E-3</v>
      </c>
      <c r="F53" s="94">
        <f>IF(ISNUMBER(D53), $B64 * E53, "")</f>
        <v>-428.57142857143469</v>
      </c>
      <c r="G53" s="92">
        <v>71.2</v>
      </c>
      <c r="H53" s="25">
        <f t="shared" si="19"/>
        <v>1.7142857142857182E-2</v>
      </c>
      <c r="I53" s="93">
        <f>IF(ISNUMBER(G53), $B64 * H53, "")</f>
        <v>2571.4285714285775</v>
      </c>
      <c r="J53" s="24">
        <v>71.2</v>
      </c>
      <c r="K53" s="25">
        <f t="shared" si="20"/>
        <v>1.7142857142857182E-2</v>
      </c>
      <c r="L53" s="94">
        <f>IF(ISNUMBER(J53), $B64 * K53, "")</f>
        <v>2571.4285714285775</v>
      </c>
      <c r="M53" s="92">
        <v>70.900000000000006</v>
      </c>
      <c r="N53" s="25">
        <f t="shared" si="21"/>
        <v>1.2857142857142938E-2</v>
      </c>
      <c r="O53" s="94">
        <f>IF(ISNUMBER(M53), $B64 * N53, "")</f>
        <v>1928.5714285714407</v>
      </c>
      <c r="Q53" s="170"/>
      <c r="R53" s="171"/>
      <c r="S53" s="172"/>
    </row>
    <row r="54" spans="1:19" ht="17.25" customHeight="1">
      <c r="A54" s="107" t="s">
        <v>335</v>
      </c>
      <c r="B54" s="108">
        <v>3.7699999999999997E-2</v>
      </c>
      <c r="C54" s="69">
        <v>-2.58397933E-2</v>
      </c>
      <c r="D54" s="13">
        <v>3.73E-2</v>
      </c>
      <c r="E54" s="14">
        <f>IF(ISNUMBER(D54), (D54 - $B54) / $B54, "")</f>
        <v>-1.0610079575596754E-2</v>
      </c>
      <c r="F54" s="16">
        <f>IF(ISNUMBER(D54), $B64 * E54, "")</f>
        <v>-1591.5119363395131</v>
      </c>
      <c r="G54" s="29">
        <v>3.85E-2</v>
      </c>
      <c r="H54" s="14">
        <f>IF(ISNUMBER(G54), (G54 - $B54) / $B54, "")</f>
        <v>2.1220159151193692E-2</v>
      </c>
      <c r="I54" s="90">
        <f>IF(ISNUMBER(G54), $B64 * H54, "")</f>
        <v>3183.023872679054</v>
      </c>
      <c r="J54" s="13">
        <v>3.85E-2</v>
      </c>
      <c r="K54" s="14">
        <f>IF(ISNUMBER(J54), (J54 - $B54) / $B54, "")</f>
        <v>2.1220159151193692E-2</v>
      </c>
      <c r="L54" s="16">
        <f>IF(ISNUMBER(J54), $B64 * K54, "")</f>
        <v>3183.023872679054</v>
      </c>
      <c r="M54" s="29">
        <v>3.8300000000000001E-2</v>
      </c>
      <c r="N54" s="14">
        <f>IF(ISNUMBER(M54), (M54 - $B54) / $B54, "")</f>
        <v>1.5915119363395316E-2</v>
      </c>
      <c r="O54" s="16">
        <f>IF(ISNUMBER(M54), $B64 * N54, "")</f>
        <v>2387.2679045092973</v>
      </c>
      <c r="Q54" s="173"/>
      <c r="R54" s="174"/>
      <c r="S54" s="175"/>
    </row>
    <row r="55" spans="1:19" ht="17.25" customHeight="1" thickBot="1">
      <c r="A55" s="109" t="s">
        <v>143</v>
      </c>
      <c r="B55" s="110">
        <v>4.1399999999999997</v>
      </c>
      <c r="C55" s="70">
        <v>-2.5882352899999999E-2</v>
      </c>
      <c r="D55" s="15">
        <v>4.38</v>
      </c>
      <c r="E55" s="32">
        <f t="shared" ref="E55:E58" si="22">IF(ISNUMBER(D55), (D55 - $B55) / $B55, "")</f>
        <v>5.7971014492753679E-2</v>
      </c>
      <c r="F55" s="18">
        <f>IF(ISNUMBER(D55), $B64 * E55, "")</f>
        <v>8695.6521739130512</v>
      </c>
      <c r="G55" s="31">
        <v>4.28</v>
      </c>
      <c r="H55" s="32">
        <f t="shared" ref="H55:H58" si="23">IF(ISNUMBER(G55), (G55 - $B55) / $B55, "")</f>
        <v>3.381642512077309E-2</v>
      </c>
      <c r="I55" s="91">
        <f>IF(ISNUMBER(G55), $B64 * H55, "")</f>
        <v>5072.4637681159638</v>
      </c>
      <c r="J55" s="15">
        <v>4.28</v>
      </c>
      <c r="K55" s="32">
        <f t="shared" ref="K55:K58" si="24">IF(ISNUMBER(J55), (J55 - $B55) / $B55, "")</f>
        <v>3.381642512077309E-2</v>
      </c>
      <c r="L55" s="18">
        <f>IF(ISNUMBER(J55), $B64 * K55, "")</f>
        <v>5072.4637681159638</v>
      </c>
      <c r="M55" s="31">
        <v>4.28</v>
      </c>
      <c r="N55" s="32">
        <f t="shared" ref="N55:N58" si="25">IF(ISNUMBER(M55), (M55 - $B55) / $B55, "")</f>
        <v>3.381642512077309E-2</v>
      </c>
      <c r="O55" s="18">
        <f>IF(ISNUMBER(M55), $B64 * N55, "")</f>
        <v>5072.4637681159638</v>
      </c>
      <c r="Q55" s="176"/>
      <c r="R55" s="177"/>
      <c r="S55" s="178"/>
    </row>
    <row r="56" spans="1:19" ht="17.25" customHeight="1" thickBot="1">
      <c r="A56" s="109" t="s">
        <v>240</v>
      </c>
      <c r="B56" s="110">
        <v>28.8</v>
      </c>
      <c r="C56" s="70">
        <v>-2.7027026999999999E-2</v>
      </c>
      <c r="D56" s="15">
        <v>28.7</v>
      </c>
      <c r="E56" s="32">
        <f t="shared" si="22"/>
        <v>-3.4722222222222715E-3</v>
      </c>
      <c r="F56" s="18">
        <f>IF(ISNUMBER(D56), $B64 * E56, "")</f>
        <v>-520.83333333334076</v>
      </c>
      <c r="G56" s="31">
        <v>29.3</v>
      </c>
      <c r="H56" s="32">
        <f t="shared" si="23"/>
        <v>1.7361111111111112E-2</v>
      </c>
      <c r="I56" s="91">
        <f>IF(ISNUMBER(G56), $B64 * H56, "")</f>
        <v>2604.166666666667</v>
      </c>
      <c r="J56" s="15">
        <v>29.3</v>
      </c>
      <c r="K56" s="32">
        <f t="shared" si="24"/>
        <v>1.7361111111111112E-2</v>
      </c>
      <c r="L56" s="18">
        <f>IF(ISNUMBER(J56), $B64 * K56, "")</f>
        <v>2604.166666666667</v>
      </c>
      <c r="M56" s="31">
        <v>29.1</v>
      </c>
      <c r="N56" s="32">
        <f t="shared" si="25"/>
        <v>1.041666666666669E-2</v>
      </c>
      <c r="O56" s="18">
        <f>IF(ISNUMBER(M56), $B64 * N56, "")</f>
        <v>1562.5000000000036</v>
      </c>
      <c r="Q56" s="161"/>
      <c r="R56" s="161"/>
      <c r="S56" s="161"/>
    </row>
    <row r="57" spans="1:19" ht="17.25" customHeight="1" thickBot="1">
      <c r="A57" s="109" t="s">
        <v>338</v>
      </c>
      <c r="B57" s="110">
        <v>4.92</v>
      </c>
      <c r="C57" s="70">
        <v>-2.7667984199999999E-2</v>
      </c>
      <c r="D57" s="15">
        <v>4.84</v>
      </c>
      <c r="E57" s="32">
        <f t="shared" si="22"/>
        <v>-1.6260162601626032E-2</v>
      </c>
      <c r="F57" s="18">
        <f>IF(ISNUMBER(D57), $B64 * E57, "")</f>
        <v>-2439.0243902439047</v>
      </c>
      <c r="G57" s="31">
        <v>5.04</v>
      </c>
      <c r="H57" s="32">
        <f t="shared" si="23"/>
        <v>2.4390243902439046E-2</v>
      </c>
      <c r="I57" s="91">
        <f>IF(ISNUMBER(G57), $B64 * H57, "")</f>
        <v>3658.5365853658568</v>
      </c>
      <c r="J57" s="15">
        <v>5.04</v>
      </c>
      <c r="K57" s="32">
        <f t="shared" si="24"/>
        <v>2.4390243902439046E-2</v>
      </c>
      <c r="L57" s="18">
        <f>IF(ISNUMBER(J57), $B64 * K57, "")</f>
        <v>3658.5365853658568</v>
      </c>
      <c r="M57" s="31">
        <v>5.01</v>
      </c>
      <c r="N57" s="32">
        <f t="shared" si="25"/>
        <v>1.8292682926829239E-2</v>
      </c>
      <c r="O57" s="18">
        <f>IF(ISNUMBER(M57), $B64 * N57, "")</f>
        <v>2743.9024390243858</v>
      </c>
      <c r="Q57" s="156"/>
      <c r="R57" s="156"/>
      <c r="S57" s="156"/>
    </row>
    <row r="58" spans="1:19" ht="17.25" customHeight="1" thickBot="1">
      <c r="A58" s="111" t="s">
        <v>191</v>
      </c>
      <c r="B58" s="112">
        <v>51.5</v>
      </c>
      <c r="C58" s="71">
        <v>-2.8301886799999999E-2</v>
      </c>
      <c r="D58" s="20">
        <v>51.1</v>
      </c>
      <c r="E58" s="21">
        <f t="shared" si="22"/>
        <v>-7.7669902912621087E-3</v>
      </c>
      <c r="F58" s="22">
        <f>IF(ISNUMBER(D58), $B64 * E58, "")</f>
        <v>-1165.0485436893164</v>
      </c>
      <c r="G58" s="30">
        <v>53.1</v>
      </c>
      <c r="H58" s="21">
        <f t="shared" si="23"/>
        <v>3.106796116504857E-2</v>
      </c>
      <c r="I58" s="95">
        <f>IF(ISNUMBER(G58), $B64 * H58, "")</f>
        <v>4660.1941747572855</v>
      </c>
      <c r="J58" s="20">
        <v>53.1</v>
      </c>
      <c r="K58" s="21">
        <f t="shared" si="24"/>
        <v>3.106796116504857E-2</v>
      </c>
      <c r="L58" s="22">
        <f>IF(ISNUMBER(J58), $B64 * K58, "")</f>
        <v>4660.1941747572855</v>
      </c>
      <c r="M58" s="30">
        <v>53.2</v>
      </c>
      <c r="N58" s="21">
        <f t="shared" si="25"/>
        <v>3.300970873786413E-2</v>
      </c>
      <c r="O58" s="22">
        <f>IF(ISNUMBER(M58), $B64 * N58, "")</f>
        <v>4951.4563106796195</v>
      </c>
      <c r="Q58" s="156"/>
      <c r="R58" s="156"/>
      <c r="S58" s="156"/>
    </row>
    <row r="59" spans="1:19" ht="17.25" customHeight="1" thickBot="1">
      <c r="A59" s="109" t="s">
        <v>155</v>
      </c>
      <c r="B59" s="113">
        <v>30</v>
      </c>
      <c r="C59" s="73">
        <v>-2.9126213599999999E-2</v>
      </c>
      <c r="D59" s="96">
        <v>29.7</v>
      </c>
      <c r="E59" s="97">
        <f>IF(ISNUMBER(D59), (D59 - $B59) / $B59, "")</f>
        <v>-1.0000000000000024E-2</v>
      </c>
      <c r="F59" s="98">
        <f>IF(ISNUMBER(D59), $B64 * E59, "")</f>
        <v>-1500.0000000000036</v>
      </c>
      <c r="G59" s="99">
        <v>30.9</v>
      </c>
      <c r="H59" s="97">
        <f>IF(ISNUMBER(G59), (G59 - $B59) / $B59, "")</f>
        <v>2.9999999999999954E-2</v>
      </c>
      <c r="I59" s="100">
        <f>IF(ISNUMBER(G59), $B64 * H59, "")</f>
        <v>4499.9999999999927</v>
      </c>
      <c r="J59" s="96">
        <v>30.9</v>
      </c>
      <c r="K59" s="97">
        <f>IF(ISNUMBER(J59), (J59 - $B59) / $B59, "")</f>
        <v>2.9999999999999954E-2</v>
      </c>
      <c r="L59" s="98">
        <f>IF(ISNUMBER(J59), $B64 * K59, "")</f>
        <v>4499.9999999999927</v>
      </c>
      <c r="M59" s="99">
        <v>30.6</v>
      </c>
      <c r="N59" s="97">
        <f>IF(ISNUMBER(M59), (M59 - $B59) / $B59, "")</f>
        <v>2.0000000000000049E-2</v>
      </c>
      <c r="O59" s="98">
        <f>IF(ISNUMBER(M59), $B64 * N59, "")</f>
        <v>3000.0000000000073</v>
      </c>
      <c r="Q59" s="161"/>
      <c r="R59" s="161"/>
      <c r="S59" s="161"/>
    </row>
    <row r="60" spans="1:19" ht="17.25" customHeight="1" thickBot="1">
      <c r="A60" s="109" t="s">
        <v>193</v>
      </c>
      <c r="B60" s="110">
        <v>19.100000000000001</v>
      </c>
      <c r="C60" s="70">
        <v>-3.04568528E-2</v>
      </c>
      <c r="D60" s="15">
        <v>18.8</v>
      </c>
      <c r="E60" s="32">
        <f t="shared" ref="E60:E63" si="26">IF(ISNUMBER(D60), (D60 - $B60) / $B60, "")</f>
        <v>-1.570680628272255E-2</v>
      </c>
      <c r="F60" s="18">
        <f>IF(ISNUMBER(D60), $B64 * E60, "")</f>
        <v>-2356.0209424083828</v>
      </c>
      <c r="G60" s="31">
        <v>19.5</v>
      </c>
      <c r="H60" s="32">
        <f t="shared" ref="H60:H63" si="27">IF(ISNUMBER(G60), (G60 - $B60) / $B60, "")</f>
        <v>2.0942408376963276E-2</v>
      </c>
      <c r="I60" s="91">
        <f>IF(ISNUMBER(G60), $B64 * H60, "")</f>
        <v>3141.3612565444914</v>
      </c>
      <c r="J60" s="15">
        <v>19.5</v>
      </c>
      <c r="K60" s="32">
        <f t="shared" ref="K60:K63" si="28">IF(ISNUMBER(J60), (J60 - $B60) / $B60, "")</f>
        <v>2.0942408376963276E-2</v>
      </c>
      <c r="L60" s="18">
        <f>IF(ISNUMBER(J60), $B64 * K60, "")</f>
        <v>3141.3612565444914</v>
      </c>
      <c r="M60" s="31">
        <v>19.5</v>
      </c>
      <c r="N60" s="32">
        <f t="shared" ref="N60:N63" si="29">IF(ISNUMBER(M60), (M60 - $B60) / $B60, "")</f>
        <v>2.0942408376963276E-2</v>
      </c>
      <c r="O60" s="18">
        <f>IF(ISNUMBER(M60), $B64 * N60, "")</f>
        <v>3141.3612565444914</v>
      </c>
      <c r="Q60" s="161"/>
      <c r="R60" s="161"/>
      <c r="S60" s="161"/>
    </row>
    <row r="61" spans="1:19" ht="17.25" customHeight="1" thickBot="1">
      <c r="A61" s="109" t="s">
        <v>195</v>
      </c>
      <c r="B61" s="110">
        <v>6.52</v>
      </c>
      <c r="C61" s="70">
        <v>-3.12035661E-2</v>
      </c>
      <c r="D61" s="15">
        <v>6.43</v>
      </c>
      <c r="E61" s="32">
        <f t="shared" si="26"/>
        <v>-1.3803680981595071E-2</v>
      </c>
      <c r="F61" s="18">
        <f>IF(ISNUMBER(D61), $B64 * E61, "")</f>
        <v>-2070.5521472392606</v>
      </c>
      <c r="G61" s="31">
        <v>6.66</v>
      </c>
      <c r="H61" s="32">
        <f t="shared" si="27"/>
        <v>2.1472392638036897E-2</v>
      </c>
      <c r="I61" s="91">
        <f>IF(ISNUMBER(G61), $B64 * H61, "")</f>
        <v>3220.8588957055345</v>
      </c>
      <c r="J61" s="15">
        <v>6.66</v>
      </c>
      <c r="K61" s="32">
        <f t="shared" si="28"/>
        <v>2.1472392638036897E-2</v>
      </c>
      <c r="L61" s="18">
        <f>IF(ISNUMBER(J61), $B64 * K61, "")</f>
        <v>3220.8588957055345</v>
      </c>
      <c r="M61" s="31">
        <v>6.64</v>
      </c>
      <c r="N61" s="32">
        <f t="shared" si="29"/>
        <v>1.8404907975460141E-2</v>
      </c>
      <c r="O61" s="18">
        <f>IF(ISNUMBER(M61), $B64 * N61, "")</f>
        <v>2760.736196319021</v>
      </c>
      <c r="Q61" s="161"/>
      <c r="R61" s="161"/>
      <c r="S61" s="161"/>
    </row>
    <row r="62" spans="1:19" ht="17.25" customHeight="1">
      <c r="A62" s="109" t="s">
        <v>64</v>
      </c>
      <c r="B62" s="110">
        <v>10.9</v>
      </c>
      <c r="C62" s="70">
        <v>-3.5398230099999997E-2</v>
      </c>
      <c r="D62" s="15">
        <v>10.5</v>
      </c>
      <c r="E62" s="32">
        <f t="shared" si="26"/>
        <v>-3.6697247706422048E-2</v>
      </c>
      <c r="F62" s="18">
        <f>IF(ISNUMBER(D62), $B64 * E62, "")</f>
        <v>-5504.5871559633069</v>
      </c>
      <c r="G62" s="31">
        <v>11</v>
      </c>
      <c r="H62" s="32">
        <f t="shared" si="27"/>
        <v>9.1743119266054721E-3</v>
      </c>
      <c r="I62" s="91">
        <f>IF(ISNUMBER(G62), $B64 * H62, "")</f>
        <v>1376.1467889908208</v>
      </c>
      <c r="J62" s="15">
        <v>11</v>
      </c>
      <c r="K62" s="32">
        <f t="shared" si="28"/>
        <v>9.1743119266054721E-3</v>
      </c>
      <c r="L62" s="18">
        <f>IF(ISNUMBER(J62), $B64 * K62, "")</f>
        <v>1376.1467889908208</v>
      </c>
      <c r="M62" s="31">
        <v>10.8</v>
      </c>
      <c r="N62" s="32">
        <f t="shared" si="29"/>
        <v>-9.1743119266054721E-3</v>
      </c>
      <c r="O62" s="18">
        <f>IF(ISNUMBER(M62), $B64 * N62, "")</f>
        <v>-1376.1467889908208</v>
      </c>
      <c r="Q62" s="183"/>
      <c r="R62" s="184"/>
      <c r="S62" s="185"/>
    </row>
    <row r="63" spans="1:19" ht="17.25" customHeight="1" thickBot="1">
      <c r="A63" s="114" t="s">
        <v>138</v>
      </c>
      <c r="B63" s="115">
        <v>27.1</v>
      </c>
      <c r="C63" s="72">
        <v>-3.55871886E-2</v>
      </c>
      <c r="D63" s="24">
        <v>26.4</v>
      </c>
      <c r="E63" s="25">
        <f t="shared" si="26"/>
        <v>-2.583025830258313E-2</v>
      </c>
      <c r="F63" s="94">
        <f>IF(ISNUMBER(D63), $B64 * E63, "")</f>
        <v>-3874.5387453874696</v>
      </c>
      <c r="G63" s="92">
        <v>27.7</v>
      </c>
      <c r="H63" s="25">
        <f t="shared" si="27"/>
        <v>2.2140221402213941E-2</v>
      </c>
      <c r="I63" s="93">
        <f>IF(ISNUMBER(G63), $B64 * H63, "")</f>
        <v>3321.0332103320911</v>
      </c>
      <c r="J63" s="24">
        <v>27.7</v>
      </c>
      <c r="K63" s="25">
        <f t="shared" si="28"/>
        <v>2.2140221402213941E-2</v>
      </c>
      <c r="L63" s="94">
        <f>IF(ISNUMBER(J63), $B64 * K63, "")</f>
        <v>3321.0332103320911</v>
      </c>
      <c r="M63" s="92">
        <v>27.4</v>
      </c>
      <c r="N63" s="25">
        <f t="shared" si="29"/>
        <v>1.1070110701106906E-2</v>
      </c>
      <c r="O63" s="94">
        <f>IF(ISNUMBER(M63), $B64 * N63, "")</f>
        <v>1660.516605166036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-1.4820629148788516E-2</v>
      </c>
      <c r="F64" s="28">
        <f>SUM(F44:F63)</f>
        <v>-44461.887446365552</v>
      </c>
      <c r="G64" s="26" t="s">
        <v>261</v>
      </c>
      <c r="H64" s="27">
        <f>IF(COUNT(H44:H63), SUM(H44:H63) / COUNT(H44:H63), 0)</f>
        <v>2.7809689445774111E-2</v>
      </c>
      <c r="I64" s="28">
        <f>SUM(I44:I63)</f>
        <v>83429.068337322358</v>
      </c>
      <c r="J64" s="26" t="s">
        <v>261</v>
      </c>
      <c r="K64" s="27">
        <f>IF(COUNT(K44:K63), SUM(K44:K63) / COUNT(K44:K63), 0)</f>
        <v>2.7809689445774111E-2</v>
      </c>
      <c r="L64" s="28">
        <f>SUM(L44:L63)</f>
        <v>83429.068337322358</v>
      </c>
      <c r="M64" s="26" t="s">
        <v>261</v>
      </c>
      <c r="N64" s="27">
        <f>IF(COUNT(N44:N63), SUM(N44:N63) / COUNT(N44:N63), 0)</f>
        <v>2.1963471892667549E-2</v>
      </c>
      <c r="O64" s="28">
        <f>SUM(O44:O63)</f>
        <v>65890.415678002653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2022-12-13(화) 오전 00:00</v>
      </c>
      <c r="C69" s="199"/>
      <c r="D69" s="158" t="str">
        <f>TEXT($G$1, "[$-ko-KR]yyyy-mm-dd(ddd) ") &amp; "오후 14:00"</f>
        <v>2022-12-13(화) 오후 14:00</v>
      </c>
      <c r="E69" s="159"/>
      <c r="F69" s="160"/>
      <c r="G69" s="158" t="str">
        <f>TEXT($G$1, "[$-ko-KR]yyyy-mm-dd(ddd) ") &amp; "오후 19:00"</f>
        <v>2022-12-13(화) 오후 19:00</v>
      </c>
      <c r="H69" s="159"/>
      <c r="I69" s="160"/>
      <c r="J69" s="158" t="str">
        <f>TEXT($G$1, "[$-ko-KR]yyyy-mm-dd(ddd) ") &amp; "오후 21:00"</f>
        <v>2022-12-13(화) 오후 21:00</v>
      </c>
      <c r="K69" s="159"/>
      <c r="L69" s="160"/>
      <c r="M69" s="158" t="str">
        <f>TEXT($G$1+1, "[$-ko-KR]yyyy-mm-dd(ddd) ") &amp; "오전 00:00"</f>
        <v>2022-12-14(수)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161</v>
      </c>
      <c r="B71" s="108">
        <v>390</v>
      </c>
      <c r="C71" s="69">
        <v>3.4482758600000003E-2</v>
      </c>
      <c r="D71" s="13">
        <v>408</v>
      </c>
      <c r="E71" s="14">
        <f>IF(ISNUMBER(D71), (D71 - $B71) / $B71, "")</f>
        <v>4.6153846153846156E-2</v>
      </c>
      <c r="F71" s="16">
        <f>IF(ISNUMBER(D71), $B91 * E71, "")</f>
        <v>6923.0769230769238</v>
      </c>
      <c r="G71" s="29">
        <v>394</v>
      </c>
      <c r="H71" s="14">
        <f>IF(ISNUMBER(G71), (G71 - $B71) / $B71, "")</f>
        <v>1.0256410256410256E-2</v>
      </c>
      <c r="I71" s="90">
        <f>IF(ISNUMBER(G71), $B91 * H71, "")</f>
        <v>1538.4615384615386</v>
      </c>
      <c r="J71" s="13">
        <v>394</v>
      </c>
      <c r="K71" s="14">
        <f>IF(ISNUMBER(J71), (J71 - $B71) / $B71, "")</f>
        <v>1.0256410256410256E-2</v>
      </c>
      <c r="L71" s="16">
        <f>IF(ISNUMBER(J71), $B91 * K71, "")</f>
        <v>1538.4615384615386</v>
      </c>
      <c r="M71" s="29">
        <v>389</v>
      </c>
      <c r="N71" s="14">
        <f>IF(ISNUMBER(M71), (M71 - $B71) / $B71, "")</f>
        <v>-2.5641025641025641E-3</v>
      </c>
      <c r="O71" s="16">
        <f>IF(ISNUMBER(M71), $B91 * N71, "")</f>
        <v>-384.61538461538464</v>
      </c>
      <c r="Q71" s="156"/>
      <c r="R71" s="156"/>
      <c r="S71" s="156"/>
    </row>
    <row r="72" spans="1:19" ht="17.25" thickBot="1">
      <c r="A72" s="109" t="s">
        <v>346</v>
      </c>
      <c r="B72" s="110">
        <v>530</v>
      </c>
      <c r="C72" s="70">
        <v>1.33843212E-2</v>
      </c>
      <c r="D72" s="15">
        <v>511</v>
      </c>
      <c r="E72" s="32">
        <f t="shared" ref="E72:E75" si="30">IF(ISNUMBER(D72), (D72 - $B72) / $B72, "")</f>
        <v>-3.5849056603773584E-2</v>
      </c>
      <c r="F72" s="18">
        <f>IF(ISNUMBER(D72), $B91 * E72, "")</f>
        <v>-5377.3584905660373</v>
      </c>
      <c r="G72" s="31">
        <v>527</v>
      </c>
      <c r="H72" s="32">
        <f t="shared" ref="H72:H75" si="31">IF(ISNUMBER(G72), (G72 - $B72) / $B72, "")</f>
        <v>-5.6603773584905656E-3</v>
      </c>
      <c r="I72" s="91">
        <f>IF(ISNUMBER(G72), $B91 * H72, "")</f>
        <v>-849.05660377358481</v>
      </c>
      <c r="J72" s="15">
        <v>527</v>
      </c>
      <c r="K72" s="32">
        <f t="shared" ref="K72:K75" si="32">IF(ISNUMBER(J72), (J72 - $B72) / $B72, "")</f>
        <v>-5.6603773584905656E-3</v>
      </c>
      <c r="L72" s="18">
        <f>IF(ISNUMBER(J72), $B91 * K72, "")</f>
        <v>-849.05660377358481</v>
      </c>
      <c r="M72" s="31">
        <v>520</v>
      </c>
      <c r="N72" s="32">
        <f t="shared" ref="N72:N75" si="33">IF(ISNUMBER(M72), (M72 - $B72) / $B72, "")</f>
        <v>-1.8867924528301886E-2</v>
      </c>
      <c r="O72" s="18">
        <f>IF(ISNUMBER(M72), $B91 * N72, "")</f>
        <v>-2830.1886792452829</v>
      </c>
      <c r="Q72" s="156"/>
      <c r="R72" s="156"/>
      <c r="S72" s="156"/>
    </row>
    <row r="73" spans="1:19" ht="17.25" thickBot="1">
      <c r="A73" s="109" t="s">
        <v>51</v>
      </c>
      <c r="B73" s="110">
        <v>111</v>
      </c>
      <c r="C73" s="70">
        <v>-8.9285713999999999E-3</v>
      </c>
      <c r="D73" s="15">
        <v>108</v>
      </c>
      <c r="E73" s="32">
        <f t="shared" si="30"/>
        <v>-2.7027027027027029E-2</v>
      </c>
      <c r="F73" s="18">
        <f>IF(ISNUMBER(D73), $B91 * E73, "")</f>
        <v>-4054.0540540540542</v>
      </c>
      <c r="G73" s="31">
        <v>112</v>
      </c>
      <c r="H73" s="32">
        <f t="shared" si="31"/>
        <v>9.0090090090090089E-3</v>
      </c>
      <c r="I73" s="91">
        <f>IF(ISNUMBER(G73), $B91 * H73, "")</f>
        <v>1351.3513513513512</v>
      </c>
      <c r="J73" s="15">
        <v>112</v>
      </c>
      <c r="K73" s="32">
        <f t="shared" si="32"/>
        <v>9.0090090090090089E-3</v>
      </c>
      <c r="L73" s="18">
        <f>IF(ISNUMBER(J73), $B91 * K73, "")</f>
        <v>1351.3513513513512</v>
      </c>
      <c r="M73" s="31">
        <v>111</v>
      </c>
      <c r="N73" s="32">
        <f t="shared" si="33"/>
        <v>0</v>
      </c>
      <c r="O73" s="18">
        <f>IF(ISNUMBER(M73), $B91 * N73, "")</f>
        <v>0</v>
      </c>
      <c r="Q73" s="161"/>
      <c r="R73" s="161"/>
      <c r="S73" s="161"/>
    </row>
    <row r="74" spans="1:19" ht="17.25" thickBot="1">
      <c r="A74" s="109" t="s">
        <v>81</v>
      </c>
      <c r="B74" s="110">
        <v>405</v>
      </c>
      <c r="C74" s="70">
        <v>-1.2195121999999999E-2</v>
      </c>
      <c r="D74" s="15">
        <v>399</v>
      </c>
      <c r="E74" s="32">
        <f t="shared" si="30"/>
        <v>-1.4814814814814815E-2</v>
      </c>
      <c r="F74" s="18">
        <f>IF(ISNUMBER(D74), $B91 * E74, "")</f>
        <v>-2222.2222222222222</v>
      </c>
      <c r="G74" s="31">
        <v>416</v>
      </c>
      <c r="H74" s="32">
        <f t="shared" si="31"/>
        <v>2.7160493827160494E-2</v>
      </c>
      <c r="I74" s="91">
        <f>IF(ISNUMBER(G74), $B91 * H74, "")</f>
        <v>4074.0740740740739</v>
      </c>
      <c r="J74" s="15">
        <v>416</v>
      </c>
      <c r="K74" s="32">
        <f t="shared" si="32"/>
        <v>2.7160493827160494E-2</v>
      </c>
      <c r="L74" s="18">
        <f>IF(ISNUMBER(J74), $B91 * K74, "")</f>
        <v>4074.0740740740739</v>
      </c>
      <c r="M74" s="31">
        <v>411</v>
      </c>
      <c r="N74" s="32">
        <f t="shared" si="33"/>
        <v>1.4814814814814815E-2</v>
      </c>
      <c r="O74" s="18">
        <f>IF(ISNUMBER(M74), $B91 * N74, "")</f>
        <v>2222.2222222222222</v>
      </c>
      <c r="Q74" s="161"/>
      <c r="R74" s="161"/>
      <c r="S74" s="161"/>
    </row>
    <row r="75" spans="1:19" ht="17.25" thickBot="1">
      <c r="A75" s="111" t="s">
        <v>89</v>
      </c>
      <c r="B75" s="112">
        <v>499</v>
      </c>
      <c r="C75" s="71">
        <v>-1.77165354E-2</v>
      </c>
      <c r="D75" s="20">
        <v>505</v>
      </c>
      <c r="E75" s="21">
        <f t="shared" si="30"/>
        <v>1.2024048096192385E-2</v>
      </c>
      <c r="F75" s="22">
        <f>IF(ISNUMBER(D75), $B91 * E75, "")</f>
        <v>1803.6072144288578</v>
      </c>
      <c r="G75" s="30">
        <v>517</v>
      </c>
      <c r="H75" s="21">
        <f t="shared" si="31"/>
        <v>3.6072144288577156E-2</v>
      </c>
      <c r="I75" s="95">
        <f>IF(ISNUMBER(G75), $B91 * H75, "")</f>
        <v>5410.8216432865729</v>
      </c>
      <c r="J75" s="20">
        <v>517</v>
      </c>
      <c r="K75" s="21">
        <f t="shared" si="32"/>
        <v>3.6072144288577156E-2</v>
      </c>
      <c r="L75" s="22">
        <f>IF(ISNUMBER(J75), $B91 * K75, "")</f>
        <v>5410.8216432865729</v>
      </c>
      <c r="M75" s="30">
        <v>514</v>
      </c>
      <c r="N75" s="21">
        <f t="shared" si="33"/>
        <v>3.0060120240480961E-2</v>
      </c>
      <c r="O75" s="22">
        <f>IF(ISNUMBER(M75), $B91 * N75, "")</f>
        <v>4509.0180360721442</v>
      </c>
      <c r="Q75" s="161"/>
      <c r="R75" s="161"/>
      <c r="S75" s="161"/>
    </row>
    <row r="76" spans="1:19" ht="17.25" thickBot="1">
      <c r="A76" s="109" t="s">
        <v>349</v>
      </c>
      <c r="B76" s="113">
        <v>747</v>
      </c>
      <c r="C76" s="73">
        <v>-2.8608582600000002E-2</v>
      </c>
      <c r="D76" s="96">
        <v>701</v>
      </c>
      <c r="E76" s="97">
        <f>IF(ISNUMBER(D76), (D76 - $B76) / $B76, "")</f>
        <v>-6.1579651941097727E-2</v>
      </c>
      <c r="F76" s="98">
        <f>IF(ISNUMBER(D76), $B91 * E76, "")</f>
        <v>-9236.9477911646591</v>
      </c>
      <c r="G76" s="99">
        <v>742</v>
      </c>
      <c r="H76" s="97">
        <f>IF(ISNUMBER(G76), (G76 - $B76) / $B76, "")</f>
        <v>-6.6934404283801874E-3</v>
      </c>
      <c r="I76" s="100">
        <f>IF(ISNUMBER(G76), $B91 * H76, "")</f>
        <v>-1004.0160642570281</v>
      </c>
      <c r="J76" s="96">
        <v>742</v>
      </c>
      <c r="K76" s="97">
        <f>IF(ISNUMBER(J76), (J76 - $B76) / $B76, "")</f>
        <v>-6.6934404283801874E-3</v>
      </c>
      <c r="L76" s="98">
        <f>IF(ISNUMBER(J76), $B91 * K76, "")</f>
        <v>-1004.0160642570281</v>
      </c>
      <c r="M76" s="99">
        <v>735</v>
      </c>
      <c r="N76" s="97">
        <f>IF(ISNUMBER(M76), (M76 - $B76) / $B76, "")</f>
        <v>-1.6064257028112448E-2</v>
      </c>
      <c r="O76" s="98">
        <f>IF(ISNUMBER(M76), $B91 * N76, "")</f>
        <v>-2409.6385542168673</v>
      </c>
      <c r="Q76" s="161"/>
      <c r="R76" s="161"/>
      <c r="S76" s="161"/>
    </row>
    <row r="77" spans="1:19" ht="17.25" thickBot="1">
      <c r="A77" s="109" t="s">
        <v>111</v>
      </c>
      <c r="B77" s="110">
        <v>733</v>
      </c>
      <c r="C77" s="70">
        <v>-2.9139072799999999E-2</v>
      </c>
      <c r="D77" s="15">
        <v>715</v>
      </c>
      <c r="E77" s="32">
        <f t="shared" ref="E77:E80" si="34">IF(ISNUMBER(D77), (D77 - $B77) / $B77, "")</f>
        <v>-2.4556616643929059E-2</v>
      </c>
      <c r="F77" s="18">
        <f>IF(ISNUMBER(D77), $B91 * E77, "")</f>
        <v>-3683.4924965893588</v>
      </c>
      <c r="G77" s="31">
        <v>751</v>
      </c>
      <c r="H77" s="32">
        <f t="shared" ref="H77:H80" si="35">IF(ISNUMBER(G77), (G77 - $B77) / $B77, "")</f>
        <v>2.4556616643929059E-2</v>
      </c>
      <c r="I77" s="91">
        <f>IF(ISNUMBER(G77), $B91 * H77, "")</f>
        <v>3683.4924965893588</v>
      </c>
      <c r="J77" s="15">
        <v>751</v>
      </c>
      <c r="K77" s="32">
        <f t="shared" ref="K77:K80" si="36">IF(ISNUMBER(J77), (J77 - $B77) / $B77, "")</f>
        <v>2.4556616643929059E-2</v>
      </c>
      <c r="L77" s="18">
        <f>IF(ISNUMBER(J77), $B91 * K77, "")</f>
        <v>3683.4924965893588</v>
      </c>
      <c r="M77" s="31">
        <v>743</v>
      </c>
      <c r="N77" s="32">
        <f t="shared" ref="N77:N80" si="37">IF(ISNUMBER(M77), (M77 - $B77) / $B77, "")</f>
        <v>1.3642564802182811E-2</v>
      </c>
      <c r="O77" s="18">
        <f>IF(ISNUMBER(M77), $B91 * N77, "")</f>
        <v>2046.3847203274215</v>
      </c>
      <c r="Q77" s="161"/>
      <c r="R77" s="161"/>
      <c r="S77" s="161"/>
    </row>
    <row r="78" spans="1:19" ht="17.25" thickBot="1">
      <c r="A78" s="109" t="s">
        <v>79</v>
      </c>
      <c r="B78" s="110">
        <v>290</v>
      </c>
      <c r="C78" s="70">
        <v>-3.0100334400000001E-2</v>
      </c>
      <c r="D78" s="15">
        <v>283</v>
      </c>
      <c r="E78" s="32">
        <f t="shared" si="34"/>
        <v>-2.4137931034482758E-2</v>
      </c>
      <c r="F78" s="18">
        <f>IF(ISNUMBER(D78), $B91 * E78, "")</f>
        <v>-3620.6896551724139</v>
      </c>
      <c r="G78" s="31">
        <v>298</v>
      </c>
      <c r="H78" s="32">
        <f t="shared" si="35"/>
        <v>2.7586206896551724E-2</v>
      </c>
      <c r="I78" s="91">
        <f>IF(ISNUMBER(G78), $B91 * H78, "")</f>
        <v>4137.9310344827582</v>
      </c>
      <c r="J78" s="15">
        <v>298</v>
      </c>
      <c r="K78" s="32">
        <f t="shared" si="36"/>
        <v>2.7586206896551724E-2</v>
      </c>
      <c r="L78" s="18">
        <f>IF(ISNUMBER(J78), $B91 * K78, "")</f>
        <v>4137.9310344827582</v>
      </c>
      <c r="M78" s="31">
        <v>297</v>
      </c>
      <c r="N78" s="32">
        <f t="shared" si="37"/>
        <v>2.4137931034482758E-2</v>
      </c>
      <c r="O78" s="18">
        <f>IF(ISNUMBER(M78), $B91 * N78, "")</f>
        <v>3620.6896551724139</v>
      </c>
      <c r="Q78" s="161"/>
      <c r="R78" s="161"/>
      <c r="S78" s="161"/>
    </row>
    <row r="79" spans="1:19" ht="17.25" thickBot="1">
      <c r="A79" s="109" t="s">
        <v>165</v>
      </c>
      <c r="B79" s="110">
        <v>969</v>
      </c>
      <c r="C79" s="70">
        <v>-3.1E-2</v>
      </c>
      <c r="D79" s="15">
        <v>929</v>
      </c>
      <c r="E79" s="32">
        <f t="shared" si="34"/>
        <v>-4.1279669762641899E-2</v>
      </c>
      <c r="F79" s="18">
        <f>IF(ISNUMBER(D79), $B91 * E79, "")</f>
        <v>-6191.9504643962846</v>
      </c>
      <c r="G79" s="31">
        <v>985</v>
      </c>
      <c r="H79" s="32">
        <f t="shared" si="35"/>
        <v>1.6511867905056758E-2</v>
      </c>
      <c r="I79" s="91">
        <f>IF(ISNUMBER(G79), $B91 * H79, "")</f>
        <v>2476.7801857585137</v>
      </c>
      <c r="J79" s="15">
        <v>985</v>
      </c>
      <c r="K79" s="32">
        <f t="shared" si="36"/>
        <v>1.6511867905056758E-2</v>
      </c>
      <c r="L79" s="18">
        <f>IF(ISNUMBER(J79), $B91 * K79, "")</f>
        <v>2476.7801857585137</v>
      </c>
      <c r="M79" s="31">
        <v>974</v>
      </c>
      <c r="N79" s="32">
        <f t="shared" si="37"/>
        <v>5.1599587203302374E-3</v>
      </c>
      <c r="O79" s="18">
        <f>IF(ISNUMBER(M79), $B91 * N79, "")</f>
        <v>773.99380804953557</v>
      </c>
      <c r="Q79" s="33"/>
      <c r="R79" s="33"/>
    </row>
    <row r="80" spans="1:19" ht="17.25" thickBot="1">
      <c r="A80" s="114" t="s">
        <v>340</v>
      </c>
      <c r="B80" s="115">
        <v>562</v>
      </c>
      <c r="C80" s="72">
        <v>-3.1034482799999999E-2</v>
      </c>
      <c r="D80" s="24">
        <v>560</v>
      </c>
      <c r="E80" s="25">
        <f t="shared" si="34"/>
        <v>-3.5587188612099642E-3</v>
      </c>
      <c r="F80" s="94">
        <f>IF(ISNUMBER(D80), $B91 * E80, "")</f>
        <v>-533.80782918149464</v>
      </c>
      <c r="G80" s="92">
        <v>579</v>
      </c>
      <c r="H80" s="25">
        <f t="shared" si="35"/>
        <v>3.0249110320284697E-2</v>
      </c>
      <c r="I80" s="93">
        <f>IF(ISNUMBER(G80), $B91 * H80, "")</f>
        <v>4537.3665480427044</v>
      </c>
      <c r="J80" s="24">
        <v>579</v>
      </c>
      <c r="K80" s="25">
        <f t="shared" si="36"/>
        <v>3.0249110320284697E-2</v>
      </c>
      <c r="L80" s="94">
        <f>IF(ISNUMBER(J80), $B91 * K80, "")</f>
        <v>4537.3665480427044</v>
      </c>
      <c r="M80" s="92">
        <v>571</v>
      </c>
      <c r="N80" s="25">
        <f t="shared" si="37"/>
        <v>1.601423487544484E-2</v>
      </c>
      <c r="O80" s="94">
        <f>IF(ISNUMBER(M80), $B91 * N80, "")</f>
        <v>2402.1352313167263</v>
      </c>
      <c r="Q80" s="170"/>
      <c r="R80" s="171"/>
      <c r="S80" s="172"/>
    </row>
    <row r="81" spans="1:19">
      <c r="A81" s="107" t="s">
        <v>68</v>
      </c>
      <c r="B81" s="108">
        <v>339</v>
      </c>
      <c r="C81" s="69">
        <v>-3.1428571400000001E-2</v>
      </c>
      <c r="D81" s="13">
        <v>316</v>
      </c>
      <c r="E81" s="14">
        <f>IF(ISNUMBER(D81), (D81 - $B81) / $B81, "")</f>
        <v>-6.7846607669616518E-2</v>
      </c>
      <c r="F81" s="16">
        <f>IF(ISNUMBER(D81), $B91 * E81, "")</f>
        <v>-10176.991150442478</v>
      </c>
      <c r="G81" s="29">
        <v>332</v>
      </c>
      <c r="H81" s="14">
        <f>IF(ISNUMBER(G81), (G81 - $B81) / $B81, "")</f>
        <v>-2.0648967551622419E-2</v>
      </c>
      <c r="I81" s="90">
        <f>IF(ISNUMBER(G81), $B91 * H81, "")</f>
        <v>-3097.3451327433627</v>
      </c>
      <c r="J81" s="13">
        <v>332</v>
      </c>
      <c r="K81" s="14">
        <f>IF(ISNUMBER(J81), (J81 - $B81) / $B81, "")</f>
        <v>-2.0648967551622419E-2</v>
      </c>
      <c r="L81" s="16">
        <f>IF(ISNUMBER(J81), $B91 * K81, "")</f>
        <v>-3097.3451327433627</v>
      </c>
      <c r="M81" s="29">
        <v>327</v>
      </c>
      <c r="N81" s="14">
        <f>IF(ISNUMBER(M81), (M81 - $B81) / $B81, "")</f>
        <v>-3.5398230088495575E-2</v>
      </c>
      <c r="O81" s="16">
        <f>IF(ISNUMBER(M81), $B91 * N81, "")</f>
        <v>-5309.7345132743358</v>
      </c>
      <c r="Q81" s="173"/>
      <c r="R81" s="174"/>
      <c r="S81" s="175"/>
    </row>
    <row r="82" spans="1:19" ht="17.25" thickBot="1">
      <c r="A82" s="109" t="s">
        <v>149</v>
      </c>
      <c r="B82" s="110">
        <v>392</v>
      </c>
      <c r="C82" s="70">
        <v>-3.20987654E-2</v>
      </c>
      <c r="D82" s="15">
        <v>382</v>
      </c>
      <c r="E82" s="32">
        <f t="shared" ref="E82:E85" si="38">IF(ISNUMBER(D82), (D82 - $B82) / $B82, "")</f>
        <v>-2.5510204081632654E-2</v>
      </c>
      <c r="F82" s="18">
        <f>IF(ISNUMBER(D82), $B91 * E82, "")</f>
        <v>-3826.5306122448978</v>
      </c>
      <c r="G82" s="31">
        <v>400</v>
      </c>
      <c r="H82" s="32">
        <f t="shared" ref="H82:H85" si="39">IF(ISNUMBER(G82), (G82 - $B82) / $B82, "")</f>
        <v>2.0408163265306121E-2</v>
      </c>
      <c r="I82" s="91">
        <f>IF(ISNUMBER(G82), $B91 * H82, "")</f>
        <v>3061.2244897959181</v>
      </c>
      <c r="J82" s="15">
        <v>400</v>
      </c>
      <c r="K82" s="32">
        <f t="shared" ref="K82:K85" si="40">IF(ISNUMBER(J82), (J82 - $B82) / $B82, "")</f>
        <v>2.0408163265306121E-2</v>
      </c>
      <c r="L82" s="18">
        <f>IF(ISNUMBER(J82), $B91 * K82, "")</f>
        <v>3061.2244897959181</v>
      </c>
      <c r="M82" s="31">
        <v>395</v>
      </c>
      <c r="N82" s="32">
        <f t="shared" ref="N82:N85" si="41">IF(ISNUMBER(M82), (M82 - $B82) / $B82, "")</f>
        <v>7.6530612244897957E-3</v>
      </c>
      <c r="O82" s="18">
        <f>IF(ISNUMBER(M82), $B91 * N82, "")</f>
        <v>1147.9591836734694</v>
      </c>
      <c r="Q82" s="176"/>
      <c r="R82" s="177"/>
      <c r="S82" s="178"/>
    </row>
    <row r="83" spans="1:19" ht="17.25" thickBot="1">
      <c r="A83" s="109" t="s">
        <v>60</v>
      </c>
      <c r="B83" s="110">
        <v>503</v>
      </c>
      <c r="C83" s="70">
        <v>-3.2692307699999999E-2</v>
      </c>
      <c r="D83" s="15">
        <v>491</v>
      </c>
      <c r="E83" s="32">
        <f t="shared" si="38"/>
        <v>-2.3856858846918488E-2</v>
      </c>
      <c r="F83" s="18">
        <f>IF(ISNUMBER(D83), $B91 * E83, "")</f>
        <v>-3578.5288270377732</v>
      </c>
      <c r="G83" s="31">
        <v>516</v>
      </c>
      <c r="H83" s="32">
        <f t="shared" si="39"/>
        <v>2.584493041749503E-2</v>
      </c>
      <c r="I83" s="91">
        <f>IF(ISNUMBER(G83), $B91 * H83, "")</f>
        <v>3876.7395626242546</v>
      </c>
      <c r="J83" s="15">
        <v>516</v>
      </c>
      <c r="K83" s="32">
        <f t="shared" si="40"/>
        <v>2.584493041749503E-2</v>
      </c>
      <c r="L83" s="18">
        <f>IF(ISNUMBER(J83), $B91 * K83, "")</f>
        <v>3876.7395626242546</v>
      </c>
      <c r="M83" s="31">
        <v>510</v>
      </c>
      <c r="N83" s="32">
        <f t="shared" si="41"/>
        <v>1.3916500994035786E-2</v>
      </c>
      <c r="O83" s="18">
        <f>IF(ISNUMBER(M83), $B91 * N83, "")</f>
        <v>2087.475149105368</v>
      </c>
      <c r="Q83" s="161"/>
      <c r="R83" s="161"/>
      <c r="S83" s="161"/>
    </row>
    <row r="84" spans="1:19" ht="17.25" thickBot="1">
      <c r="A84" s="109" t="s">
        <v>232</v>
      </c>
      <c r="B84" s="110">
        <v>290</v>
      </c>
      <c r="C84" s="70">
        <v>-3.3333333299999997E-2</v>
      </c>
      <c r="D84" s="15">
        <v>285</v>
      </c>
      <c r="E84" s="32">
        <f t="shared" si="38"/>
        <v>-1.7241379310344827E-2</v>
      </c>
      <c r="F84" s="18">
        <f>IF(ISNUMBER(D84), $B91 * E84, "")</f>
        <v>-2586.2068965517242</v>
      </c>
      <c r="G84" s="31">
        <v>299</v>
      </c>
      <c r="H84" s="32">
        <f t="shared" si="39"/>
        <v>3.1034482758620689E-2</v>
      </c>
      <c r="I84" s="91">
        <f>IF(ISNUMBER(G84), $B91 * H84, "")</f>
        <v>4655.1724137931033</v>
      </c>
      <c r="J84" s="15">
        <v>299</v>
      </c>
      <c r="K84" s="32">
        <f t="shared" si="40"/>
        <v>3.1034482758620689E-2</v>
      </c>
      <c r="L84" s="18">
        <f>IF(ISNUMBER(J84), $B91 * K84, "")</f>
        <v>4655.1724137931033</v>
      </c>
      <c r="M84" s="31">
        <v>299</v>
      </c>
      <c r="N84" s="32">
        <f t="shared" si="41"/>
        <v>3.1034482758620689E-2</v>
      </c>
      <c r="O84" s="18">
        <f>IF(ISNUMBER(M84), $B91 * N84, "")</f>
        <v>4655.1724137931033</v>
      </c>
      <c r="Q84" s="156"/>
      <c r="R84" s="156"/>
      <c r="S84" s="156"/>
    </row>
    <row r="85" spans="1:19" ht="17.25" thickBot="1">
      <c r="A85" s="111" t="s">
        <v>216</v>
      </c>
      <c r="B85" s="112">
        <v>515</v>
      </c>
      <c r="C85" s="71">
        <v>-3.37711069E-2</v>
      </c>
      <c r="D85" s="20">
        <v>502</v>
      </c>
      <c r="E85" s="21">
        <f t="shared" si="38"/>
        <v>-2.524271844660194E-2</v>
      </c>
      <c r="F85" s="22">
        <f>IF(ISNUMBER(D85), $B91 * E85, "")</f>
        <v>-3786.4077669902908</v>
      </c>
      <c r="G85" s="30">
        <v>521</v>
      </c>
      <c r="H85" s="21">
        <f t="shared" si="39"/>
        <v>1.1650485436893204E-2</v>
      </c>
      <c r="I85" s="95">
        <f>IF(ISNUMBER(G85), $B91 * H85, "")</f>
        <v>1747.5728155339807</v>
      </c>
      <c r="J85" s="20">
        <v>521</v>
      </c>
      <c r="K85" s="21">
        <f t="shared" si="40"/>
        <v>1.1650485436893204E-2</v>
      </c>
      <c r="L85" s="22">
        <f>IF(ISNUMBER(J85), $B91 * K85, "")</f>
        <v>1747.5728155339807</v>
      </c>
      <c r="M85" s="30">
        <v>519</v>
      </c>
      <c r="N85" s="21">
        <f t="shared" si="41"/>
        <v>7.7669902912621356E-3</v>
      </c>
      <c r="O85" s="22">
        <f>IF(ISNUMBER(M85), $B91 * N85, "")</f>
        <v>1165.0485436893202</v>
      </c>
      <c r="Q85" s="156"/>
      <c r="R85" s="156"/>
      <c r="S85" s="156"/>
    </row>
    <row r="86" spans="1:19" ht="17.25" thickBot="1">
      <c r="A86" s="109" t="s">
        <v>157</v>
      </c>
      <c r="B86" s="113">
        <v>169</v>
      </c>
      <c r="C86" s="73">
        <v>-3.4285714299999999E-2</v>
      </c>
      <c r="D86" s="96">
        <v>167</v>
      </c>
      <c r="E86" s="97">
        <f>IF(ISNUMBER(D86), (D86 - $B86) / $B86, "")</f>
        <v>-1.1834319526627219E-2</v>
      </c>
      <c r="F86" s="98">
        <f>IF(ISNUMBER(D86), $B91 * E86, "")</f>
        <v>-1775.1479289940828</v>
      </c>
      <c r="G86" s="99">
        <v>175</v>
      </c>
      <c r="H86" s="97">
        <f>IF(ISNUMBER(G86), (G86 - $B86) / $B86, "")</f>
        <v>3.5502958579881658E-2</v>
      </c>
      <c r="I86" s="100">
        <f>IF(ISNUMBER(G86), $B91 * H86, "")</f>
        <v>5325.4437869822486</v>
      </c>
      <c r="J86" s="96">
        <v>175</v>
      </c>
      <c r="K86" s="97">
        <f>IF(ISNUMBER(J86), (J86 - $B86) / $B86, "")</f>
        <v>3.5502958579881658E-2</v>
      </c>
      <c r="L86" s="98">
        <f>IF(ISNUMBER(J86), $B91 * K86, "")</f>
        <v>5325.4437869822486</v>
      </c>
      <c r="M86" s="99">
        <v>173</v>
      </c>
      <c r="N86" s="97">
        <f>IF(ISNUMBER(M86), (M86 - $B86) / $B86, "")</f>
        <v>2.3668639053254437E-2</v>
      </c>
      <c r="O86" s="98">
        <f>IF(ISNUMBER(M86), $B91 * N86, "")</f>
        <v>3550.2958579881656</v>
      </c>
      <c r="Q86" s="161"/>
      <c r="R86" s="161"/>
      <c r="S86" s="161"/>
    </row>
    <row r="87" spans="1:19" ht="17.25" thickBot="1">
      <c r="A87" s="109" t="s">
        <v>342</v>
      </c>
      <c r="B87" s="110">
        <v>135</v>
      </c>
      <c r="C87" s="70">
        <v>-3.5714285700000001E-2</v>
      </c>
      <c r="D87" s="15">
        <v>132</v>
      </c>
      <c r="E87" s="32">
        <f t="shared" ref="E87:E90" si="42">IF(ISNUMBER(D87), (D87 - $B87) / $B87, "")</f>
        <v>-2.2222222222222223E-2</v>
      </c>
      <c r="F87" s="18">
        <f>IF(ISNUMBER(D87), $B91 * E87, "")</f>
        <v>-3333.3333333333335</v>
      </c>
      <c r="G87" s="31">
        <v>137</v>
      </c>
      <c r="H87" s="32">
        <f t="shared" ref="H87:H90" si="43">IF(ISNUMBER(G87), (G87 - $B87) / $B87, "")</f>
        <v>1.4814814814814815E-2</v>
      </c>
      <c r="I87" s="91">
        <f>IF(ISNUMBER(G87), $B91 * H87, "")</f>
        <v>2222.2222222222222</v>
      </c>
      <c r="J87" s="15">
        <v>137</v>
      </c>
      <c r="K87" s="32">
        <f t="shared" ref="K87:K90" si="44">IF(ISNUMBER(J87), (J87 - $B87) / $B87, "")</f>
        <v>1.4814814814814815E-2</v>
      </c>
      <c r="L87" s="18">
        <f>IF(ISNUMBER(J87), $B91 * K87, "")</f>
        <v>2222.2222222222222</v>
      </c>
      <c r="M87" s="31">
        <v>136</v>
      </c>
      <c r="N87" s="32">
        <f t="shared" ref="N87:N90" si="45">IF(ISNUMBER(M87), (M87 - $B87) / $B87, "")</f>
        <v>7.4074074074074077E-3</v>
      </c>
      <c r="O87" s="18">
        <f>IF(ISNUMBER(M87), $B91 * N87, "")</f>
        <v>1111.1111111111111</v>
      </c>
      <c r="Q87" s="161"/>
      <c r="R87" s="161"/>
      <c r="S87" s="161"/>
    </row>
    <row r="88" spans="1:19" ht="17.25" thickBot="1">
      <c r="A88" s="109" t="s">
        <v>238</v>
      </c>
      <c r="B88" s="110">
        <v>618</v>
      </c>
      <c r="C88" s="70">
        <v>-3.58814353E-2</v>
      </c>
      <c r="D88" s="15">
        <v>603</v>
      </c>
      <c r="E88" s="32">
        <f t="shared" si="42"/>
        <v>-2.4271844660194174E-2</v>
      </c>
      <c r="F88" s="18">
        <f>IF(ISNUMBER(D88), $B91 * E88, "")</f>
        <v>-3640.7766990291261</v>
      </c>
      <c r="G88" s="31">
        <v>629</v>
      </c>
      <c r="H88" s="32">
        <f t="shared" si="43"/>
        <v>1.7799352750809062E-2</v>
      </c>
      <c r="I88" s="91">
        <f>IF(ISNUMBER(G88), $B91 * H88, "")</f>
        <v>2669.9029126213591</v>
      </c>
      <c r="J88" s="15">
        <v>629</v>
      </c>
      <c r="K88" s="32">
        <f t="shared" si="44"/>
        <v>1.7799352750809062E-2</v>
      </c>
      <c r="L88" s="18">
        <f>IF(ISNUMBER(J88), $B91 * K88, "")</f>
        <v>2669.9029126213591</v>
      </c>
      <c r="M88" s="31">
        <v>626</v>
      </c>
      <c r="N88" s="32">
        <f t="shared" si="45"/>
        <v>1.2944983818770227E-2</v>
      </c>
      <c r="O88" s="18">
        <f>IF(ISNUMBER(M88), $B91 * N88, "")</f>
        <v>1941.7475728155341</v>
      </c>
      <c r="Q88" s="161"/>
      <c r="R88" s="161"/>
      <c r="S88" s="161"/>
    </row>
    <row r="89" spans="1:19">
      <c r="A89" s="109" t="s">
        <v>187</v>
      </c>
      <c r="B89" s="110">
        <v>794</v>
      </c>
      <c r="C89" s="70">
        <v>-3.6407767000000001E-2</v>
      </c>
      <c r="D89" s="15">
        <v>778</v>
      </c>
      <c r="E89" s="32">
        <f t="shared" si="42"/>
        <v>-2.0151133501259445E-2</v>
      </c>
      <c r="F89" s="18">
        <f>IF(ISNUMBER(D89), $B91 * E89, "")</f>
        <v>-3022.670025188917</v>
      </c>
      <c r="G89" s="31">
        <v>807</v>
      </c>
      <c r="H89" s="32">
        <f t="shared" si="43"/>
        <v>1.6372795969773299E-2</v>
      </c>
      <c r="I89" s="91">
        <f>IF(ISNUMBER(G89), $B91 * H89, "")</f>
        <v>2455.919395465995</v>
      </c>
      <c r="J89" s="15">
        <v>807</v>
      </c>
      <c r="K89" s="32">
        <f t="shared" si="44"/>
        <v>1.6372795969773299E-2</v>
      </c>
      <c r="L89" s="18">
        <f>IF(ISNUMBER(J89), $B91 * K89, "")</f>
        <v>2455.919395465995</v>
      </c>
      <c r="M89" s="31">
        <v>803</v>
      </c>
      <c r="N89" s="32">
        <f t="shared" si="45"/>
        <v>1.1335012594458438E-2</v>
      </c>
      <c r="O89" s="18">
        <f>IF(ISNUMBER(M89), $B91 * N89, "")</f>
        <v>1700.2518891687657</v>
      </c>
      <c r="Q89" s="183"/>
      <c r="R89" s="184"/>
      <c r="S89" s="185"/>
    </row>
    <row r="90" spans="1:19" ht="17.25" thickBot="1">
      <c r="A90" s="114" t="s">
        <v>218</v>
      </c>
      <c r="B90" s="115">
        <v>341</v>
      </c>
      <c r="C90" s="72">
        <v>-3.67231638E-2</v>
      </c>
      <c r="D90" s="24">
        <v>338</v>
      </c>
      <c r="E90" s="25">
        <f t="shared" si="42"/>
        <v>-8.7976539589442824E-3</v>
      </c>
      <c r="F90" s="94">
        <f>IF(ISNUMBER(D90), $B91 * E90, "")</f>
        <v>-1319.6480938416423</v>
      </c>
      <c r="G90" s="92">
        <v>351</v>
      </c>
      <c r="H90" s="25">
        <f t="shared" si="43"/>
        <v>2.932551319648094E-2</v>
      </c>
      <c r="I90" s="93">
        <f>IF(ISNUMBER(G90), $B91 * H90, "")</f>
        <v>4398.8269794721409</v>
      </c>
      <c r="J90" s="24">
        <v>351</v>
      </c>
      <c r="K90" s="25">
        <f t="shared" si="44"/>
        <v>2.932551319648094E-2</v>
      </c>
      <c r="L90" s="94">
        <f>IF(ISNUMBER(J90), $B91 * K90, "")</f>
        <v>4398.8269794721409</v>
      </c>
      <c r="M90" s="92">
        <v>350</v>
      </c>
      <c r="N90" s="25">
        <f t="shared" si="45"/>
        <v>2.6392961876832845E-2</v>
      </c>
      <c r="O90" s="94">
        <f>IF(ISNUMBER(M90), $B91 * N90, "")</f>
        <v>3958.9442815249267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-2.1080026733164999E-2</v>
      </c>
      <c r="F91" s="28">
        <f>SUM(F71:F90)</f>
        <v>-63240.080199495009</v>
      </c>
      <c r="G91" s="26" t="s">
        <v>261</v>
      </c>
      <c r="H91" s="27">
        <f>IF(COUNT(H71:H90), SUM(H71:H90) / COUNT(H71:H90), 0)</f>
        <v>1.7557628549928046E-2</v>
      </c>
      <c r="I91" s="28">
        <f>SUM(I71:I90)</f>
        <v>52672.885649784119</v>
      </c>
      <c r="J91" s="26" t="s">
        <v>261</v>
      </c>
      <c r="K91" s="27">
        <f>IF(COUNT(K71:K90), SUM(K71:K90) / COUNT(K71:K90), 0)</f>
        <v>1.7557628549928046E-2</v>
      </c>
      <c r="L91" s="28">
        <f>SUM(L71:L90)</f>
        <v>52672.885649784119</v>
      </c>
      <c r="M91" s="26" t="s">
        <v>261</v>
      </c>
      <c r="N91" s="27">
        <f>IF(COUNT(N71:N90), SUM(N71:N90) / COUNT(N71:N90), 0)</f>
        <v>8.6527575148927852E-3</v>
      </c>
      <c r="O91" s="28">
        <f>SUM(O71:O90)</f>
        <v>25958.272544678355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2022-12-13(화) 오전 00:00</v>
      </c>
      <c r="C96" s="199"/>
      <c r="D96" s="158" t="str">
        <f>TEXT($G$1, "[$-ko-KR]yyyy-mm-dd(ddd) ") &amp; "오후 14:00"</f>
        <v>2022-12-13(화) 오후 14:00</v>
      </c>
      <c r="E96" s="159"/>
      <c r="F96" s="160"/>
      <c r="G96" s="158" t="str">
        <f>TEXT($G$1, "[$-ko-KR]yyyy-mm-dd(ddd) ") &amp; "오후 19:00"</f>
        <v>2022-12-13(화) 오후 19:00</v>
      </c>
      <c r="H96" s="159"/>
      <c r="I96" s="160"/>
      <c r="J96" s="158" t="str">
        <f>TEXT($G$1, "[$-ko-KR]yyyy-mm-dd(ddd) ") &amp; "오후 21:00"</f>
        <v>2022-12-13(화) 오후 21:00</v>
      </c>
      <c r="K96" s="159"/>
      <c r="L96" s="160"/>
      <c r="M96" s="158" t="str">
        <f>TEXT($G$1+1, "[$-ko-KR]yyyy-mm-dd(ddd) ") &amp; "오전 00:00"</f>
        <v>2022-12-14(수)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56</v>
      </c>
      <c r="B98" s="108">
        <v>45.2</v>
      </c>
      <c r="C98" s="69">
        <v>4.87238979E-2</v>
      </c>
      <c r="D98" s="13">
        <v>42.7</v>
      </c>
      <c r="E98" s="14">
        <f>IF(ISNUMBER(D98), (D98 - $B98) / $B98, "")</f>
        <v>-5.5309734513274332E-2</v>
      </c>
      <c r="F98" s="16">
        <f>IF(ISNUMBER(D98), $B118 * E98, "")</f>
        <v>-8296.4601769911496</v>
      </c>
      <c r="G98" s="29">
        <v>44.4</v>
      </c>
      <c r="H98" s="14">
        <f>IF(ISNUMBER(G98), (G98 - $B98) / $B98, "")</f>
        <v>-1.7699115044247881E-2</v>
      </c>
      <c r="I98" s="90">
        <f>IF(ISNUMBER(G98), $B118 * H98, "")</f>
        <v>-2654.867256637182</v>
      </c>
      <c r="J98" s="13">
        <v>44.4</v>
      </c>
      <c r="K98" s="14">
        <f>IF(ISNUMBER(J98), (J98 - $B98) / $B98, "")</f>
        <v>-1.7699115044247881E-2</v>
      </c>
      <c r="L98" s="16">
        <f>IF(ISNUMBER(J98), $B118 * K98, "")</f>
        <v>-2654.867256637182</v>
      </c>
      <c r="M98" s="29">
        <v>44.2</v>
      </c>
      <c r="N98" s="14">
        <f>IF(ISNUMBER(M98), (M98 - $B98) / $B98, "")</f>
        <v>-2.2123893805309734E-2</v>
      </c>
      <c r="O98" s="16">
        <f>IF(ISNUMBER(M98), $B118 * N98, "")</f>
        <v>-3318.5840707964603</v>
      </c>
      <c r="Q98" s="156"/>
      <c r="R98" s="156"/>
      <c r="S98" s="156"/>
    </row>
    <row r="99" spans="1:19" ht="17.25" thickBot="1">
      <c r="A99" s="109" t="s">
        <v>87</v>
      </c>
      <c r="B99" s="110">
        <v>60720</v>
      </c>
      <c r="C99" s="70">
        <v>4.3478260900000003E-2</v>
      </c>
      <c r="D99" s="15">
        <v>61340</v>
      </c>
      <c r="E99" s="32">
        <f t="shared" ref="E99:E102" si="46">IF(ISNUMBER(D99), (D99 - $B99) / $B99, "")</f>
        <v>1.0210803689064558E-2</v>
      </c>
      <c r="F99" s="18">
        <f>IF(ISNUMBER(D99), $B118 * E99, "")</f>
        <v>1531.6205533596838</v>
      </c>
      <c r="G99" s="31">
        <v>62000</v>
      </c>
      <c r="H99" s="32">
        <f t="shared" ref="H99:H102" si="47">IF(ISNUMBER(G99), (G99 - $B99) / $B99, "")</f>
        <v>2.1080368906455864E-2</v>
      </c>
      <c r="I99" s="91">
        <f>IF(ISNUMBER(G99), $B118 * H99, "")</f>
        <v>3162.0553359683795</v>
      </c>
      <c r="J99" s="15">
        <v>62000</v>
      </c>
      <c r="K99" s="32">
        <f t="shared" ref="K99:K102" si="48">IF(ISNUMBER(J99), (J99 - $B99) / $B99, "")</f>
        <v>2.1080368906455864E-2</v>
      </c>
      <c r="L99" s="18">
        <f>IF(ISNUMBER(J99), $B118 * K99, "")</f>
        <v>3162.0553359683795</v>
      </c>
      <c r="M99" s="31">
        <v>61690</v>
      </c>
      <c r="N99" s="32">
        <f t="shared" ref="N99:N102" si="49">IF(ISNUMBER(M99), (M99 - $B99) / $B99, "")</f>
        <v>1.5974967061923584E-2</v>
      </c>
      <c r="O99" s="18">
        <f>IF(ISNUMBER(M99), $B118 * N99, "")</f>
        <v>2396.2450592885375</v>
      </c>
      <c r="Q99" s="156"/>
      <c r="R99" s="156"/>
      <c r="S99" s="156"/>
    </row>
    <row r="100" spans="1:19" ht="17.25" thickBot="1">
      <c r="A100" s="109" t="s">
        <v>161</v>
      </c>
      <c r="B100" s="110">
        <v>390</v>
      </c>
      <c r="C100" s="70">
        <v>3.4482758600000003E-2</v>
      </c>
      <c r="D100" s="15">
        <v>408</v>
      </c>
      <c r="E100" s="32">
        <f t="shared" si="46"/>
        <v>4.6153846153846156E-2</v>
      </c>
      <c r="F100" s="18">
        <f>IF(ISNUMBER(D100), $B118 * E100, "")</f>
        <v>6923.0769230769238</v>
      </c>
      <c r="G100" s="31">
        <v>394</v>
      </c>
      <c r="H100" s="32">
        <f t="shared" si="47"/>
        <v>1.0256410256410256E-2</v>
      </c>
      <c r="I100" s="91">
        <f>IF(ISNUMBER(G100), $B118 * H100, "")</f>
        <v>1538.4615384615386</v>
      </c>
      <c r="J100" s="15">
        <v>394</v>
      </c>
      <c r="K100" s="32">
        <f t="shared" si="48"/>
        <v>1.0256410256410256E-2</v>
      </c>
      <c r="L100" s="18">
        <f>IF(ISNUMBER(J100), $B118 * K100, "")</f>
        <v>1538.4615384615386</v>
      </c>
      <c r="M100" s="31">
        <v>389</v>
      </c>
      <c r="N100" s="32">
        <f t="shared" si="49"/>
        <v>-2.5641025641025641E-3</v>
      </c>
      <c r="O100" s="18">
        <f>IF(ISNUMBER(M100), $B118 * N100, "")</f>
        <v>-384.61538461538464</v>
      </c>
      <c r="Q100" s="161"/>
      <c r="R100" s="161"/>
      <c r="S100" s="161"/>
    </row>
    <row r="101" spans="1:19" ht="17.25" thickBot="1">
      <c r="A101" s="109" t="s">
        <v>62</v>
      </c>
      <c r="B101" s="110">
        <v>10400</v>
      </c>
      <c r="C101" s="70">
        <v>1.9607843100000001E-2</v>
      </c>
      <c r="D101" s="15">
        <v>10890</v>
      </c>
      <c r="E101" s="32">
        <f t="shared" si="46"/>
        <v>4.7115384615384615E-2</v>
      </c>
      <c r="F101" s="18">
        <f>IF(ISNUMBER(D101), $B118 * E101, "")</f>
        <v>7067.3076923076924</v>
      </c>
      <c r="G101" s="31">
        <v>10130</v>
      </c>
      <c r="H101" s="32">
        <f t="shared" si="47"/>
        <v>-2.5961538461538463E-2</v>
      </c>
      <c r="I101" s="91">
        <f>IF(ISNUMBER(G101), $B118 * H101, "")</f>
        <v>-3894.2307692307695</v>
      </c>
      <c r="J101" s="15">
        <v>10130</v>
      </c>
      <c r="K101" s="32">
        <f t="shared" si="48"/>
        <v>-2.5961538461538463E-2</v>
      </c>
      <c r="L101" s="18">
        <f>IF(ISNUMBER(J101), $B118 * K101, "")</f>
        <v>-3894.2307692307695</v>
      </c>
      <c r="M101" s="31">
        <v>10140</v>
      </c>
      <c r="N101" s="32">
        <f t="shared" si="49"/>
        <v>-2.5000000000000001E-2</v>
      </c>
      <c r="O101" s="18">
        <f>IF(ISNUMBER(M101), $B118 * N101, "")</f>
        <v>-3750</v>
      </c>
      <c r="Q101" s="161"/>
      <c r="R101" s="161"/>
      <c r="S101" s="161"/>
    </row>
    <row r="102" spans="1:19" ht="17.25" thickBot="1">
      <c r="A102" s="111" t="s">
        <v>346</v>
      </c>
      <c r="B102" s="112">
        <v>530</v>
      </c>
      <c r="C102" s="71">
        <v>1.33843212E-2</v>
      </c>
      <c r="D102" s="20">
        <v>511</v>
      </c>
      <c r="E102" s="21">
        <f t="shared" si="46"/>
        <v>-3.5849056603773584E-2</v>
      </c>
      <c r="F102" s="22">
        <f>IF(ISNUMBER(D102), $B118 * E102, "")</f>
        <v>-5377.3584905660373</v>
      </c>
      <c r="G102" s="30">
        <v>527</v>
      </c>
      <c r="H102" s="21">
        <f t="shared" si="47"/>
        <v>-5.6603773584905656E-3</v>
      </c>
      <c r="I102" s="95">
        <f>IF(ISNUMBER(G102), $B118 * H102, "")</f>
        <v>-849.05660377358481</v>
      </c>
      <c r="J102" s="20">
        <v>527</v>
      </c>
      <c r="K102" s="21">
        <f t="shared" si="48"/>
        <v>-5.6603773584905656E-3</v>
      </c>
      <c r="L102" s="22">
        <f>IF(ISNUMBER(J102), $B118 * K102, "")</f>
        <v>-849.05660377358481</v>
      </c>
      <c r="M102" s="30">
        <v>520</v>
      </c>
      <c r="N102" s="21">
        <f t="shared" si="49"/>
        <v>-1.8867924528301886E-2</v>
      </c>
      <c r="O102" s="22">
        <f>IF(ISNUMBER(M102), $B118 * N102, "")</f>
        <v>-2830.1886792452829</v>
      </c>
      <c r="Q102" s="161"/>
      <c r="R102" s="161"/>
      <c r="S102" s="161"/>
    </row>
    <row r="103" spans="1:19" ht="17.25" thickBot="1">
      <c r="A103" s="109" t="s">
        <v>326</v>
      </c>
      <c r="B103" s="113">
        <v>24.5</v>
      </c>
      <c r="C103" s="73">
        <v>1.2396694200000001E-2</v>
      </c>
      <c r="D103" s="96">
        <v>23.6</v>
      </c>
      <c r="E103" s="97">
        <f>IF(ISNUMBER(D103), (D103 - $B103) / $B103, "")</f>
        <v>-3.6734693877550961E-2</v>
      </c>
      <c r="F103" s="98">
        <f>IF(ISNUMBER(D103), $B118 * E103, "")</f>
        <v>-5510.2040816326444</v>
      </c>
      <c r="G103" s="99">
        <v>24.4</v>
      </c>
      <c r="H103" s="97">
        <f>IF(ISNUMBER(G103), (G103 - $B103) / $B103, "")</f>
        <v>-4.0816326530612821E-3</v>
      </c>
      <c r="I103" s="100">
        <f>IF(ISNUMBER(G103), $B118 * H103, "")</f>
        <v>-612.24489795919237</v>
      </c>
      <c r="J103" s="96">
        <v>24.4</v>
      </c>
      <c r="K103" s="97">
        <f>IF(ISNUMBER(J103), (J103 - $B103) / $B103, "")</f>
        <v>-4.0816326530612821E-3</v>
      </c>
      <c r="L103" s="98">
        <f>IF(ISNUMBER(J103), $B118 * K103, "")</f>
        <v>-612.24489795919237</v>
      </c>
      <c r="M103" s="99">
        <v>24.2</v>
      </c>
      <c r="N103" s="97">
        <f>IF(ISNUMBER(M103), (M103 - $B103) / $B103, "")</f>
        <v>-1.2244897959183702E-2</v>
      </c>
      <c r="O103" s="98">
        <f>IF(ISNUMBER(M103), $B118 * N103, "")</f>
        <v>-1836.7346938775554</v>
      </c>
      <c r="Q103" s="161"/>
      <c r="R103" s="161"/>
      <c r="S103" s="161"/>
    </row>
    <row r="104" spans="1:19" ht="17.25" thickBot="1">
      <c r="A104" s="109" t="s">
        <v>206</v>
      </c>
      <c r="B104" s="110">
        <v>3.56</v>
      </c>
      <c r="C104" s="70">
        <v>8.4985835999999999E-3</v>
      </c>
      <c r="D104" s="15">
        <v>3.56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3.7</v>
      </c>
      <c r="H104" s="32">
        <f t="shared" ref="H104:H107" si="51">IF(ISNUMBER(G104), (G104 - $B104) / $B104, "")</f>
        <v>3.9325842696629247E-2</v>
      </c>
      <c r="I104" s="91">
        <f>IF(ISNUMBER(G104), $B118 * H104, "")</f>
        <v>5898.8764044943873</v>
      </c>
      <c r="J104" s="15">
        <v>3.7</v>
      </c>
      <c r="K104" s="32">
        <f t="shared" ref="K104:K107" si="52">IF(ISNUMBER(J104), (J104 - $B104) / $B104, "")</f>
        <v>3.9325842696629247E-2</v>
      </c>
      <c r="L104" s="18">
        <f>IF(ISNUMBER(J104), $B118 * K104, "")</f>
        <v>5898.8764044943873</v>
      </c>
      <c r="M104" s="31">
        <v>3.69</v>
      </c>
      <c r="N104" s="32">
        <f t="shared" ref="N104:N107" si="53">IF(ISNUMBER(M104), (M104 - $B104) / $B104, "")</f>
        <v>3.6516853932584241E-2</v>
      </c>
      <c r="O104" s="18">
        <f>IF(ISNUMBER(M104), $B118 * N104, "")</f>
        <v>5477.5280898876363</v>
      </c>
      <c r="Q104" s="161"/>
      <c r="R104" s="161"/>
      <c r="S104" s="161"/>
    </row>
    <row r="105" spans="1:19" ht="17.25" thickBot="1">
      <c r="A105" s="109" t="s">
        <v>91</v>
      </c>
      <c r="B105" s="110">
        <v>19870</v>
      </c>
      <c r="C105" s="70">
        <v>3.5353534999999999E-3</v>
      </c>
      <c r="D105" s="15">
        <v>19340</v>
      </c>
      <c r="E105" s="32">
        <f t="shared" si="50"/>
        <v>-2.6673376950176145E-2</v>
      </c>
      <c r="F105" s="18">
        <f>IF(ISNUMBER(D105), $B118 * E105, "")</f>
        <v>-4001.0065425264215</v>
      </c>
      <c r="G105" s="31">
        <v>20230</v>
      </c>
      <c r="H105" s="32">
        <f t="shared" si="51"/>
        <v>1.8117765475591345E-2</v>
      </c>
      <c r="I105" s="91">
        <f>IF(ISNUMBER(G105), $B118 * H105, "")</f>
        <v>2717.6648213387016</v>
      </c>
      <c r="J105" s="15">
        <v>20230</v>
      </c>
      <c r="K105" s="32">
        <f t="shared" si="52"/>
        <v>1.8117765475591345E-2</v>
      </c>
      <c r="L105" s="18">
        <f>IF(ISNUMBER(J105), $B118 * K105, "")</f>
        <v>2717.6648213387016</v>
      </c>
      <c r="M105" s="31">
        <v>19980</v>
      </c>
      <c r="N105" s="32">
        <f t="shared" si="53"/>
        <v>5.5359838953195776E-3</v>
      </c>
      <c r="O105" s="18">
        <f>IF(ISNUMBER(M105), $B118 * N105, "")</f>
        <v>830.39758429793665</v>
      </c>
      <c r="Q105" s="161"/>
      <c r="R105" s="161"/>
      <c r="S105" s="161"/>
    </row>
    <row r="106" spans="1:19" ht="17.25" thickBot="1">
      <c r="A106" s="109" t="s">
        <v>73</v>
      </c>
      <c r="B106" s="110">
        <v>12750</v>
      </c>
      <c r="C106" s="70">
        <v>1.5710919E-3</v>
      </c>
      <c r="D106" s="15">
        <v>12210</v>
      </c>
      <c r="E106" s="32">
        <f t="shared" si="50"/>
        <v>-4.2352941176470586E-2</v>
      </c>
      <c r="F106" s="18">
        <f>IF(ISNUMBER(D106), $B118 * E106, "")</f>
        <v>-6352.9411764705883</v>
      </c>
      <c r="G106" s="31">
        <v>12900</v>
      </c>
      <c r="H106" s="32">
        <f t="shared" si="51"/>
        <v>1.1764705882352941E-2</v>
      </c>
      <c r="I106" s="91">
        <f>IF(ISNUMBER(G106), $B118 * H106, "")</f>
        <v>1764.7058823529412</v>
      </c>
      <c r="J106" s="15">
        <v>12900</v>
      </c>
      <c r="K106" s="32">
        <f t="shared" si="52"/>
        <v>1.1764705882352941E-2</v>
      </c>
      <c r="L106" s="18">
        <f>IF(ISNUMBER(J106), $B118 * K106, "")</f>
        <v>1764.7058823529412</v>
      </c>
      <c r="M106" s="31">
        <v>12780</v>
      </c>
      <c r="N106" s="32">
        <f t="shared" si="53"/>
        <v>2.352941176470588E-3</v>
      </c>
      <c r="O106" s="18">
        <f>IF(ISNUMBER(M106), $B118 * N106, "")</f>
        <v>352.94117647058823</v>
      </c>
      <c r="Q106" s="33"/>
      <c r="R106" s="33"/>
    </row>
    <row r="107" spans="1:19" ht="17.25" thickBot="1">
      <c r="A107" s="114" t="s">
        <v>49</v>
      </c>
      <c r="B107" s="115">
        <v>22599000</v>
      </c>
      <c r="C107" s="72">
        <v>-7.7277717000000003E-3</v>
      </c>
      <c r="D107" s="24">
        <v>22634000</v>
      </c>
      <c r="E107" s="25">
        <f t="shared" si="50"/>
        <v>1.5487410947387053E-3</v>
      </c>
      <c r="F107" s="94">
        <f>IF(ISNUMBER(D107), $B118 * E107, "")</f>
        <v>232.3111642108058</v>
      </c>
      <c r="G107" s="92">
        <v>23500000</v>
      </c>
      <c r="H107" s="25">
        <f t="shared" si="51"/>
        <v>3.9869020753130667E-2</v>
      </c>
      <c r="I107" s="93">
        <f>IF(ISNUMBER(G107), $B118 * H107, "")</f>
        <v>5980.3531129696003</v>
      </c>
      <c r="J107" s="24">
        <v>23500000</v>
      </c>
      <c r="K107" s="25">
        <f t="shared" si="52"/>
        <v>3.9869020753130667E-2</v>
      </c>
      <c r="L107" s="94">
        <f>IF(ISNUMBER(J107), $B118 * K107, "")</f>
        <v>5980.3531129696003</v>
      </c>
      <c r="M107" s="92">
        <v>23320000</v>
      </c>
      <c r="N107" s="25">
        <f t="shared" si="53"/>
        <v>3.190406655161733E-2</v>
      </c>
      <c r="O107" s="94">
        <f>IF(ISNUMBER(M107), $B118 * N107, "")</f>
        <v>4785.6099827425996</v>
      </c>
      <c r="Q107" s="170"/>
      <c r="R107" s="171"/>
      <c r="S107" s="172"/>
    </row>
    <row r="108" spans="1:19">
      <c r="A108" s="107" t="s">
        <v>51</v>
      </c>
      <c r="B108" s="108">
        <v>111</v>
      </c>
      <c r="C108" s="69">
        <v>-8.9285713999999999E-3</v>
      </c>
      <c r="D108" s="13">
        <v>108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112</v>
      </c>
      <c r="H108" s="14">
        <f>IF(ISNUMBER(G108), (G108 - $B108) / $B108, "")</f>
        <v>9.0090090090090089E-3</v>
      </c>
      <c r="I108" s="90">
        <f>IF(ISNUMBER(G108), $B118 * H108, "")</f>
        <v>1351.3513513513512</v>
      </c>
      <c r="J108" s="13">
        <v>112</v>
      </c>
      <c r="K108" s="14">
        <f>IF(ISNUMBER(J108), (J108 - $B108) / $B108, "")</f>
        <v>9.0090090090090089E-3</v>
      </c>
      <c r="L108" s="16">
        <f>IF(ISNUMBER(J108), $B118 * K108, "")</f>
        <v>1351.3513513513512</v>
      </c>
      <c r="M108" s="29">
        <v>111</v>
      </c>
      <c r="N108" s="14">
        <f>IF(ISNUMBER(M108), (M108 - $B108) / $B108, "")</f>
        <v>0</v>
      </c>
      <c r="O108" s="16">
        <f>IF(ISNUMBER(M108), $B118 * N108, "")</f>
        <v>0</v>
      </c>
      <c r="Q108" s="173"/>
      <c r="R108" s="174"/>
      <c r="S108" s="175"/>
    </row>
    <row r="109" spans="1:19" ht="17.25" thickBot="1">
      <c r="A109" s="109" t="s">
        <v>77</v>
      </c>
      <c r="B109" s="110">
        <v>140450</v>
      </c>
      <c r="C109" s="70">
        <v>-9.8695805000000008E-3</v>
      </c>
      <c r="D109" s="15">
        <v>138450</v>
      </c>
      <c r="E109" s="32">
        <f t="shared" ref="E109:E112" si="54">IF(ISNUMBER(D109), (D109 - $B109) / $B109, "")</f>
        <v>-1.423994304022784E-2</v>
      </c>
      <c r="F109" s="18">
        <f>IF(ISNUMBER(D109), $B118 * E109, "")</f>
        <v>-2135.9914560341758</v>
      </c>
      <c r="G109" s="31">
        <v>145600</v>
      </c>
      <c r="H109" s="32">
        <f t="shared" ref="H109:H112" si="55">IF(ISNUMBER(G109), (G109 - $B109) / $B109, "")</f>
        <v>3.6667853328586686E-2</v>
      </c>
      <c r="I109" s="91">
        <f>IF(ISNUMBER(G109), $B118 * H109, "")</f>
        <v>5500.1779992880029</v>
      </c>
      <c r="J109" s="15">
        <v>145600</v>
      </c>
      <c r="K109" s="32">
        <f t="shared" ref="K109:K112" si="56">IF(ISNUMBER(J109), (J109 - $B109) / $B109, "")</f>
        <v>3.6667853328586686E-2</v>
      </c>
      <c r="L109" s="18">
        <f>IF(ISNUMBER(J109), $B118 * K109, "")</f>
        <v>5500.1779992880029</v>
      </c>
      <c r="M109" s="31">
        <v>144000</v>
      </c>
      <c r="N109" s="32">
        <f t="shared" ref="N109:N112" si="57">IF(ISNUMBER(M109), (M109 - $B109) / $B109, "")</f>
        <v>2.5275898896404414E-2</v>
      </c>
      <c r="O109" s="18">
        <f>IF(ISNUMBER(M109), $B118 * N109, "")</f>
        <v>3791.3848344606622</v>
      </c>
      <c r="Q109" s="176"/>
      <c r="R109" s="177"/>
      <c r="S109" s="178"/>
    </row>
    <row r="110" spans="1:19" ht="17.25" thickBot="1">
      <c r="A110" s="109" t="s">
        <v>322</v>
      </c>
      <c r="B110" s="110">
        <v>78570</v>
      </c>
      <c r="C110" s="70">
        <v>-1.18224123E-2</v>
      </c>
      <c r="D110" s="15">
        <v>77750</v>
      </c>
      <c r="E110" s="32">
        <f t="shared" si="54"/>
        <v>-1.0436553391879853E-2</v>
      </c>
      <c r="F110" s="18">
        <f>IF(ISNUMBER(D110), $B118 * E110, "")</f>
        <v>-1565.483008781978</v>
      </c>
      <c r="G110" s="31">
        <v>83150</v>
      </c>
      <c r="H110" s="32">
        <f t="shared" si="55"/>
        <v>5.8291968944889909E-2</v>
      </c>
      <c r="I110" s="91">
        <f>IF(ISNUMBER(G110), $B118 * H110, "")</f>
        <v>8743.7953417334866</v>
      </c>
      <c r="J110" s="15">
        <v>83150</v>
      </c>
      <c r="K110" s="32">
        <f t="shared" si="56"/>
        <v>5.8291968944889909E-2</v>
      </c>
      <c r="L110" s="18">
        <f>IF(ISNUMBER(J110), $B118 * K110, "")</f>
        <v>8743.7953417334866</v>
      </c>
      <c r="M110" s="31">
        <v>82160</v>
      </c>
      <c r="N110" s="32">
        <f t="shared" si="57"/>
        <v>4.5691739849815449E-2</v>
      </c>
      <c r="O110" s="18">
        <f>IF(ISNUMBER(M110), $B118 * N110, "")</f>
        <v>6853.7609774723178</v>
      </c>
      <c r="Q110" s="161"/>
      <c r="R110" s="161"/>
      <c r="S110" s="161"/>
    </row>
    <row r="111" spans="1:19" ht="17.25" thickBot="1">
      <c r="A111" s="109" t="s">
        <v>93</v>
      </c>
      <c r="B111" s="110">
        <v>1663000</v>
      </c>
      <c r="C111" s="70">
        <v>-1.21770122E-2</v>
      </c>
      <c r="D111" s="15">
        <v>1669500</v>
      </c>
      <c r="E111" s="32">
        <f t="shared" si="54"/>
        <v>3.9085989176187615E-3</v>
      </c>
      <c r="F111" s="18">
        <f>IF(ISNUMBER(D111), $B118 * E111, "")</f>
        <v>586.28983764281418</v>
      </c>
      <c r="G111" s="31">
        <v>1759000</v>
      </c>
      <c r="H111" s="32">
        <f t="shared" si="55"/>
        <v>5.7726999398677092E-2</v>
      </c>
      <c r="I111" s="91">
        <f>IF(ISNUMBER(G111), $B118 * H111, "")</f>
        <v>8659.0499098015644</v>
      </c>
      <c r="J111" s="15">
        <v>1759000</v>
      </c>
      <c r="K111" s="32">
        <f t="shared" si="56"/>
        <v>5.7726999398677092E-2</v>
      </c>
      <c r="L111" s="18">
        <f>IF(ISNUMBER(J111), $B118 * K111, "")</f>
        <v>8659.0499098015644</v>
      </c>
      <c r="M111" s="31">
        <v>1743000</v>
      </c>
      <c r="N111" s="32">
        <f t="shared" si="57"/>
        <v>4.810583283223091E-2</v>
      </c>
      <c r="O111" s="18">
        <f>IF(ISNUMBER(M111), $B118 * N111, "")</f>
        <v>7215.8749248346367</v>
      </c>
      <c r="Q111" s="156"/>
      <c r="R111" s="156"/>
      <c r="S111" s="156"/>
    </row>
    <row r="112" spans="1:19" ht="17.25" thickBot="1">
      <c r="A112" s="111" t="s">
        <v>81</v>
      </c>
      <c r="B112" s="112">
        <v>405</v>
      </c>
      <c r="C112" s="71">
        <v>-1.2195121999999999E-2</v>
      </c>
      <c r="D112" s="20">
        <v>399</v>
      </c>
      <c r="E112" s="21">
        <f t="shared" si="54"/>
        <v>-1.4814814814814815E-2</v>
      </c>
      <c r="F112" s="22">
        <f>IF(ISNUMBER(D112), $B118 * E112, "")</f>
        <v>-2222.2222222222222</v>
      </c>
      <c r="G112" s="30">
        <v>416</v>
      </c>
      <c r="H112" s="21">
        <f t="shared" si="55"/>
        <v>2.7160493827160494E-2</v>
      </c>
      <c r="I112" s="95">
        <f>IF(ISNUMBER(G112), $B118 * H112, "")</f>
        <v>4074.0740740740739</v>
      </c>
      <c r="J112" s="20">
        <v>416</v>
      </c>
      <c r="K112" s="21">
        <f t="shared" si="56"/>
        <v>2.7160493827160494E-2</v>
      </c>
      <c r="L112" s="22">
        <f>IF(ISNUMBER(J112), $B118 * K112, "")</f>
        <v>4074.0740740740739</v>
      </c>
      <c r="M112" s="30">
        <v>411</v>
      </c>
      <c r="N112" s="21">
        <f t="shared" si="57"/>
        <v>1.4814814814814815E-2</v>
      </c>
      <c r="O112" s="22">
        <f>IF(ISNUMBER(M112), $B118 * N112, "")</f>
        <v>2222.2222222222222</v>
      </c>
      <c r="Q112" s="156"/>
      <c r="R112" s="156"/>
      <c r="S112" s="156"/>
    </row>
    <row r="113" spans="1:19" ht="17.25" thickBot="1">
      <c r="A113" s="109" t="s">
        <v>128</v>
      </c>
      <c r="B113" s="113">
        <v>6815</v>
      </c>
      <c r="C113" s="73">
        <v>-1.23188406E-2</v>
      </c>
      <c r="D113" s="96">
        <v>6675</v>
      </c>
      <c r="E113" s="97">
        <f>IF(ISNUMBER(D113), (D113 - $B113) / $B113, "")</f>
        <v>-2.0542920029347028E-2</v>
      </c>
      <c r="F113" s="98">
        <f>IF(ISNUMBER(D113), $B118 * E113, "")</f>
        <v>-3081.438004402054</v>
      </c>
      <c r="G113" s="99">
        <v>6995</v>
      </c>
      <c r="H113" s="97">
        <f>IF(ISNUMBER(G113), (G113 - $B113) / $B113, "")</f>
        <v>2.6412325752017608E-2</v>
      </c>
      <c r="I113" s="100">
        <f>IF(ISNUMBER(G113), $B118 * H113, "")</f>
        <v>3961.8488628026412</v>
      </c>
      <c r="J113" s="96">
        <v>6995</v>
      </c>
      <c r="K113" s="97">
        <f>IF(ISNUMBER(J113), (J113 - $B113) / $B113, "")</f>
        <v>2.6412325752017608E-2</v>
      </c>
      <c r="L113" s="98">
        <f>IF(ISNUMBER(J113), $B118 * K113, "")</f>
        <v>3961.8488628026412</v>
      </c>
      <c r="M113" s="99">
        <v>6925</v>
      </c>
      <c r="N113" s="97">
        <f>IF(ISNUMBER(M113), (M113 - $B113) / $B113, "")</f>
        <v>1.6140865737344093E-2</v>
      </c>
      <c r="O113" s="98">
        <f>IF(ISNUMBER(M113), $B118 * N113, "")</f>
        <v>2421.1298606016139</v>
      </c>
      <c r="Q113" s="161"/>
      <c r="R113" s="161"/>
      <c r="S113" s="161"/>
    </row>
    <row r="114" spans="1:19" ht="17.25" thickBot="1">
      <c r="A114" s="109" t="s">
        <v>141</v>
      </c>
      <c r="B114" s="110">
        <v>3.39</v>
      </c>
      <c r="C114" s="70">
        <v>-1.4534883700000001E-2</v>
      </c>
      <c r="D114" s="15">
        <v>3.35</v>
      </c>
      <c r="E114" s="32">
        <f t="shared" ref="E114:E117" si="58">IF(ISNUMBER(D114), (D114 - $B114) / $B114, "")</f>
        <v>-1.1799410029498535E-2</v>
      </c>
      <c r="F114" s="18">
        <f>IF(ISNUMBER(D114), $B118 * E114, "")</f>
        <v>-1769.9115044247803</v>
      </c>
      <c r="G114" s="31">
        <v>4.0599999999999996</v>
      </c>
      <c r="H114" s="32">
        <f t="shared" ref="H114:H117" si="59">IF(ISNUMBER(G114), (G114 - $B114) / $B114, "")</f>
        <v>0.19764011799410014</v>
      </c>
      <c r="I114" s="91">
        <f>IF(ISNUMBER(G114), $B118 * H114, "")</f>
        <v>29646.017699115022</v>
      </c>
      <c r="J114" s="15">
        <v>4.0599999999999996</v>
      </c>
      <c r="K114" s="32">
        <f t="shared" ref="K114:K117" si="60">IF(ISNUMBER(J114), (J114 - $B114) / $B114, "")</f>
        <v>0.19764011799410014</v>
      </c>
      <c r="L114" s="18">
        <f>IF(ISNUMBER(J114), $B118 * K114, "")</f>
        <v>29646.017699115022</v>
      </c>
      <c r="M114" s="31">
        <v>4.07</v>
      </c>
      <c r="N114" s="32">
        <f t="shared" ref="N114:N117" si="61">IF(ISNUMBER(M114), (M114 - $B114) / $B114, "")</f>
        <v>0.20058997050147498</v>
      </c>
      <c r="O114" s="18">
        <f>IF(ISNUMBER(M114), $B118 * N114, "")</f>
        <v>30088.495575221248</v>
      </c>
      <c r="Q114" s="161"/>
      <c r="R114" s="161"/>
      <c r="S114" s="161"/>
    </row>
    <row r="115" spans="1:19" ht="17.25" thickBot="1">
      <c r="A115" s="109" t="s">
        <v>324</v>
      </c>
      <c r="B115" s="110">
        <v>1175</v>
      </c>
      <c r="C115" s="70">
        <v>-1.67364017E-2</v>
      </c>
      <c r="D115" s="15">
        <v>1170</v>
      </c>
      <c r="E115" s="32">
        <f t="shared" si="58"/>
        <v>-4.2553191489361703E-3</v>
      </c>
      <c r="F115" s="18">
        <f>IF(ISNUMBER(D115), $B118 * E115, "")</f>
        <v>-638.29787234042556</v>
      </c>
      <c r="G115" s="31">
        <v>1230</v>
      </c>
      <c r="H115" s="32">
        <f t="shared" si="59"/>
        <v>4.6808510638297871E-2</v>
      </c>
      <c r="I115" s="91">
        <f>IF(ISNUMBER(G115), $B118 * H115, "")</f>
        <v>7021.2765957446809</v>
      </c>
      <c r="J115" s="15">
        <v>1230</v>
      </c>
      <c r="K115" s="32">
        <f t="shared" si="60"/>
        <v>4.6808510638297871E-2</v>
      </c>
      <c r="L115" s="18">
        <f>IF(ISNUMBER(J115), $B118 * K115, "")</f>
        <v>7021.2765957446809</v>
      </c>
      <c r="M115" s="31">
        <v>1225</v>
      </c>
      <c r="N115" s="32">
        <f t="shared" si="61"/>
        <v>4.2553191489361701E-2</v>
      </c>
      <c r="O115" s="18">
        <f>IF(ISNUMBER(M115), $B118 * N115, "")</f>
        <v>6382.9787234042551</v>
      </c>
      <c r="Q115" s="161"/>
      <c r="R115" s="161"/>
      <c r="S115" s="161"/>
    </row>
    <row r="116" spans="1:19">
      <c r="A116" s="109" t="s">
        <v>89</v>
      </c>
      <c r="B116" s="110">
        <v>499</v>
      </c>
      <c r="C116" s="70">
        <v>-1.77165354E-2</v>
      </c>
      <c r="D116" s="15">
        <v>505</v>
      </c>
      <c r="E116" s="32">
        <f t="shared" si="58"/>
        <v>1.2024048096192385E-2</v>
      </c>
      <c r="F116" s="18">
        <f>IF(ISNUMBER(D116), $B118 * E116, "")</f>
        <v>1803.6072144288578</v>
      </c>
      <c r="G116" s="31">
        <v>517</v>
      </c>
      <c r="H116" s="32">
        <f t="shared" si="59"/>
        <v>3.6072144288577156E-2</v>
      </c>
      <c r="I116" s="91">
        <f>IF(ISNUMBER(G116), $B118 * H116, "")</f>
        <v>5410.8216432865729</v>
      </c>
      <c r="J116" s="15">
        <v>517</v>
      </c>
      <c r="K116" s="32">
        <f t="shared" si="60"/>
        <v>3.6072144288577156E-2</v>
      </c>
      <c r="L116" s="18">
        <f>IF(ISNUMBER(J116), $B118 * K116, "")</f>
        <v>5410.8216432865729</v>
      </c>
      <c r="M116" s="31">
        <v>514</v>
      </c>
      <c r="N116" s="32">
        <f t="shared" si="61"/>
        <v>3.0060120240480961E-2</v>
      </c>
      <c r="O116" s="18">
        <f>IF(ISNUMBER(M116), $B118 * N116, "")</f>
        <v>4509.0180360721442</v>
      </c>
      <c r="Q116" s="183"/>
      <c r="R116" s="184"/>
      <c r="S116" s="185"/>
    </row>
    <row r="117" spans="1:19" ht="17.25" thickBot="1">
      <c r="A117" s="114" t="s">
        <v>75</v>
      </c>
      <c r="B117" s="115">
        <v>8770</v>
      </c>
      <c r="C117" s="72">
        <v>-1.901566E-2</v>
      </c>
      <c r="D117" s="24">
        <v>8630</v>
      </c>
      <c r="E117" s="25">
        <f t="shared" si="58"/>
        <v>-1.596351197263398E-2</v>
      </c>
      <c r="F117" s="94">
        <f>IF(ISNUMBER(D117), $B118 * E117, "")</f>
        <v>-2394.5267958950972</v>
      </c>
      <c r="G117" s="92">
        <v>9210</v>
      </c>
      <c r="H117" s="25">
        <f t="shared" si="59"/>
        <v>5.0171037628278223E-2</v>
      </c>
      <c r="I117" s="93">
        <f>IF(ISNUMBER(G117), $B118 * H117, "")</f>
        <v>7525.6556442417332</v>
      </c>
      <c r="J117" s="24">
        <v>9210</v>
      </c>
      <c r="K117" s="25">
        <f t="shared" si="60"/>
        <v>5.0171037628278223E-2</v>
      </c>
      <c r="L117" s="94">
        <f>IF(ISNUMBER(J117), $B118 * K117, "")</f>
        <v>7525.6556442417332</v>
      </c>
      <c r="M117" s="92">
        <v>9120</v>
      </c>
      <c r="N117" s="25">
        <f t="shared" si="61"/>
        <v>3.9908779931584946E-2</v>
      </c>
      <c r="O117" s="94">
        <f>IF(ISNUMBER(M117), $B118 * N117, "")</f>
        <v>5986.316989737742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-9.7518940004382819E-3</v>
      </c>
      <c r="F118" s="28">
        <f>SUM(F98:F117)</f>
        <v>-29255.682001314854</v>
      </c>
      <c r="G118" s="26" t="s">
        <v>261</v>
      </c>
      <c r="H118" s="27">
        <f>IF(COUNT(H98:H117), SUM(H98:H117) / COUNT(H98:H117), 0)</f>
        <v>3.164859556314132E-2</v>
      </c>
      <c r="I118" s="28">
        <f>SUM(I98:I117)</f>
        <v>94945.786689423956</v>
      </c>
      <c r="J118" s="26" t="s">
        <v>261</v>
      </c>
      <c r="K118" s="27">
        <f>IF(COUNT(K98:K117), SUM(K98:K117) / COUNT(K98:K117), 0)</f>
        <v>3.164859556314132E-2</v>
      </c>
      <c r="L118" s="28">
        <f>SUM(L98:L117)</f>
        <v>94945.786689423956</v>
      </c>
      <c r="M118" s="26" t="s">
        <v>261</v>
      </c>
      <c r="N118" s="27">
        <f>IF(COUNT(N98:N117), SUM(N98:N117) / COUNT(N98:N117), 0)</f>
        <v>2.3731260402726485E-2</v>
      </c>
      <c r="O118" s="28">
        <f>SUM(O98:O117)</f>
        <v>71193.781208179455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2022-12-13(화) 오전 00:00</v>
      </c>
      <c r="C123" s="199"/>
      <c r="D123" s="158" t="str">
        <f>TEXT($G$1, "[$-ko-KR]yyyy-mm-dd(ddd) ") &amp; "오후 14:00"</f>
        <v>2022-12-13(화) 오후 14:00</v>
      </c>
      <c r="E123" s="159"/>
      <c r="F123" s="160"/>
      <c r="G123" s="158" t="str">
        <f>TEXT($G$1, "[$-ko-KR]yyyy-mm-dd(ddd) ") &amp; "오후 19:00"</f>
        <v>2022-12-13(화) 오후 19:00</v>
      </c>
      <c r="H123" s="159"/>
      <c r="I123" s="160"/>
      <c r="J123" s="158" t="str">
        <f>TEXT($G$1, "[$-ko-KR]yyyy-mm-dd(ddd) ") &amp; "오후 21:00"</f>
        <v>2022-12-13(화) 오후 21:00</v>
      </c>
      <c r="K123" s="159"/>
      <c r="L123" s="160"/>
      <c r="M123" s="158" t="str">
        <f>TEXT($G$1+1, "[$-ko-KR]yyyy-mm-dd(ddd) ") &amp; "오전 00:00"</f>
        <v>2022-12-14(수)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195</v>
      </c>
      <c r="B125" s="108">
        <v>6.52</v>
      </c>
      <c r="C125" s="69">
        <v>-3.12035661E-2</v>
      </c>
      <c r="D125" s="13">
        <v>6.43</v>
      </c>
      <c r="E125" s="14">
        <f>IF(ISNUMBER(D125), (D125 - $B125) / $B125, "")</f>
        <v>-1.3803680981595071E-2</v>
      </c>
      <c r="F125" s="16">
        <f>IF(ISNUMBER(D125), $B145 * E125, "")</f>
        <v>-2070.5521472392606</v>
      </c>
      <c r="G125" s="29">
        <v>6.66</v>
      </c>
      <c r="H125" s="14">
        <f>IF(ISNUMBER(G125), (G125 - $B125) / $B125, "")</f>
        <v>2.1472392638036897E-2</v>
      </c>
      <c r="I125" s="90">
        <f>IF(ISNUMBER(G125), $B145 * H125, "")</f>
        <v>3220.8588957055345</v>
      </c>
      <c r="J125" s="13">
        <v>6.66</v>
      </c>
      <c r="K125" s="14">
        <f>IF(ISNUMBER(J125), (J125 - $B125) / $B125, "")</f>
        <v>2.1472392638036897E-2</v>
      </c>
      <c r="L125" s="16">
        <f>IF(ISNUMBER(J125), $B145 * K125, "")</f>
        <v>3220.8588957055345</v>
      </c>
      <c r="M125" s="29">
        <v>6.64</v>
      </c>
      <c r="N125" s="14">
        <f>IF(ISNUMBER(M125), (M125 - $B125) / $B125, "")</f>
        <v>1.8404907975460141E-2</v>
      </c>
      <c r="O125" s="16">
        <f>IF(ISNUMBER(M125), $B145 * N125, "")</f>
        <v>2760.736196319021</v>
      </c>
      <c r="Q125" s="156"/>
      <c r="R125" s="156"/>
      <c r="S125" s="156"/>
    </row>
    <row r="126" spans="1:19" ht="17.25" thickBot="1">
      <c r="A126" s="109" t="s">
        <v>64</v>
      </c>
      <c r="B126" s="110">
        <v>10.9</v>
      </c>
      <c r="C126" s="70">
        <v>-3.5398230099999997E-2</v>
      </c>
      <c r="D126" s="15">
        <v>10.5</v>
      </c>
      <c r="E126" s="32">
        <f t="shared" ref="E126:E129" si="62">IF(ISNUMBER(D126), (D126 - $B126) / $B126, "")</f>
        <v>-3.6697247706422048E-2</v>
      </c>
      <c r="F126" s="18">
        <f>IF(ISNUMBER(D126), $B145 * E126, "")</f>
        <v>-5504.5871559633069</v>
      </c>
      <c r="G126" s="31">
        <v>11</v>
      </c>
      <c r="H126" s="32">
        <f t="shared" ref="H126:H129" si="63">IF(ISNUMBER(G126), (G126 - $B126) / $B126, "")</f>
        <v>9.1743119266054721E-3</v>
      </c>
      <c r="I126" s="91">
        <f>IF(ISNUMBER(G126), $B145 * H126, "")</f>
        <v>1376.1467889908208</v>
      </c>
      <c r="J126" s="15">
        <v>11</v>
      </c>
      <c r="K126" s="32">
        <f t="shared" ref="K126:K129" si="64">IF(ISNUMBER(J126), (J126 - $B126) / $B126, "")</f>
        <v>9.1743119266054721E-3</v>
      </c>
      <c r="L126" s="18">
        <f>IF(ISNUMBER(J126), $B145 * K126, "")</f>
        <v>1376.1467889908208</v>
      </c>
      <c r="M126" s="31">
        <v>10.8</v>
      </c>
      <c r="N126" s="32">
        <f t="shared" ref="N126:N129" si="65">IF(ISNUMBER(M126), (M126 - $B126) / $B126, "")</f>
        <v>-9.1743119266054721E-3</v>
      </c>
      <c r="O126" s="18">
        <f>IF(ISNUMBER(M126), $B145 * N126, "")</f>
        <v>-1376.1467889908208</v>
      </c>
      <c r="Q126" s="156"/>
      <c r="R126" s="156"/>
      <c r="S126" s="156"/>
    </row>
    <row r="127" spans="1:19" ht="17.25" thickBot="1">
      <c r="A127" s="109" t="s">
        <v>138</v>
      </c>
      <c r="B127" s="110">
        <v>27.1</v>
      </c>
      <c r="C127" s="70">
        <v>-3.55871886E-2</v>
      </c>
      <c r="D127" s="15">
        <v>26.4</v>
      </c>
      <c r="E127" s="32">
        <f t="shared" si="62"/>
        <v>-2.583025830258313E-2</v>
      </c>
      <c r="F127" s="18">
        <f>IF(ISNUMBER(D127), $B145 * E127, "")</f>
        <v>-3874.5387453874696</v>
      </c>
      <c r="G127" s="31">
        <v>27.7</v>
      </c>
      <c r="H127" s="32">
        <f t="shared" si="63"/>
        <v>2.2140221402213941E-2</v>
      </c>
      <c r="I127" s="91">
        <f>IF(ISNUMBER(G127), $B145 * H127, "")</f>
        <v>3321.0332103320911</v>
      </c>
      <c r="J127" s="15">
        <v>27.7</v>
      </c>
      <c r="K127" s="32">
        <f t="shared" si="64"/>
        <v>2.2140221402213941E-2</v>
      </c>
      <c r="L127" s="18">
        <f>IF(ISNUMBER(J127), $B145 * K127, "")</f>
        <v>3321.0332103320911</v>
      </c>
      <c r="M127" s="31">
        <v>27.4</v>
      </c>
      <c r="N127" s="32">
        <f t="shared" si="65"/>
        <v>1.1070110701106906E-2</v>
      </c>
      <c r="O127" s="18">
        <f>IF(ISNUMBER(M127), $B145 * N127, "")</f>
        <v>1660.516605166036</v>
      </c>
      <c r="Q127" s="161"/>
      <c r="R127" s="161"/>
      <c r="S127" s="161"/>
    </row>
    <row r="128" spans="1:19" ht="17.25" thickBot="1">
      <c r="A128" s="109" t="s">
        <v>228</v>
      </c>
      <c r="B128" s="110">
        <v>62.7</v>
      </c>
      <c r="C128" s="70">
        <v>-3.68663594E-2</v>
      </c>
      <c r="D128" s="15">
        <v>61.8</v>
      </c>
      <c r="E128" s="32">
        <f t="shared" si="62"/>
        <v>-1.4354066985646024E-2</v>
      </c>
      <c r="F128" s="18">
        <f>IF(ISNUMBER(D128), $B145 * E128, "")</f>
        <v>-2153.1100478469034</v>
      </c>
      <c r="G128" s="31">
        <v>64.5</v>
      </c>
      <c r="H128" s="32">
        <f t="shared" si="63"/>
        <v>2.8708133971291818E-2</v>
      </c>
      <c r="I128" s="91">
        <f>IF(ISNUMBER(G128), $B145 * H128, "")</f>
        <v>4306.2200956937731</v>
      </c>
      <c r="J128" s="15">
        <v>64.5</v>
      </c>
      <c r="K128" s="32">
        <f t="shared" si="64"/>
        <v>2.8708133971291818E-2</v>
      </c>
      <c r="L128" s="18">
        <f>IF(ISNUMBER(J128), $B145 * K128, "")</f>
        <v>4306.2200956937731</v>
      </c>
      <c r="M128" s="31">
        <v>63.9</v>
      </c>
      <c r="N128" s="32">
        <f t="shared" si="65"/>
        <v>1.9138755980861174E-2</v>
      </c>
      <c r="O128" s="18">
        <f>IF(ISNUMBER(M128), $B145 * N128, "")</f>
        <v>2870.8133971291759</v>
      </c>
      <c r="Q128" s="161"/>
      <c r="R128" s="161"/>
      <c r="S128" s="161"/>
    </row>
    <row r="129" spans="1:19" ht="17.25" thickBot="1">
      <c r="A129" s="111" t="s">
        <v>185</v>
      </c>
      <c r="B129" s="112">
        <v>31.1</v>
      </c>
      <c r="C129" s="71">
        <v>-3.7151702799999999E-2</v>
      </c>
      <c r="D129" s="20">
        <v>30.4</v>
      </c>
      <c r="E129" s="21">
        <f t="shared" si="62"/>
        <v>-2.2508038585209094E-2</v>
      </c>
      <c r="F129" s="22">
        <f>IF(ISNUMBER(D129), $B145 * E129, "")</f>
        <v>-3376.2057877813641</v>
      </c>
      <c r="G129" s="30">
        <v>31.7</v>
      </c>
      <c r="H129" s="21">
        <f t="shared" si="63"/>
        <v>1.9292604501607649E-2</v>
      </c>
      <c r="I129" s="95">
        <f>IF(ISNUMBER(G129), $B145 * H129, "")</f>
        <v>2893.8906752411472</v>
      </c>
      <c r="J129" s="20">
        <v>31.7</v>
      </c>
      <c r="K129" s="21">
        <f t="shared" si="64"/>
        <v>1.9292604501607649E-2</v>
      </c>
      <c r="L129" s="22">
        <f>IF(ISNUMBER(J129), $B145 * K129, "")</f>
        <v>2893.8906752411472</v>
      </c>
      <c r="M129" s="30">
        <v>31.9</v>
      </c>
      <c r="N129" s="21">
        <f t="shared" si="65"/>
        <v>2.5723472668810195E-2</v>
      </c>
      <c r="O129" s="22">
        <f>IF(ISNUMBER(M129), $B145 * N129, "")</f>
        <v>3858.5209003215291</v>
      </c>
      <c r="Q129" s="161"/>
      <c r="R129" s="161"/>
      <c r="S129" s="161"/>
    </row>
    <row r="130" spans="1:19" ht="17.25" thickBot="1">
      <c r="A130" s="109" t="s">
        <v>220</v>
      </c>
      <c r="B130" s="113">
        <v>74.099999999999994</v>
      </c>
      <c r="C130" s="73">
        <v>-3.76623377E-2</v>
      </c>
      <c r="D130" s="96">
        <v>72.8</v>
      </c>
      <c r="E130" s="97">
        <f>IF(ISNUMBER(D130), (D130 - $B130) / $B130, "")</f>
        <v>-1.7543859649122771E-2</v>
      </c>
      <c r="F130" s="98">
        <f>IF(ISNUMBER(D130), $B145 * E130, "")</f>
        <v>-2631.5789473684158</v>
      </c>
      <c r="G130" s="99">
        <v>75.599999999999994</v>
      </c>
      <c r="H130" s="97">
        <f>IF(ISNUMBER(G130), (G130 - $B130) / $B130, "")</f>
        <v>2.0242914979757085E-2</v>
      </c>
      <c r="I130" s="100">
        <f>IF(ISNUMBER(G130), $B145 * H130, "")</f>
        <v>3036.4372469635628</v>
      </c>
      <c r="J130" s="96">
        <v>75.599999999999994</v>
      </c>
      <c r="K130" s="97">
        <f>IF(ISNUMBER(J130), (J130 - $B130) / $B130, "")</f>
        <v>2.0242914979757085E-2</v>
      </c>
      <c r="L130" s="98">
        <f>IF(ISNUMBER(J130), $B145 * K130, "")</f>
        <v>3036.4372469635628</v>
      </c>
      <c r="M130" s="99">
        <v>75</v>
      </c>
      <c r="N130" s="97">
        <f>IF(ISNUMBER(M130), (M130 - $B130) / $B130, "")</f>
        <v>1.2145748987854329E-2</v>
      </c>
      <c r="O130" s="98">
        <f>IF(ISNUMBER(M130), $B145 * N130, "")</f>
        <v>1821.8623481781494</v>
      </c>
      <c r="Q130" s="161"/>
      <c r="R130" s="161"/>
      <c r="S130" s="161"/>
    </row>
    <row r="131" spans="1:19" ht="17.25" thickBot="1">
      <c r="A131" s="109" t="s">
        <v>224</v>
      </c>
      <c r="B131" s="110">
        <v>20.3</v>
      </c>
      <c r="C131" s="70">
        <v>-3.7914691899999999E-2</v>
      </c>
      <c r="D131" s="15">
        <v>20</v>
      </c>
      <c r="E131" s="32">
        <f t="shared" ref="E131:E134" si="66">IF(ISNUMBER(D131), (D131 - $B131) / $B131, "")</f>
        <v>-1.4778325123152743E-2</v>
      </c>
      <c r="F131" s="18">
        <f>IF(ISNUMBER(D131), $B145 * E131, "")</f>
        <v>-2216.7487684729117</v>
      </c>
      <c r="G131" s="31">
        <v>20.8</v>
      </c>
      <c r="H131" s="32">
        <f t="shared" ref="H131:H134" si="67">IF(ISNUMBER(G131), (G131 - $B131) / $B131, "")</f>
        <v>2.463054187192118E-2</v>
      </c>
      <c r="I131" s="91">
        <f>IF(ISNUMBER(G131), $B145 * H131, "")</f>
        <v>3694.5812807881771</v>
      </c>
      <c r="J131" s="15">
        <v>20.8</v>
      </c>
      <c r="K131" s="32">
        <f t="shared" ref="K131:K134" si="68">IF(ISNUMBER(J131), (J131 - $B131) / $B131, "")</f>
        <v>2.463054187192118E-2</v>
      </c>
      <c r="L131" s="18">
        <f>IF(ISNUMBER(J131), $B145 * K131, "")</f>
        <v>3694.5812807881771</v>
      </c>
      <c r="M131" s="31">
        <v>20.9</v>
      </c>
      <c r="N131" s="32">
        <f t="shared" ref="N131:N134" si="69">IF(ISNUMBER(M131), (M131 - $B131) / $B131, "")</f>
        <v>2.9556650246305313E-2</v>
      </c>
      <c r="O131" s="18">
        <f>IF(ISNUMBER(M131), $B145 * N131, "")</f>
        <v>4433.497536945797</v>
      </c>
      <c r="Q131" s="161"/>
      <c r="R131" s="161"/>
      <c r="S131" s="161"/>
    </row>
    <row r="132" spans="1:19" ht="17.25" thickBot="1">
      <c r="A132" s="109" t="s">
        <v>230</v>
      </c>
      <c r="B132" s="110">
        <v>40.200000000000003</v>
      </c>
      <c r="C132" s="70">
        <v>-3.8277512E-2</v>
      </c>
      <c r="D132" s="15">
        <v>39.6</v>
      </c>
      <c r="E132" s="32">
        <f t="shared" si="66"/>
        <v>-1.4925373134328393E-2</v>
      </c>
      <c r="F132" s="18">
        <f>IF(ISNUMBER(D132), $B145 * E132, "")</f>
        <v>-2238.8059701492589</v>
      </c>
      <c r="G132" s="31">
        <v>41.3</v>
      </c>
      <c r="H132" s="32">
        <f t="shared" si="67"/>
        <v>2.7363184079601848E-2</v>
      </c>
      <c r="I132" s="91">
        <f>IF(ISNUMBER(G132), $B145 * H132, "")</f>
        <v>4104.4776119402768</v>
      </c>
      <c r="J132" s="15">
        <v>41.3</v>
      </c>
      <c r="K132" s="32">
        <f t="shared" si="68"/>
        <v>2.7363184079601848E-2</v>
      </c>
      <c r="L132" s="18">
        <f>IF(ISNUMBER(J132), $B145 * K132, "")</f>
        <v>4104.4776119402768</v>
      </c>
      <c r="M132" s="31">
        <v>41.2</v>
      </c>
      <c r="N132" s="32">
        <f t="shared" si="69"/>
        <v>2.4875621890547261E-2</v>
      </c>
      <c r="O132" s="18">
        <f>IF(ISNUMBER(M132), $B145 * N132, "")</f>
        <v>3731.343283582089</v>
      </c>
      <c r="Q132" s="161"/>
      <c r="R132" s="161"/>
      <c r="S132" s="161"/>
    </row>
    <row r="133" spans="1:19" ht="17.25" thickBot="1">
      <c r="A133" s="109" t="s">
        <v>118</v>
      </c>
      <c r="B133" s="110">
        <v>6.49</v>
      </c>
      <c r="C133" s="70">
        <v>-3.8518518500000001E-2</v>
      </c>
      <c r="D133" s="15">
        <v>6.36</v>
      </c>
      <c r="E133" s="32">
        <f t="shared" si="66"/>
        <v>-2.0030816640986115E-2</v>
      </c>
      <c r="F133" s="18">
        <f>IF(ISNUMBER(D133), $B145 * E133, "")</f>
        <v>-3004.622496147917</v>
      </c>
      <c r="G133" s="31">
        <v>6.68</v>
      </c>
      <c r="H133" s="32">
        <f t="shared" si="67"/>
        <v>2.9275808936825808E-2</v>
      </c>
      <c r="I133" s="91">
        <f>IF(ISNUMBER(G133), $B145 * H133, "")</f>
        <v>4391.3713405238714</v>
      </c>
      <c r="J133" s="15">
        <v>6.68</v>
      </c>
      <c r="K133" s="32">
        <f t="shared" si="68"/>
        <v>2.9275808936825808E-2</v>
      </c>
      <c r="L133" s="18">
        <f>IF(ISNUMBER(J133), $B145 * K133, "")</f>
        <v>4391.3713405238714</v>
      </c>
      <c r="M133" s="31">
        <v>6.66</v>
      </c>
      <c r="N133" s="32">
        <f t="shared" si="69"/>
        <v>2.6194144838212623E-2</v>
      </c>
      <c r="O133" s="18">
        <f>IF(ISNUMBER(M133), $B145 * N133, "")</f>
        <v>3929.1217257318935</v>
      </c>
      <c r="Q133" s="33"/>
      <c r="R133" s="33"/>
    </row>
    <row r="134" spans="1:19" ht="17.25" thickBot="1">
      <c r="A134" s="114" t="s">
        <v>124</v>
      </c>
      <c r="B134" s="115">
        <v>32.200000000000003</v>
      </c>
      <c r="C134" s="72">
        <v>-3.8805970100000003E-2</v>
      </c>
      <c r="D134" s="24">
        <v>31.7</v>
      </c>
      <c r="E134" s="25">
        <f t="shared" si="66"/>
        <v>-1.5527950310559115E-2</v>
      </c>
      <c r="F134" s="94">
        <f>IF(ISNUMBER(D134), $B145 * E134, "")</f>
        <v>-2329.1925465838672</v>
      </c>
      <c r="G134" s="92">
        <v>32.9</v>
      </c>
      <c r="H134" s="25">
        <f t="shared" si="67"/>
        <v>2.1739130434782473E-2</v>
      </c>
      <c r="I134" s="93">
        <f>IF(ISNUMBER(G134), $B145 * H134, "")</f>
        <v>3260.869565217371</v>
      </c>
      <c r="J134" s="24">
        <v>32.9</v>
      </c>
      <c r="K134" s="25">
        <f t="shared" si="68"/>
        <v>2.1739130434782473E-2</v>
      </c>
      <c r="L134" s="94">
        <f>IF(ISNUMBER(J134), $B145 * K134, "")</f>
        <v>3260.869565217371</v>
      </c>
      <c r="M134" s="92">
        <v>32.5</v>
      </c>
      <c r="N134" s="25">
        <f t="shared" si="69"/>
        <v>9.3167701863353155E-3</v>
      </c>
      <c r="O134" s="94">
        <f>IF(ISNUMBER(M134), $B145 * N134, "")</f>
        <v>1397.5155279502974</v>
      </c>
      <c r="Q134" s="170"/>
      <c r="R134" s="171"/>
      <c r="S134" s="172"/>
    </row>
    <row r="135" spans="1:19">
      <c r="A135" s="107" t="s">
        <v>210</v>
      </c>
      <c r="B135" s="108">
        <v>64.900000000000006</v>
      </c>
      <c r="C135" s="69">
        <v>-3.9940828400000003E-2</v>
      </c>
      <c r="D135" s="13">
        <v>63.9</v>
      </c>
      <c r="E135" s="14">
        <f>IF(ISNUMBER(D135), (D135 - $B135) / $B135, "")</f>
        <v>-1.5408320493066363E-2</v>
      </c>
      <c r="F135" s="16">
        <f>IF(ISNUMBER(D135), $B145 * E135, "")</f>
        <v>-2311.2480739599546</v>
      </c>
      <c r="G135" s="29">
        <v>67.3</v>
      </c>
      <c r="H135" s="14">
        <f>IF(ISNUMBER(G135), (G135 - $B135) / $B135, "")</f>
        <v>3.6979969183358878E-2</v>
      </c>
      <c r="I135" s="90">
        <f>IF(ISNUMBER(G135), $B145 * H135, "")</f>
        <v>5546.9953775038321</v>
      </c>
      <c r="J135" s="13">
        <v>67.3</v>
      </c>
      <c r="K135" s="14">
        <f>IF(ISNUMBER(J135), (J135 - $B135) / $B135, "")</f>
        <v>3.6979969183358878E-2</v>
      </c>
      <c r="L135" s="16">
        <f>IF(ISNUMBER(J135), $B145 * K135, "")</f>
        <v>5546.9953775038321</v>
      </c>
      <c r="M135" s="29">
        <v>65.900000000000006</v>
      </c>
      <c r="N135" s="14">
        <f>IF(ISNUMBER(M135), (M135 - $B135) / $B135, "")</f>
        <v>1.5408320493066254E-2</v>
      </c>
      <c r="O135" s="16">
        <f>IF(ISNUMBER(M135), $B145 * N135, "")</f>
        <v>2311.2480739599382</v>
      </c>
      <c r="Q135" s="173"/>
      <c r="R135" s="174"/>
      <c r="S135" s="175"/>
    </row>
    <row r="136" spans="1:19" ht="17.25" thickBot="1">
      <c r="A136" s="109" t="s">
        <v>212</v>
      </c>
      <c r="B136" s="110">
        <v>82.9</v>
      </c>
      <c r="C136" s="70">
        <v>-4.0509259300000003E-2</v>
      </c>
      <c r="D136" s="15">
        <v>81.3</v>
      </c>
      <c r="E136" s="32">
        <f t="shared" ref="E136:E139" si="70">IF(ISNUMBER(D136), (D136 - $B136) / $B136, "")</f>
        <v>-1.9300361881785386E-2</v>
      </c>
      <c r="F136" s="18">
        <f>IF(ISNUMBER(D136), $B145 * E136, "")</f>
        <v>-2895.054282267808</v>
      </c>
      <c r="G136" s="31">
        <v>84.6</v>
      </c>
      <c r="H136" s="32">
        <f t="shared" ref="H136:H139" si="71">IF(ISNUMBER(G136), (G136 - $B136) / $B136, "")</f>
        <v>2.0506634499396725E-2</v>
      </c>
      <c r="I136" s="91">
        <f>IF(ISNUMBER(G136), $B145 * H136, "")</f>
        <v>3075.9951749095085</v>
      </c>
      <c r="J136" s="15">
        <v>84.6</v>
      </c>
      <c r="K136" s="32">
        <f t="shared" ref="K136:K139" si="72">IF(ISNUMBER(J136), (J136 - $B136) / $B136, "")</f>
        <v>2.0506634499396725E-2</v>
      </c>
      <c r="L136" s="18">
        <f>IF(ISNUMBER(J136), $B145 * K136, "")</f>
        <v>3075.9951749095085</v>
      </c>
      <c r="M136" s="31">
        <v>84.7</v>
      </c>
      <c r="N136" s="32">
        <f t="shared" ref="N136:N139" si="73">IF(ISNUMBER(M136), (M136 - $B136) / $B136, "")</f>
        <v>2.1712907117008406E-2</v>
      </c>
      <c r="O136" s="18">
        <f>IF(ISNUMBER(M136), $B145 * N136, "")</f>
        <v>3256.9360675512607</v>
      </c>
      <c r="Q136" s="176"/>
      <c r="R136" s="177"/>
      <c r="S136" s="178"/>
    </row>
    <row r="137" spans="1:19" ht="17.25" thickBot="1">
      <c r="A137" s="109" t="s">
        <v>71</v>
      </c>
      <c r="B137" s="110">
        <v>11.4</v>
      </c>
      <c r="C137" s="70">
        <v>-4.2016806699999999E-2</v>
      </c>
      <c r="D137" s="15">
        <v>11.2</v>
      </c>
      <c r="E137" s="32">
        <f t="shared" si="70"/>
        <v>-1.75438596491229E-2</v>
      </c>
      <c r="F137" s="18">
        <f>IF(ISNUMBER(D137), $B145 * E137, "")</f>
        <v>-2631.5789473684349</v>
      </c>
      <c r="G137" s="31">
        <v>11.6</v>
      </c>
      <c r="H137" s="32">
        <f t="shared" si="71"/>
        <v>1.7543859649122744E-2</v>
      </c>
      <c r="I137" s="91">
        <f>IF(ISNUMBER(G137), $B145 * H137, "")</f>
        <v>2631.5789473684117</v>
      </c>
      <c r="J137" s="15">
        <v>11.6</v>
      </c>
      <c r="K137" s="32">
        <f t="shared" si="72"/>
        <v>1.7543859649122744E-2</v>
      </c>
      <c r="L137" s="18">
        <f>IF(ISNUMBER(J137), $B145 * K137, "")</f>
        <v>2631.5789473684117</v>
      </c>
      <c r="M137" s="31">
        <v>11.7</v>
      </c>
      <c r="N137" s="32">
        <f t="shared" si="73"/>
        <v>2.6315789473684115E-2</v>
      </c>
      <c r="O137" s="18">
        <f>IF(ISNUMBER(M137), $B145 * N137, "")</f>
        <v>3947.3684210526171</v>
      </c>
      <c r="Q137" s="161"/>
      <c r="R137" s="161"/>
      <c r="S137" s="161"/>
    </row>
    <row r="138" spans="1:19" ht="17.25" thickBot="1">
      <c r="A138" s="109" t="s">
        <v>132</v>
      </c>
      <c r="B138" s="110">
        <v>55.3</v>
      </c>
      <c r="C138" s="70">
        <v>-4.4905008599999997E-2</v>
      </c>
      <c r="D138" s="15">
        <v>53.7</v>
      </c>
      <c r="E138" s="32">
        <f t="shared" si="70"/>
        <v>-2.8933092224231363E-2</v>
      </c>
      <c r="F138" s="18">
        <f>IF(ISNUMBER(D138), $B145 * E138, "")</f>
        <v>-4339.9638336347043</v>
      </c>
      <c r="G138" s="31">
        <v>56.3</v>
      </c>
      <c r="H138" s="32">
        <f t="shared" si="71"/>
        <v>1.8083182640144666E-2</v>
      </c>
      <c r="I138" s="91">
        <f>IF(ISNUMBER(G138), $B145 * H138, "")</f>
        <v>2712.4773960216999</v>
      </c>
      <c r="J138" s="15">
        <v>56.3</v>
      </c>
      <c r="K138" s="32">
        <f t="shared" si="72"/>
        <v>1.8083182640144666E-2</v>
      </c>
      <c r="L138" s="18">
        <f>IF(ISNUMBER(J138), $B145 * K138, "")</f>
        <v>2712.4773960216999</v>
      </c>
      <c r="M138" s="31">
        <v>56.1</v>
      </c>
      <c r="N138" s="32">
        <f t="shared" si="73"/>
        <v>1.446654611211581E-2</v>
      </c>
      <c r="O138" s="18">
        <f>IF(ISNUMBER(M138), $B145 * N138, "")</f>
        <v>2169.9819168173717</v>
      </c>
      <c r="Q138" s="156"/>
      <c r="R138" s="156"/>
      <c r="S138" s="156"/>
    </row>
    <row r="139" spans="1:19" ht="17.25" thickBot="1">
      <c r="A139" s="111" t="s">
        <v>198</v>
      </c>
      <c r="B139" s="112">
        <v>8.73</v>
      </c>
      <c r="C139" s="71">
        <v>-4.5901639299999998E-2</v>
      </c>
      <c r="D139" s="20">
        <v>8.4700000000000006</v>
      </c>
      <c r="E139" s="21">
        <f t="shared" si="70"/>
        <v>-2.978235967926687E-2</v>
      </c>
      <c r="F139" s="22">
        <f>IF(ISNUMBER(D139), $B145 * E139, "")</f>
        <v>-4467.3539518900307</v>
      </c>
      <c r="G139" s="30">
        <v>8.76</v>
      </c>
      <c r="H139" s="21">
        <f t="shared" si="71"/>
        <v>3.4364261168384146E-3</v>
      </c>
      <c r="I139" s="95">
        <f>IF(ISNUMBER(G139), $B145 * H139, "")</f>
        <v>515.46391752576221</v>
      </c>
      <c r="J139" s="20">
        <v>8.76</v>
      </c>
      <c r="K139" s="21">
        <f t="shared" si="72"/>
        <v>3.4364261168384146E-3</v>
      </c>
      <c r="L139" s="22">
        <f>IF(ISNUMBER(J139), $B145 * K139, "")</f>
        <v>515.46391752576221</v>
      </c>
      <c r="M139" s="30">
        <v>8.7799999999999994</v>
      </c>
      <c r="N139" s="21">
        <f t="shared" si="73"/>
        <v>5.7273768613973573E-3</v>
      </c>
      <c r="O139" s="22">
        <f>IF(ISNUMBER(M139), $B145 * N139, "")</f>
        <v>859.10652920960354</v>
      </c>
      <c r="Q139" s="156"/>
      <c r="R139" s="156"/>
      <c r="S139" s="156"/>
    </row>
    <row r="140" spans="1:19" ht="17.25" thickBot="1">
      <c r="A140" s="109" t="s">
        <v>107</v>
      </c>
      <c r="B140" s="113">
        <v>39.5</v>
      </c>
      <c r="C140" s="73">
        <v>-4.8192771099999997E-2</v>
      </c>
      <c r="D140" s="96">
        <v>38.4</v>
      </c>
      <c r="E140" s="97">
        <f>IF(ISNUMBER(D140), (D140 - $B140) / $B140, "")</f>
        <v>-2.7848101265822822E-2</v>
      </c>
      <c r="F140" s="98">
        <f>IF(ISNUMBER(D140), $B145 * E140, "")</f>
        <v>-4177.2151898734237</v>
      </c>
      <c r="G140" s="99">
        <v>39.9</v>
      </c>
      <c r="H140" s="97">
        <f>IF(ISNUMBER(G140), (G140 - $B140) / $B140, "")</f>
        <v>1.0126582278480976E-2</v>
      </c>
      <c r="I140" s="100">
        <f>IF(ISNUMBER(G140), $B145 * H140, "")</f>
        <v>1518.9873417721465</v>
      </c>
      <c r="J140" s="96">
        <v>39.9</v>
      </c>
      <c r="K140" s="97">
        <f>IF(ISNUMBER(J140), (J140 - $B140) / $B140, "")</f>
        <v>1.0126582278480976E-2</v>
      </c>
      <c r="L140" s="98">
        <f>IF(ISNUMBER(J140), $B145 * K140, "")</f>
        <v>1518.9873417721465</v>
      </c>
      <c r="M140" s="99">
        <v>39.700000000000003</v>
      </c>
      <c r="N140" s="97">
        <f>IF(ISNUMBER(M140), (M140 - $B140) / $B140, "")</f>
        <v>5.0632911392405784E-3</v>
      </c>
      <c r="O140" s="98">
        <f>IF(ISNUMBER(M140), $B145 * N140, "")</f>
        <v>759.49367088608676</v>
      </c>
      <c r="Q140" s="161"/>
      <c r="R140" s="161"/>
      <c r="S140" s="161"/>
    </row>
    <row r="141" spans="1:19" ht="17.25" thickBot="1">
      <c r="A141" s="109" t="s">
        <v>244</v>
      </c>
      <c r="B141" s="110">
        <v>98</v>
      </c>
      <c r="C141" s="70">
        <v>-4.8543689299999998E-2</v>
      </c>
      <c r="D141" s="15">
        <v>95</v>
      </c>
      <c r="E141" s="32">
        <f t="shared" ref="E141:E144" si="74">IF(ISNUMBER(D141), (D141 - $B141) / $B141, "")</f>
        <v>-3.0612244897959183E-2</v>
      </c>
      <c r="F141" s="18">
        <f>IF(ISNUMBER(D141), $B145 * E141, "")</f>
        <v>-4591.8367346938776</v>
      </c>
      <c r="G141" s="31">
        <v>99.3</v>
      </c>
      <c r="H141" s="32">
        <f t="shared" ref="H141:H144" si="75">IF(ISNUMBER(G141), (G141 - $B141) / $B141, "")</f>
        <v>1.3265306122448951E-2</v>
      </c>
      <c r="I141" s="91">
        <f>IF(ISNUMBER(G141), $B145 * H141, "")</f>
        <v>1989.7959183673427</v>
      </c>
      <c r="J141" s="15">
        <v>99.3</v>
      </c>
      <c r="K141" s="32">
        <f t="shared" ref="K141:K144" si="76">IF(ISNUMBER(J141), (J141 - $B141) / $B141, "")</f>
        <v>1.3265306122448951E-2</v>
      </c>
      <c r="L141" s="18">
        <f>IF(ISNUMBER(J141), $B145 * K141, "")</f>
        <v>1989.7959183673427</v>
      </c>
      <c r="M141" s="31">
        <v>99.1</v>
      </c>
      <c r="N141" s="32">
        <f t="shared" ref="N141:N144" si="77">IF(ISNUMBER(M141), (M141 - $B141) / $B141, "")</f>
        <v>1.1224489795918309E-2</v>
      </c>
      <c r="O141" s="18">
        <f>IF(ISNUMBER(M141), $B145 * N141, "")</f>
        <v>1683.6734693877463</v>
      </c>
      <c r="Q141" s="161"/>
      <c r="R141" s="161"/>
      <c r="S141" s="161"/>
    </row>
    <row r="142" spans="1:19" ht="17.25" thickBot="1">
      <c r="A142" s="109" t="s">
        <v>181</v>
      </c>
      <c r="B142" s="110">
        <v>4.8499999999999996</v>
      </c>
      <c r="C142" s="70">
        <v>-4.9019607799999997E-2</v>
      </c>
      <c r="D142" s="15">
        <v>4.6500000000000004</v>
      </c>
      <c r="E142" s="32">
        <f t="shared" si="74"/>
        <v>-4.1237113402061709E-2</v>
      </c>
      <c r="F142" s="18">
        <f>IF(ISNUMBER(D142), $B145 * E142, "")</f>
        <v>-6185.5670103092561</v>
      </c>
      <c r="G142" s="31">
        <v>4.8600000000000003</v>
      </c>
      <c r="H142" s="32">
        <f t="shared" si="75"/>
        <v>2.061855670103232E-3</v>
      </c>
      <c r="I142" s="91">
        <f>IF(ISNUMBER(G142), $B145 * H142, "")</f>
        <v>309.27835051548482</v>
      </c>
      <c r="J142" s="15">
        <v>4.8600000000000003</v>
      </c>
      <c r="K142" s="32">
        <f t="shared" si="76"/>
        <v>2.061855670103232E-3</v>
      </c>
      <c r="L142" s="18">
        <f>IF(ISNUMBER(J142), $B145 * K142, "")</f>
        <v>309.27835051548482</v>
      </c>
      <c r="M142" s="31">
        <v>4.8</v>
      </c>
      <c r="N142" s="32">
        <f t="shared" si="77"/>
        <v>-1.0309278350515427E-2</v>
      </c>
      <c r="O142" s="18">
        <f>IF(ISNUMBER(M142), $B145 * N142, "")</f>
        <v>-1546.391752577314</v>
      </c>
      <c r="Q142" s="161"/>
      <c r="R142" s="161"/>
      <c r="S142" s="161"/>
    </row>
    <row r="143" spans="1:19">
      <c r="A143" s="109" t="s">
        <v>350</v>
      </c>
      <c r="B143" s="110">
        <v>7.34</v>
      </c>
      <c r="C143" s="70">
        <v>-6.0179257399999998E-2</v>
      </c>
      <c r="D143" s="15">
        <v>7.07</v>
      </c>
      <c r="E143" s="32">
        <f t="shared" si="74"/>
        <v>-3.6784741144414108E-2</v>
      </c>
      <c r="F143" s="18">
        <f>IF(ISNUMBER(D143), $B145 * E143, "")</f>
        <v>-5517.7111716621166</v>
      </c>
      <c r="G143" s="31">
        <v>7.36</v>
      </c>
      <c r="H143" s="32">
        <f t="shared" si="75"/>
        <v>2.7247956403270383E-3</v>
      </c>
      <c r="I143" s="91">
        <f>IF(ISNUMBER(G143), $B145 * H143, "")</f>
        <v>408.71934604905573</v>
      </c>
      <c r="J143" s="15">
        <v>7.36</v>
      </c>
      <c r="K143" s="32">
        <f t="shared" si="76"/>
        <v>2.7247956403270383E-3</v>
      </c>
      <c r="L143" s="18">
        <f>IF(ISNUMBER(J143), $B145 * K143, "")</f>
        <v>408.71934604905573</v>
      </c>
      <c r="M143" s="31">
        <v>7.31</v>
      </c>
      <c r="N143" s="32">
        <f t="shared" si="77"/>
        <v>-4.0871934604904975E-3</v>
      </c>
      <c r="O143" s="18">
        <f>IF(ISNUMBER(M143), $B145 * N143, "")</f>
        <v>-613.07901907357461</v>
      </c>
      <c r="Q143" s="183"/>
      <c r="R143" s="184"/>
      <c r="S143" s="185"/>
    </row>
    <row r="144" spans="1:19" ht="17.25" thickBot="1">
      <c r="A144" s="114" t="s">
        <v>97</v>
      </c>
      <c r="B144" s="115">
        <v>8.0000000000000004E-4</v>
      </c>
      <c r="C144" s="72">
        <v>-0.11111111110000001</v>
      </c>
      <c r="D144" s="24">
        <v>8.0000000000000004E-4</v>
      </c>
      <c r="E144" s="25">
        <f t="shared" si="74"/>
        <v>0</v>
      </c>
      <c r="F144" s="94">
        <f>IF(ISNUMBER(D144), $B145 * E144, "")</f>
        <v>0</v>
      </c>
      <c r="G144" s="92">
        <v>8.9999999999999998E-4</v>
      </c>
      <c r="H144" s="25">
        <f t="shared" si="75"/>
        <v>0.12499999999999992</v>
      </c>
      <c r="I144" s="93">
        <f>IF(ISNUMBER(G144), $B145 * H144, "")</f>
        <v>18749.999999999989</v>
      </c>
      <c r="J144" s="24">
        <v>8.9999999999999998E-4</v>
      </c>
      <c r="K144" s="25">
        <f t="shared" si="76"/>
        <v>0.12499999999999992</v>
      </c>
      <c r="L144" s="94">
        <f>IF(ISNUMBER(J144), $B145 * K144, "")</f>
        <v>18749.999999999989</v>
      </c>
      <c r="M144" s="92">
        <v>8.9999999999999998E-4</v>
      </c>
      <c r="N144" s="25">
        <f t="shared" si="77"/>
        <v>0.12499999999999992</v>
      </c>
      <c r="O144" s="94">
        <f>IF(ISNUMBER(M144), $B145 * N144, "")</f>
        <v>18749.999999999989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-2.2172490602866756E-2</v>
      </c>
      <c r="F145" s="28">
        <f>SUM(F125:F144)</f>
        <v>-66517.471808600283</v>
      </c>
      <c r="G145" s="26" t="s">
        <v>261</v>
      </c>
      <c r="H145" s="27">
        <f>IF(COUNT(H125:H144), SUM(H125:H144) / COUNT(H125:H144), 0)</f>
        <v>2.3688392827143284E-2</v>
      </c>
      <c r="I145" s="28">
        <f>SUM(I125:I144)</f>
        <v>71065.178481429859</v>
      </c>
      <c r="J145" s="26" t="s">
        <v>261</v>
      </c>
      <c r="K145" s="27">
        <f>IF(COUNT(K125:K144), SUM(K125:K144) / COUNT(K125:K144), 0)</f>
        <v>2.3688392827143284E-2</v>
      </c>
      <c r="L145" s="28">
        <f>SUM(L125:L144)</f>
        <v>71065.178481429859</v>
      </c>
      <c r="M145" s="26" t="s">
        <v>261</v>
      </c>
      <c r="N145" s="27">
        <f>IF(COUNT(N125:N144), SUM(N125:N144) / COUNT(N125:N144), 0)</f>
        <v>1.8888706036515629E-2</v>
      </c>
      <c r="O145" s="28">
        <f>SUM(O125:O144)</f>
        <v>56666.118109546893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2022-12-13(화) 오전 00:00</v>
      </c>
      <c r="C150" s="199"/>
      <c r="D150" s="158" t="str">
        <f>TEXT($G$1, "[$-ko-KR]yyyy-mm-dd(ddd) ") &amp; "오후 14:00"</f>
        <v>2022-12-13(화) 오후 14:00</v>
      </c>
      <c r="E150" s="159"/>
      <c r="F150" s="160"/>
      <c r="G150" s="158" t="str">
        <f>TEXT($G$1, "[$-ko-KR]yyyy-mm-dd(ddd) ") &amp; "오후 19:00"</f>
        <v>2022-12-13(화) 오후 19:00</v>
      </c>
      <c r="H150" s="159"/>
      <c r="I150" s="160"/>
      <c r="J150" s="158" t="str">
        <f>TEXT($G$1, "[$-ko-KR]yyyy-mm-dd(ddd) ") &amp; "오후 21:00"</f>
        <v>2022-12-13(화) 오후 21:00</v>
      </c>
      <c r="K150" s="159"/>
      <c r="L150" s="160"/>
      <c r="M150" s="158" t="str">
        <f>TEXT($G$1+1, "[$-ko-KR]yyyy-mm-dd(ddd) ") &amp; "오전 00:00"</f>
        <v>2022-12-14(수)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169</v>
      </c>
      <c r="B152" s="108">
        <v>267</v>
      </c>
      <c r="C152" s="69">
        <v>-3.9568345300000002E-2</v>
      </c>
      <c r="D152" s="13">
        <v>261</v>
      </c>
      <c r="E152" s="14">
        <f>IF(ISNUMBER(D152), (D152 - $B152) / $B152, "")</f>
        <v>-2.247191011235955E-2</v>
      </c>
      <c r="F152" s="16">
        <f>IF(ISNUMBER(D152), $B172 * E152, "")</f>
        <v>-3370.7865168539324</v>
      </c>
      <c r="G152" s="29">
        <v>269</v>
      </c>
      <c r="H152" s="14">
        <f>IF(ISNUMBER(G152), (G152 - $B152) / $B152, "")</f>
        <v>7.4906367041198503E-3</v>
      </c>
      <c r="I152" s="90">
        <f>IF(ISNUMBER(G152), $B172 * H152, "")</f>
        <v>1123.5955056179776</v>
      </c>
      <c r="J152" s="13">
        <v>269</v>
      </c>
      <c r="K152" s="14">
        <f>IF(ISNUMBER(J152), (J152 - $B152) / $B152, "")</f>
        <v>7.4906367041198503E-3</v>
      </c>
      <c r="L152" s="16">
        <f>IF(ISNUMBER(J152), $B172 * K152, "")</f>
        <v>1123.5955056179776</v>
      </c>
      <c r="M152" s="29">
        <v>266</v>
      </c>
      <c r="N152" s="14">
        <f>IF(ISNUMBER(M152), (M152 - $B152) / $B152, "")</f>
        <v>-3.7453183520599251E-3</v>
      </c>
      <c r="O152" s="16">
        <f>IF(ISNUMBER(M152), $B172 * N152, "")</f>
        <v>-561.79775280898878</v>
      </c>
      <c r="Q152" s="156"/>
      <c r="R152" s="156"/>
      <c r="S152" s="156"/>
    </row>
    <row r="153" spans="1:19" ht="17.25" thickBot="1">
      <c r="A153" s="109" t="s">
        <v>337</v>
      </c>
      <c r="B153" s="110">
        <v>315</v>
      </c>
      <c r="C153" s="70">
        <v>-3.9634146299999999E-2</v>
      </c>
      <c r="D153" s="15">
        <v>307</v>
      </c>
      <c r="E153" s="32">
        <f t="shared" ref="E153:E156" si="78">IF(ISNUMBER(D153), (D153 - $B153) / $B153, "")</f>
        <v>-2.5396825396825397E-2</v>
      </c>
      <c r="F153" s="18">
        <f>IF(ISNUMBER(D153), $B172 * E153, "")</f>
        <v>-3809.5238095238096</v>
      </c>
      <c r="G153" s="31">
        <v>326</v>
      </c>
      <c r="H153" s="32">
        <f t="shared" ref="H153:H156" si="79">IF(ISNUMBER(G153), (G153 - $B153) / $B153, "")</f>
        <v>3.4920634920634921E-2</v>
      </c>
      <c r="I153" s="91">
        <f>IF(ISNUMBER(G153), $B172 * H153, "")</f>
        <v>5238.0952380952385</v>
      </c>
      <c r="J153" s="15">
        <v>326</v>
      </c>
      <c r="K153" s="32">
        <f t="shared" ref="K153:K156" si="80">IF(ISNUMBER(J153), (J153 - $B153) / $B153, "")</f>
        <v>3.4920634920634921E-2</v>
      </c>
      <c r="L153" s="18">
        <f>IF(ISNUMBER(J153), $B172 * K153, "")</f>
        <v>5238.0952380952385</v>
      </c>
      <c r="M153" s="31">
        <v>322</v>
      </c>
      <c r="N153" s="32">
        <f t="shared" ref="N153:N156" si="81">IF(ISNUMBER(M153), (M153 - $B153) / $B153, "")</f>
        <v>2.2222222222222223E-2</v>
      </c>
      <c r="O153" s="18">
        <f>IF(ISNUMBER(M153), $B172 * N153, "")</f>
        <v>3333.3333333333335</v>
      </c>
      <c r="Q153" s="156"/>
      <c r="R153" s="156"/>
      <c r="S153" s="156"/>
    </row>
    <row r="154" spans="1:19" ht="17.25" thickBot="1">
      <c r="A154" s="109" t="s">
        <v>176</v>
      </c>
      <c r="B154" s="110">
        <v>337</v>
      </c>
      <c r="C154" s="70">
        <v>-3.9886039900000003E-2</v>
      </c>
      <c r="D154" s="15">
        <v>333</v>
      </c>
      <c r="E154" s="32">
        <f t="shared" si="78"/>
        <v>-1.1869436201780416E-2</v>
      </c>
      <c r="F154" s="18">
        <f>IF(ISNUMBER(D154), $B172 * E154, "")</f>
        <v>-1780.4154302670624</v>
      </c>
      <c r="G154" s="31">
        <v>343</v>
      </c>
      <c r="H154" s="32">
        <f t="shared" si="79"/>
        <v>1.7804154302670624E-2</v>
      </c>
      <c r="I154" s="91">
        <f>IF(ISNUMBER(G154), $B172 * H154, "")</f>
        <v>2670.6231454005938</v>
      </c>
      <c r="J154" s="15">
        <v>343</v>
      </c>
      <c r="K154" s="32">
        <f t="shared" si="80"/>
        <v>1.7804154302670624E-2</v>
      </c>
      <c r="L154" s="18">
        <f>IF(ISNUMBER(J154), $B172 * K154, "")</f>
        <v>2670.6231454005938</v>
      </c>
      <c r="M154" s="31">
        <v>344</v>
      </c>
      <c r="N154" s="32">
        <f t="shared" si="81"/>
        <v>2.0771513353115726E-2</v>
      </c>
      <c r="O154" s="18">
        <f>IF(ISNUMBER(M154), $B172 * N154, "")</f>
        <v>3115.7270029673591</v>
      </c>
      <c r="Q154" s="161"/>
      <c r="R154" s="161"/>
      <c r="S154" s="161"/>
    </row>
    <row r="155" spans="1:19" ht="17.25" thickBot="1">
      <c r="A155" s="109" t="s">
        <v>256</v>
      </c>
      <c r="B155" s="110">
        <v>118</v>
      </c>
      <c r="C155" s="70">
        <v>-4.06504065E-2</v>
      </c>
      <c r="D155" s="15">
        <v>116</v>
      </c>
      <c r="E155" s="32">
        <f t="shared" si="78"/>
        <v>-1.6949152542372881E-2</v>
      </c>
      <c r="F155" s="18">
        <f>IF(ISNUMBER(D155), $B172 * E155, "")</f>
        <v>-2542.3728813559323</v>
      </c>
      <c r="G155" s="31">
        <v>124</v>
      </c>
      <c r="H155" s="32">
        <f t="shared" si="79"/>
        <v>5.0847457627118647E-2</v>
      </c>
      <c r="I155" s="91">
        <f>IF(ISNUMBER(G155), $B172 * H155, "")</f>
        <v>7627.1186440677975</v>
      </c>
      <c r="J155" s="15">
        <v>124</v>
      </c>
      <c r="K155" s="32">
        <f t="shared" si="80"/>
        <v>5.0847457627118647E-2</v>
      </c>
      <c r="L155" s="18">
        <f>IF(ISNUMBER(J155), $B172 * K155, "")</f>
        <v>7627.1186440677975</v>
      </c>
      <c r="M155" s="31">
        <v>121</v>
      </c>
      <c r="N155" s="32">
        <f t="shared" si="81"/>
        <v>2.5423728813559324E-2</v>
      </c>
      <c r="O155" s="18">
        <f>IF(ISNUMBER(M155), $B172 * N155, "")</f>
        <v>3813.5593220338988</v>
      </c>
      <c r="Q155" s="161"/>
      <c r="R155" s="161"/>
      <c r="S155" s="161"/>
    </row>
    <row r="156" spans="1:19" ht="17.25" thickBot="1">
      <c r="A156" s="111" t="s">
        <v>242</v>
      </c>
      <c r="B156" s="112">
        <v>442</v>
      </c>
      <c r="C156" s="71">
        <v>-4.1214750500000001E-2</v>
      </c>
      <c r="D156" s="20">
        <v>439</v>
      </c>
      <c r="E156" s="21">
        <f t="shared" si="78"/>
        <v>-6.7873303167420816E-3</v>
      </c>
      <c r="F156" s="22">
        <f>IF(ISNUMBER(D156), $B172 * E156, "")</f>
        <v>-1018.0995475113123</v>
      </c>
      <c r="G156" s="30">
        <v>454</v>
      </c>
      <c r="H156" s="21">
        <f t="shared" si="79"/>
        <v>2.7149321266968326E-2</v>
      </c>
      <c r="I156" s="95">
        <f>IF(ISNUMBER(G156), $B172 * H156, "")</f>
        <v>4072.3981900452491</v>
      </c>
      <c r="J156" s="20">
        <v>454</v>
      </c>
      <c r="K156" s="21">
        <f t="shared" si="80"/>
        <v>2.7149321266968326E-2</v>
      </c>
      <c r="L156" s="22">
        <f>IF(ISNUMBER(J156), $B172 * K156, "")</f>
        <v>4072.3981900452491</v>
      </c>
      <c r="M156" s="30">
        <v>454</v>
      </c>
      <c r="N156" s="21">
        <f t="shared" si="81"/>
        <v>2.7149321266968326E-2</v>
      </c>
      <c r="O156" s="22">
        <f>IF(ISNUMBER(M156), $B172 * N156, "")</f>
        <v>4072.3981900452491</v>
      </c>
      <c r="Q156" s="161"/>
      <c r="R156" s="161"/>
      <c r="S156" s="161"/>
    </row>
    <row r="157" spans="1:19" ht="17.25" thickBot="1">
      <c r="A157" s="109" t="s">
        <v>103</v>
      </c>
      <c r="B157" s="113">
        <v>249</v>
      </c>
      <c r="C157" s="73">
        <v>-4.2307692299999998E-2</v>
      </c>
      <c r="D157" s="96">
        <v>241</v>
      </c>
      <c r="E157" s="97">
        <f>IF(ISNUMBER(D157), (D157 - $B157) / $B157, "")</f>
        <v>-3.2128514056224897E-2</v>
      </c>
      <c r="F157" s="98">
        <f>IF(ISNUMBER(D157), $B172 * E157, "")</f>
        <v>-4819.2771084337346</v>
      </c>
      <c r="G157" s="99">
        <v>254</v>
      </c>
      <c r="H157" s="97">
        <f>IF(ISNUMBER(G157), (G157 - $B157) / $B157, "")</f>
        <v>2.0080321285140562E-2</v>
      </c>
      <c r="I157" s="100">
        <f>IF(ISNUMBER(G157), $B172 * H157, "")</f>
        <v>3012.0481927710844</v>
      </c>
      <c r="J157" s="96">
        <v>254</v>
      </c>
      <c r="K157" s="97">
        <f>IF(ISNUMBER(J157), (J157 - $B157) / $B157, "")</f>
        <v>2.0080321285140562E-2</v>
      </c>
      <c r="L157" s="98">
        <f>IF(ISNUMBER(J157), $B172 * K157, "")</f>
        <v>3012.0481927710844</v>
      </c>
      <c r="M157" s="99">
        <v>251</v>
      </c>
      <c r="N157" s="97">
        <f>IF(ISNUMBER(M157), (M157 - $B157) / $B157, "")</f>
        <v>8.0321285140562242E-3</v>
      </c>
      <c r="O157" s="98">
        <f>IF(ISNUMBER(M157), $B172 * N157, "")</f>
        <v>1204.8192771084337</v>
      </c>
      <c r="Q157" s="161"/>
      <c r="R157" s="161"/>
      <c r="S157" s="161"/>
    </row>
    <row r="158" spans="1:19" ht="17.25" thickBot="1">
      <c r="A158" s="109" t="s">
        <v>153</v>
      </c>
      <c r="B158" s="110">
        <v>408</v>
      </c>
      <c r="C158" s="70">
        <v>-4.4496487100000003E-2</v>
      </c>
      <c r="D158" s="15">
        <v>400</v>
      </c>
      <c r="E158" s="32">
        <f t="shared" ref="E158:E161" si="82">IF(ISNUMBER(D158), (D158 - $B158) / $B158, "")</f>
        <v>-1.9607843137254902E-2</v>
      </c>
      <c r="F158" s="18">
        <f>IF(ISNUMBER(D158), $B172 * E158, "")</f>
        <v>-2941.1764705882351</v>
      </c>
      <c r="G158" s="31">
        <v>427</v>
      </c>
      <c r="H158" s="32">
        <f t="shared" ref="H158:H161" si="83">IF(ISNUMBER(G158), (G158 - $B158) / $B158, "")</f>
        <v>4.6568627450980393E-2</v>
      </c>
      <c r="I158" s="91">
        <f>IF(ISNUMBER(G158), $B172 * H158, "")</f>
        <v>6985.2941176470586</v>
      </c>
      <c r="J158" s="15">
        <v>427</v>
      </c>
      <c r="K158" s="32">
        <f t="shared" ref="K158:K161" si="84">IF(ISNUMBER(J158), (J158 - $B158) / $B158, "")</f>
        <v>4.6568627450980393E-2</v>
      </c>
      <c r="L158" s="18">
        <f>IF(ISNUMBER(J158), $B172 * K158, "")</f>
        <v>6985.2941176470586</v>
      </c>
      <c r="M158" s="31">
        <v>419</v>
      </c>
      <c r="N158" s="32">
        <f t="shared" ref="N158:N161" si="85">IF(ISNUMBER(M158), (M158 - $B158) / $B158, "")</f>
        <v>2.6960784313725492E-2</v>
      </c>
      <c r="O158" s="18">
        <f>IF(ISNUMBER(M158), $B172 * N158, "")</f>
        <v>4044.1176470588239</v>
      </c>
      <c r="Q158" s="161"/>
      <c r="R158" s="161"/>
      <c r="S158" s="161"/>
    </row>
    <row r="159" spans="1:19" ht="17.25" thickBot="1">
      <c r="A159" s="109" t="s">
        <v>167</v>
      </c>
      <c r="B159" s="110">
        <v>192</v>
      </c>
      <c r="C159" s="70">
        <v>-4.4776119400000002E-2</v>
      </c>
      <c r="D159" s="15">
        <v>187</v>
      </c>
      <c r="E159" s="32">
        <f t="shared" si="82"/>
        <v>-2.6041666666666668E-2</v>
      </c>
      <c r="F159" s="18">
        <f>IF(ISNUMBER(D159), $B172 * E159, "")</f>
        <v>-3906.25</v>
      </c>
      <c r="G159" s="31">
        <v>195</v>
      </c>
      <c r="H159" s="32">
        <f t="shared" si="83"/>
        <v>1.5625E-2</v>
      </c>
      <c r="I159" s="91">
        <f>IF(ISNUMBER(G159), $B172 * H159, "")</f>
        <v>2343.75</v>
      </c>
      <c r="J159" s="15">
        <v>195</v>
      </c>
      <c r="K159" s="32">
        <f t="shared" si="84"/>
        <v>1.5625E-2</v>
      </c>
      <c r="L159" s="18">
        <f>IF(ISNUMBER(J159), $B172 * K159, "")</f>
        <v>2343.75</v>
      </c>
      <c r="M159" s="31">
        <v>195</v>
      </c>
      <c r="N159" s="32">
        <f t="shared" si="85"/>
        <v>1.5625E-2</v>
      </c>
      <c r="O159" s="18">
        <f>IF(ISNUMBER(M159), $B172 * N159, "")</f>
        <v>2343.75</v>
      </c>
      <c r="Q159" s="161"/>
      <c r="R159" s="161"/>
      <c r="S159" s="161"/>
    </row>
    <row r="160" spans="1:19" ht="17.25" thickBot="1">
      <c r="A160" s="109" t="s">
        <v>202</v>
      </c>
      <c r="B160" s="110">
        <v>339</v>
      </c>
      <c r="C160" s="70">
        <v>-4.5070422499999999E-2</v>
      </c>
      <c r="D160" s="15">
        <v>334</v>
      </c>
      <c r="E160" s="32">
        <f t="shared" si="82"/>
        <v>-1.4749262536873156E-2</v>
      </c>
      <c r="F160" s="18">
        <f>IF(ISNUMBER(D160), $B172 * E160, "")</f>
        <v>-2212.3893805309735</v>
      </c>
      <c r="G160" s="31">
        <v>346</v>
      </c>
      <c r="H160" s="32">
        <f t="shared" si="83"/>
        <v>2.0648967551622419E-2</v>
      </c>
      <c r="I160" s="91">
        <f>IF(ISNUMBER(G160), $B172 * H160, "")</f>
        <v>3097.3451327433627</v>
      </c>
      <c r="J160" s="15">
        <v>346</v>
      </c>
      <c r="K160" s="32">
        <f t="shared" si="84"/>
        <v>2.0648967551622419E-2</v>
      </c>
      <c r="L160" s="18">
        <f>IF(ISNUMBER(J160), $B172 * K160, "")</f>
        <v>3097.3451327433627</v>
      </c>
      <c r="M160" s="31">
        <v>343</v>
      </c>
      <c r="N160" s="32">
        <f t="shared" si="85"/>
        <v>1.1799410029498525E-2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14" t="s">
        <v>208</v>
      </c>
      <c r="B161" s="115">
        <v>105</v>
      </c>
      <c r="C161" s="72">
        <v>-4.5454545499999999E-2</v>
      </c>
      <c r="D161" s="24">
        <v>103</v>
      </c>
      <c r="E161" s="25">
        <f t="shared" si="82"/>
        <v>-1.9047619047619049E-2</v>
      </c>
      <c r="F161" s="94">
        <f>IF(ISNUMBER(D161), $B172 * E161, "")</f>
        <v>-2857.1428571428573</v>
      </c>
      <c r="G161" s="92">
        <v>106</v>
      </c>
      <c r="H161" s="25">
        <f t="shared" si="83"/>
        <v>9.5238095238095247E-3</v>
      </c>
      <c r="I161" s="93">
        <f>IF(ISNUMBER(G161), $B172 * H161, "")</f>
        <v>1428.5714285714287</v>
      </c>
      <c r="J161" s="24">
        <v>106</v>
      </c>
      <c r="K161" s="25">
        <f t="shared" si="84"/>
        <v>9.5238095238095247E-3</v>
      </c>
      <c r="L161" s="94">
        <f>IF(ISNUMBER(J161), $B172 * K161, "")</f>
        <v>1428.5714285714287</v>
      </c>
      <c r="M161" s="92">
        <v>106</v>
      </c>
      <c r="N161" s="25">
        <f t="shared" si="85"/>
        <v>9.5238095238095247E-3</v>
      </c>
      <c r="O161" s="94">
        <f>IF(ISNUMBER(M161), $B172 * N161, "")</f>
        <v>1428.5714285714287</v>
      </c>
      <c r="Q161" s="170"/>
      <c r="R161" s="171"/>
      <c r="S161" s="172"/>
    </row>
    <row r="162" spans="1:19">
      <c r="A162" s="107" t="s">
        <v>120</v>
      </c>
      <c r="B162" s="108">
        <v>125</v>
      </c>
      <c r="C162" s="69">
        <v>-4.5801526699999998E-2</v>
      </c>
      <c r="D162" s="13">
        <v>123</v>
      </c>
      <c r="E162" s="14">
        <f>IF(ISNUMBER(D162), (D162 - $B162) / $B162, "")</f>
        <v>-1.6E-2</v>
      </c>
      <c r="F162" s="16">
        <f>IF(ISNUMBER(D162), $B172 * E162, "")</f>
        <v>-2400</v>
      </c>
      <c r="G162" s="29">
        <v>128</v>
      </c>
      <c r="H162" s="14">
        <f>IF(ISNUMBER(G162), (G162 - $B162) / $B162, "")</f>
        <v>2.4E-2</v>
      </c>
      <c r="I162" s="90">
        <f>IF(ISNUMBER(G162), $B172 * H162, "")</f>
        <v>3600</v>
      </c>
      <c r="J162" s="13">
        <v>128</v>
      </c>
      <c r="K162" s="14">
        <f>IF(ISNUMBER(J162), (J162 - $B162) / $B162, "")</f>
        <v>2.4E-2</v>
      </c>
      <c r="L162" s="16">
        <f>IF(ISNUMBER(J162), $B172 * K162, "")</f>
        <v>3600</v>
      </c>
      <c r="M162" s="29">
        <v>128</v>
      </c>
      <c r="N162" s="14">
        <f>IF(ISNUMBER(M162), (M162 - $B162) / $B162, "")</f>
        <v>2.4E-2</v>
      </c>
      <c r="O162" s="16">
        <f>IF(ISNUMBER(M162), $B172 * N162, "")</f>
        <v>3600</v>
      </c>
      <c r="Q162" s="173"/>
      <c r="R162" s="174"/>
      <c r="S162" s="175"/>
    </row>
    <row r="163" spans="1:19" ht="17.25" thickBot="1">
      <c r="A163" s="109" t="s">
        <v>222</v>
      </c>
      <c r="B163" s="110">
        <v>447</v>
      </c>
      <c r="C163" s="70">
        <v>-4.69083156E-2</v>
      </c>
      <c r="D163" s="15">
        <v>436</v>
      </c>
      <c r="E163" s="32">
        <f t="shared" ref="E163:E166" si="86">IF(ISNUMBER(D163), (D163 - $B163) / $B163, "")</f>
        <v>-2.4608501118568233E-2</v>
      </c>
      <c r="F163" s="18">
        <f>IF(ISNUMBER(D163), $B172 * E163, "")</f>
        <v>-3691.2751677852348</v>
      </c>
      <c r="G163" s="31">
        <v>454</v>
      </c>
      <c r="H163" s="32">
        <f t="shared" ref="H163:H166" si="87">IF(ISNUMBER(G163), (G163 - $B163) / $B163, "")</f>
        <v>1.5659955257270694E-2</v>
      </c>
      <c r="I163" s="91">
        <f>IF(ISNUMBER(G163), $B172 * H163, "")</f>
        <v>2348.9932885906042</v>
      </c>
      <c r="J163" s="15">
        <v>454</v>
      </c>
      <c r="K163" s="32">
        <f t="shared" ref="K163:K166" si="88">IF(ISNUMBER(J163), (J163 - $B163) / $B163, "")</f>
        <v>1.5659955257270694E-2</v>
      </c>
      <c r="L163" s="18">
        <f>IF(ISNUMBER(J163), $B172 * K163, "")</f>
        <v>2348.9932885906042</v>
      </c>
      <c r="M163" s="31">
        <v>450</v>
      </c>
      <c r="N163" s="32">
        <f t="shared" ref="N163:N166" si="89">IF(ISNUMBER(M163), (M163 - $B163) / $B163, "")</f>
        <v>6.7114093959731542E-3</v>
      </c>
      <c r="O163" s="18">
        <f>IF(ISNUMBER(M163), $B172 * N163, "")</f>
        <v>1006.7114093959731</v>
      </c>
      <c r="Q163" s="176"/>
      <c r="R163" s="177"/>
      <c r="S163" s="178"/>
    </row>
    <row r="164" spans="1:19" ht="17.25" thickBot="1">
      <c r="A164" s="109" t="s">
        <v>66</v>
      </c>
      <c r="B164" s="110">
        <v>741</v>
      </c>
      <c r="C164" s="70">
        <v>-4.7557840599999998E-2</v>
      </c>
      <c r="D164" s="15">
        <v>720</v>
      </c>
      <c r="E164" s="32">
        <f t="shared" si="86"/>
        <v>-2.8340080971659919E-2</v>
      </c>
      <c r="F164" s="18">
        <f>IF(ISNUMBER(D164), $B172 * E164, "")</f>
        <v>-4251.0121457489877</v>
      </c>
      <c r="G164" s="31">
        <v>748</v>
      </c>
      <c r="H164" s="32">
        <f t="shared" si="87"/>
        <v>9.4466936572199737E-3</v>
      </c>
      <c r="I164" s="91">
        <f>IF(ISNUMBER(G164), $B172 * H164, "")</f>
        <v>1417.0040485829961</v>
      </c>
      <c r="J164" s="15">
        <v>748</v>
      </c>
      <c r="K164" s="32">
        <f t="shared" si="88"/>
        <v>9.4466936572199737E-3</v>
      </c>
      <c r="L164" s="18">
        <f>IF(ISNUMBER(J164), $B172 * K164, "")</f>
        <v>1417.0040485829961</v>
      </c>
      <c r="M164" s="31">
        <v>740</v>
      </c>
      <c r="N164" s="32">
        <f t="shared" si="89"/>
        <v>-1.3495276653171389E-3</v>
      </c>
      <c r="O164" s="18">
        <f>IF(ISNUMBER(M164), $B172 * N164, "")</f>
        <v>-202.42914979757083</v>
      </c>
      <c r="Q164" s="161"/>
      <c r="R164" s="161"/>
      <c r="S164" s="161"/>
    </row>
    <row r="165" spans="1:19" ht="17.25" thickBot="1">
      <c r="A165" s="109" t="s">
        <v>130</v>
      </c>
      <c r="B165" s="110">
        <v>813</v>
      </c>
      <c r="C165" s="70">
        <v>-4.9122806999999998E-2</v>
      </c>
      <c r="D165" s="15">
        <v>795</v>
      </c>
      <c r="E165" s="32">
        <f t="shared" si="86"/>
        <v>-2.2140221402214021E-2</v>
      </c>
      <c r="F165" s="18">
        <f>IF(ISNUMBER(D165), $B172 * E165, "")</f>
        <v>-3321.033210332103</v>
      </c>
      <c r="G165" s="31">
        <v>831</v>
      </c>
      <c r="H165" s="32">
        <f t="shared" si="87"/>
        <v>2.2140221402214021E-2</v>
      </c>
      <c r="I165" s="91">
        <f>IF(ISNUMBER(G165), $B172 * H165, "")</f>
        <v>3321.033210332103</v>
      </c>
      <c r="J165" s="15">
        <v>831</v>
      </c>
      <c r="K165" s="32">
        <f t="shared" si="88"/>
        <v>2.2140221402214021E-2</v>
      </c>
      <c r="L165" s="18">
        <f>IF(ISNUMBER(J165), $B172 * K165, "")</f>
        <v>3321.033210332103</v>
      </c>
      <c r="M165" s="31">
        <v>830</v>
      </c>
      <c r="N165" s="32">
        <f t="shared" si="89"/>
        <v>2.0910209102091022E-2</v>
      </c>
      <c r="O165" s="18">
        <f>IF(ISNUMBER(M165), $B172 * N165, "")</f>
        <v>3136.5313653136532</v>
      </c>
      <c r="Q165" s="156"/>
      <c r="R165" s="156"/>
      <c r="S165" s="156"/>
    </row>
    <row r="166" spans="1:19" ht="17.25" thickBot="1">
      <c r="A166" s="111" t="s">
        <v>105</v>
      </c>
      <c r="B166" s="112">
        <v>230</v>
      </c>
      <c r="C166" s="71">
        <v>-4.9586776899999997E-2</v>
      </c>
      <c r="D166" s="20">
        <v>221</v>
      </c>
      <c r="E166" s="21">
        <f t="shared" si="86"/>
        <v>-3.9130434782608699E-2</v>
      </c>
      <c r="F166" s="22">
        <f>IF(ISNUMBER(D166), $B172 * E166, "")</f>
        <v>-5869.5652173913049</v>
      </c>
      <c r="G166" s="30">
        <v>231</v>
      </c>
      <c r="H166" s="21">
        <f t="shared" si="87"/>
        <v>4.3478260869565218E-3</v>
      </c>
      <c r="I166" s="95">
        <f>IF(ISNUMBER(G166), $B172 * H166, "")</f>
        <v>652.17391304347825</v>
      </c>
      <c r="J166" s="20">
        <v>231</v>
      </c>
      <c r="K166" s="21">
        <f t="shared" si="88"/>
        <v>4.3478260869565218E-3</v>
      </c>
      <c r="L166" s="22">
        <f>IF(ISNUMBER(J166), $B172 * K166, "")</f>
        <v>652.17391304347825</v>
      </c>
      <c r="M166" s="30">
        <v>232</v>
      </c>
      <c r="N166" s="21">
        <f t="shared" si="89"/>
        <v>8.6956521739130436E-3</v>
      </c>
      <c r="O166" s="22">
        <f>IF(ISNUMBER(M166), $B172 * N166, "")</f>
        <v>1304.3478260869565</v>
      </c>
      <c r="Q166" s="156"/>
      <c r="R166" s="156"/>
      <c r="S166" s="156"/>
    </row>
    <row r="167" spans="1:19" ht="17.25" thickBot="1">
      <c r="A167" s="109" t="s">
        <v>183</v>
      </c>
      <c r="B167" s="113">
        <v>143</v>
      </c>
      <c r="C167" s="73">
        <v>-5.2980132499999999E-2</v>
      </c>
      <c r="D167" s="96">
        <v>142</v>
      </c>
      <c r="E167" s="97">
        <f>IF(ISNUMBER(D167), (D167 - $B167) / $B167, "")</f>
        <v>-6.993006993006993E-3</v>
      </c>
      <c r="F167" s="98">
        <f>IF(ISNUMBER(D167), $B172 * E167, "")</f>
        <v>-1048.951048951049</v>
      </c>
      <c r="G167" s="99">
        <v>147</v>
      </c>
      <c r="H167" s="97">
        <f>IF(ISNUMBER(G167), (G167 - $B167) / $B167, "")</f>
        <v>2.7972027972027972E-2</v>
      </c>
      <c r="I167" s="100">
        <f>IF(ISNUMBER(G167), $B172 * H167, "")</f>
        <v>4195.8041958041958</v>
      </c>
      <c r="J167" s="96">
        <v>147</v>
      </c>
      <c r="K167" s="97">
        <f>IF(ISNUMBER(J167), (J167 - $B167) / $B167, "")</f>
        <v>2.7972027972027972E-2</v>
      </c>
      <c r="L167" s="98">
        <f>IF(ISNUMBER(J167), $B172 * K167, "")</f>
        <v>4195.8041958041958</v>
      </c>
      <c r="M167" s="99">
        <v>148</v>
      </c>
      <c r="N167" s="97">
        <f>IF(ISNUMBER(M167), (M167 - $B167) / $B167, "")</f>
        <v>3.4965034965034968E-2</v>
      </c>
      <c r="O167" s="98">
        <f>IF(ISNUMBER(M167), $B172 * N167, "")</f>
        <v>5244.7552447552453</v>
      </c>
      <c r="Q167" s="161"/>
      <c r="R167" s="161"/>
      <c r="S167" s="161"/>
    </row>
    <row r="168" spans="1:19" ht="17.25" thickBot="1">
      <c r="A168" s="109" t="s">
        <v>352</v>
      </c>
      <c r="B168" s="110">
        <v>248</v>
      </c>
      <c r="C168" s="70">
        <v>-5.3435114499999999E-2</v>
      </c>
      <c r="D168" s="15">
        <v>240</v>
      </c>
      <c r="E168" s="32">
        <f t="shared" ref="E168:E171" si="90">IF(ISNUMBER(D168), (D168 - $B168) / $B168, "")</f>
        <v>-3.2258064516129031E-2</v>
      </c>
      <c r="F168" s="18">
        <f>IF(ISNUMBER(D168), $B172 * E168, "")</f>
        <v>-4838.7096774193551</v>
      </c>
      <c r="G168" s="31">
        <v>247</v>
      </c>
      <c r="H168" s="32">
        <f t="shared" ref="H168:H171" si="91">IF(ISNUMBER(G168), (G168 - $B168) / $B168, "")</f>
        <v>-4.0322580645161289E-3</v>
      </c>
      <c r="I168" s="91">
        <f>IF(ISNUMBER(G168), $B172 * H168, "")</f>
        <v>-604.83870967741939</v>
      </c>
      <c r="J168" s="15">
        <v>247</v>
      </c>
      <c r="K168" s="32">
        <f t="shared" ref="K168:K171" si="92">IF(ISNUMBER(J168), (J168 - $B168) / $B168, "")</f>
        <v>-4.0322580645161289E-3</v>
      </c>
      <c r="L168" s="18">
        <f>IF(ISNUMBER(J168), $B172 * K168, "")</f>
        <v>-604.83870967741939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161"/>
      <c r="R168" s="161"/>
      <c r="S168" s="161"/>
    </row>
    <row r="169" spans="1:19" ht="17.25" thickBot="1">
      <c r="A169" s="109" t="s">
        <v>85</v>
      </c>
      <c r="B169" s="110">
        <v>181</v>
      </c>
      <c r="C169" s="70">
        <v>-5.72916667E-2</v>
      </c>
      <c r="D169" s="15">
        <v>179</v>
      </c>
      <c r="E169" s="32">
        <f t="shared" si="90"/>
        <v>-1.1049723756906077E-2</v>
      </c>
      <c r="F169" s="18">
        <f>IF(ISNUMBER(D169), $B172 * E169, "")</f>
        <v>-1657.4585635359115</v>
      </c>
      <c r="G169" s="31">
        <v>187</v>
      </c>
      <c r="H169" s="32">
        <f t="shared" si="91"/>
        <v>3.3149171270718231E-2</v>
      </c>
      <c r="I169" s="91">
        <f>IF(ISNUMBER(G169), $B172 * H169, "")</f>
        <v>4972.3756906077342</v>
      </c>
      <c r="J169" s="15">
        <v>187</v>
      </c>
      <c r="K169" s="32">
        <f t="shared" si="92"/>
        <v>3.3149171270718231E-2</v>
      </c>
      <c r="L169" s="18">
        <f>IF(ISNUMBER(J169), $B172 * K169, "")</f>
        <v>4972.3756906077342</v>
      </c>
      <c r="M169" s="31">
        <v>184</v>
      </c>
      <c r="N169" s="32">
        <f t="shared" si="93"/>
        <v>1.6574585635359115E-2</v>
      </c>
      <c r="O169" s="18">
        <f>IF(ISNUMBER(M169), $B172 * N169, "")</f>
        <v>2486.1878453038671</v>
      </c>
      <c r="Q169" s="161"/>
      <c r="R169" s="161"/>
      <c r="S169" s="161"/>
    </row>
    <row r="170" spans="1:19">
      <c r="A170" s="109" t="s">
        <v>204</v>
      </c>
      <c r="B170" s="110">
        <v>284</v>
      </c>
      <c r="C170" s="70">
        <v>-8.0906148900000002E-2</v>
      </c>
      <c r="D170" s="15">
        <v>268</v>
      </c>
      <c r="E170" s="32">
        <f t="shared" si="90"/>
        <v>-5.6338028169014086E-2</v>
      </c>
      <c r="F170" s="18">
        <f>IF(ISNUMBER(D170), $B172 * E170, "")</f>
        <v>-8450.7042253521122</v>
      </c>
      <c r="G170" s="31">
        <v>279</v>
      </c>
      <c r="H170" s="32">
        <f t="shared" si="91"/>
        <v>-1.7605633802816902E-2</v>
      </c>
      <c r="I170" s="91">
        <f>IF(ISNUMBER(G170), $B172 * H170, "")</f>
        <v>-2640.8450704225352</v>
      </c>
      <c r="J170" s="15">
        <v>279</v>
      </c>
      <c r="K170" s="32">
        <f t="shared" si="92"/>
        <v>-1.7605633802816902E-2</v>
      </c>
      <c r="L170" s="18">
        <f>IF(ISNUMBER(J170), $B172 * K170, "")</f>
        <v>-2640.8450704225352</v>
      </c>
      <c r="M170" s="31">
        <v>277</v>
      </c>
      <c r="N170" s="32">
        <f t="shared" si="93"/>
        <v>-2.464788732394366E-2</v>
      </c>
      <c r="O170" s="18">
        <f>IF(ISNUMBER(M170), $B172 * N170, "")</f>
        <v>-3697.183098591549</v>
      </c>
      <c r="Q170" s="183"/>
      <c r="R170" s="184"/>
      <c r="S170" s="185"/>
    </row>
    <row r="171" spans="1:19" ht="17.25" thickBot="1">
      <c r="A171" s="114" t="s">
        <v>234</v>
      </c>
      <c r="B171" s="115">
        <v>434</v>
      </c>
      <c r="C171" s="72">
        <v>-0.1285140562</v>
      </c>
      <c r="D171" s="24">
        <v>404</v>
      </c>
      <c r="E171" s="25">
        <f t="shared" si="90"/>
        <v>-6.9124423963133647E-2</v>
      </c>
      <c r="F171" s="94">
        <f>IF(ISNUMBER(D171), $B172 * E171, "")</f>
        <v>-10368.663594470047</v>
      </c>
      <c r="G171" s="92">
        <v>421</v>
      </c>
      <c r="H171" s="25">
        <f t="shared" si="91"/>
        <v>-2.9953917050691243E-2</v>
      </c>
      <c r="I171" s="93">
        <f>IF(ISNUMBER(G171), $B172 * H171, "")</f>
        <v>-4493.087557603686</v>
      </c>
      <c r="J171" s="24">
        <v>421</v>
      </c>
      <c r="K171" s="25">
        <f t="shared" si="92"/>
        <v>-2.9953917050691243E-2</v>
      </c>
      <c r="L171" s="94">
        <f>IF(ISNUMBER(J171), $B172 * K171, "")</f>
        <v>-4493.087557603686</v>
      </c>
      <c r="M171" s="92">
        <v>412</v>
      </c>
      <c r="N171" s="25">
        <f t="shared" si="93"/>
        <v>-5.0691244239631339E-2</v>
      </c>
      <c r="O171" s="94">
        <f>IF(ISNUMBER(M171), $B172 * N171, "")</f>
        <v>-7603.6866359447013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-2.5051602284397977E-2</v>
      </c>
      <c r="F172" s="28">
        <f>SUM(F152:F171)</f>
        <v>-75154.806853193964</v>
      </c>
      <c r="G172" s="26" t="s">
        <v>261</v>
      </c>
      <c r="H172" s="27">
        <f>IF(COUNT(H152:H171), SUM(H152:H171) / COUNT(H152:H171), 0)</f>
        <v>1.6789150868072419E-2</v>
      </c>
      <c r="I172" s="28">
        <f>SUM(I152:I171)</f>
        <v>50367.452604217266</v>
      </c>
      <c r="J172" s="26" t="s">
        <v>261</v>
      </c>
      <c r="K172" s="27">
        <f>IF(COUNT(K152:K171), SUM(K152:K171) / COUNT(K152:K171), 0)</f>
        <v>1.6789150868072419E-2</v>
      </c>
      <c r="L172" s="28">
        <f>SUM(L152:L171)</f>
        <v>50367.452604217266</v>
      </c>
      <c r="M172" s="26" t="s">
        <v>261</v>
      </c>
      <c r="N172" s="27">
        <f>IF(COUNT(N152:N171), SUM(N152:N171) / COUNT(N152:N171), 0)</f>
        <v>9.3417028767413101E-3</v>
      </c>
      <c r="O172" s="28">
        <f>SUM(O152:O171)</f>
        <v>28025.108630223927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2022-12-13(화) 오전 00:00</v>
      </c>
      <c r="C177" s="199"/>
      <c r="D177" s="158" t="str">
        <f>TEXT($G$1, "[$-ko-KR]yyyy-mm-dd(ddd) ") &amp; "오후 14:00"</f>
        <v>2022-12-13(화) 오후 14:00</v>
      </c>
      <c r="E177" s="159"/>
      <c r="F177" s="160"/>
      <c r="G177" s="158" t="str">
        <f>TEXT($G$1, "[$-ko-KR]yyyy-mm-dd(ddd) ") &amp; "오후 19:00"</f>
        <v>2022-12-13(화) 오후 19:00</v>
      </c>
      <c r="H177" s="159"/>
      <c r="I177" s="160"/>
      <c r="J177" s="158" t="str">
        <f>TEXT($G$1, "[$-ko-KR]yyyy-mm-dd(ddd) ") &amp; "오후 21:00"</f>
        <v>2022-12-13(화) 오후 21:00</v>
      </c>
      <c r="K177" s="159"/>
      <c r="L177" s="160"/>
      <c r="M177" s="158" t="str">
        <f>TEXT($G$1+1, "[$-ko-KR]yyyy-mm-dd(ddd) ") &amp; "오전 00:00"</f>
        <v>2022-12-14(수)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222</v>
      </c>
      <c r="B179" s="108">
        <v>447</v>
      </c>
      <c r="C179" s="69">
        <v>-4.69083156E-2</v>
      </c>
      <c r="D179" s="13">
        <v>436</v>
      </c>
      <c r="E179" s="14">
        <f>IF(ISNUMBER(D179), (D179 - $B179) / $B179, "")</f>
        <v>-2.4608501118568233E-2</v>
      </c>
      <c r="F179" s="16">
        <f>IF(ISNUMBER(D179), $B199 * E179, "")</f>
        <v>-3691.2751677852348</v>
      </c>
      <c r="G179" s="29">
        <v>454</v>
      </c>
      <c r="H179" s="14">
        <f>IF(ISNUMBER(G179), (G179 - $B179) / $B179, "")</f>
        <v>1.5659955257270694E-2</v>
      </c>
      <c r="I179" s="90">
        <f>IF(ISNUMBER(G179), $B199 * H179, "")</f>
        <v>2348.9932885906042</v>
      </c>
      <c r="J179" s="13">
        <v>454</v>
      </c>
      <c r="K179" s="14">
        <f>IF(ISNUMBER(J179), (J179 - $B179) / $B179, "")</f>
        <v>1.5659955257270694E-2</v>
      </c>
      <c r="L179" s="16">
        <f>IF(ISNUMBER(J179), $B199 * K179, "")</f>
        <v>2348.9932885906042</v>
      </c>
      <c r="M179" s="29">
        <v>450</v>
      </c>
      <c r="N179" s="14">
        <f>IF(ISNUMBER(M179), (M179 - $B179) / $B179, "")</f>
        <v>6.7114093959731542E-3</v>
      </c>
      <c r="O179" s="16">
        <f>IF(ISNUMBER(M179), $B199 * N179, "")</f>
        <v>1006.7114093959731</v>
      </c>
      <c r="Q179" s="156"/>
      <c r="R179" s="156"/>
      <c r="S179" s="156"/>
    </row>
    <row r="180" spans="1:19" ht="17.25" thickBot="1">
      <c r="A180" s="109" t="s">
        <v>66</v>
      </c>
      <c r="B180" s="110">
        <v>741</v>
      </c>
      <c r="C180" s="70">
        <v>-4.7557840599999998E-2</v>
      </c>
      <c r="D180" s="15">
        <v>720</v>
      </c>
      <c r="E180" s="32">
        <f t="shared" ref="E180:E183" si="94">IF(ISNUMBER(D180), (D180 - $B180) / $B180, "")</f>
        <v>-2.8340080971659919E-2</v>
      </c>
      <c r="F180" s="18">
        <f>IF(ISNUMBER(D180), $B199 * E180, "")</f>
        <v>-4251.0121457489877</v>
      </c>
      <c r="G180" s="31">
        <v>748</v>
      </c>
      <c r="H180" s="32">
        <f t="shared" ref="H180:H183" si="95">IF(ISNUMBER(G180), (G180 - $B180) / $B180, "")</f>
        <v>9.4466936572199737E-3</v>
      </c>
      <c r="I180" s="91">
        <f>IF(ISNUMBER(G180), $B199 * H180, "")</f>
        <v>1417.0040485829961</v>
      </c>
      <c r="J180" s="15">
        <v>748</v>
      </c>
      <c r="K180" s="32">
        <f t="shared" ref="K180:K183" si="96">IF(ISNUMBER(J180), (J180 - $B180) / $B180, "")</f>
        <v>9.4466936572199737E-3</v>
      </c>
      <c r="L180" s="18">
        <f>IF(ISNUMBER(J180), $B199 * K180, "")</f>
        <v>1417.0040485829961</v>
      </c>
      <c r="M180" s="31">
        <v>740</v>
      </c>
      <c r="N180" s="32">
        <f t="shared" ref="N180:N183" si="97">IF(ISNUMBER(M180), (M180 - $B180) / $B180, "")</f>
        <v>-1.3495276653171389E-3</v>
      </c>
      <c r="O180" s="18">
        <f>IF(ISNUMBER(M180), $B199 * N180, "")</f>
        <v>-202.42914979757083</v>
      </c>
      <c r="Q180" s="156"/>
      <c r="R180" s="156"/>
      <c r="S180" s="156"/>
    </row>
    <row r="181" spans="1:19" ht="17.25" thickBot="1">
      <c r="A181" s="109" t="s">
        <v>107</v>
      </c>
      <c r="B181" s="110">
        <v>39.5</v>
      </c>
      <c r="C181" s="70">
        <v>-4.8192771099999997E-2</v>
      </c>
      <c r="D181" s="15">
        <v>38.4</v>
      </c>
      <c r="E181" s="32">
        <f t="shared" si="94"/>
        <v>-2.7848101265822822E-2</v>
      </c>
      <c r="F181" s="18">
        <f>IF(ISNUMBER(D181), $B199 * E181, "")</f>
        <v>-4177.2151898734237</v>
      </c>
      <c r="G181" s="31">
        <v>39.9</v>
      </c>
      <c r="H181" s="32">
        <f t="shared" si="95"/>
        <v>1.0126582278480976E-2</v>
      </c>
      <c r="I181" s="91">
        <f>IF(ISNUMBER(G181), $B199 * H181, "")</f>
        <v>1518.9873417721465</v>
      </c>
      <c r="J181" s="15">
        <v>39.9</v>
      </c>
      <c r="K181" s="32">
        <f t="shared" si="96"/>
        <v>1.0126582278480976E-2</v>
      </c>
      <c r="L181" s="18">
        <f>IF(ISNUMBER(J181), $B199 * K181, "")</f>
        <v>1518.9873417721465</v>
      </c>
      <c r="M181" s="31">
        <v>39.700000000000003</v>
      </c>
      <c r="N181" s="32">
        <f t="shared" si="97"/>
        <v>5.0632911392405784E-3</v>
      </c>
      <c r="O181" s="18">
        <f>IF(ISNUMBER(M181), $B199 * N181, "")</f>
        <v>759.49367088608676</v>
      </c>
      <c r="Q181" s="161"/>
      <c r="R181" s="161"/>
      <c r="S181" s="161"/>
    </row>
    <row r="182" spans="1:19" ht="17.25" thickBot="1">
      <c r="A182" s="109" t="s">
        <v>244</v>
      </c>
      <c r="B182" s="110">
        <v>98</v>
      </c>
      <c r="C182" s="70">
        <v>-4.8543689299999998E-2</v>
      </c>
      <c r="D182" s="15">
        <v>95</v>
      </c>
      <c r="E182" s="32">
        <f t="shared" si="94"/>
        <v>-3.0612244897959183E-2</v>
      </c>
      <c r="F182" s="18">
        <f>IF(ISNUMBER(D182), $B199 * E182, "")</f>
        <v>-4591.8367346938776</v>
      </c>
      <c r="G182" s="31">
        <v>99.3</v>
      </c>
      <c r="H182" s="32">
        <f t="shared" si="95"/>
        <v>1.3265306122448951E-2</v>
      </c>
      <c r="I182" s="91">
        <f>IF(ISNUMBER(G182), $B199 * H182, "")</f>
        <v>1989.7959183673427</v>
      </c>
      <c r="J182" s="15">
        <v>99.3</v>
      </c>
      <c r="K182" s="32">
        <f t="shared" si="96"/>
        <v>1.3265306122448951E-2</v>
      </c>
      <c r="L182" s="18">
        <f>IF(ISNUMBER(J182), $B199 * K182, "")</f>
        <v>1989.7959183673427</v>
      </c>
      <c r="M182" s="31">
        <v>99.1</v>
      </c>
      <c r="N182" s="32">
        <f t="shared" si="97"/>
        <v>1.1224489795918309E-2</v>
      </c>
      <c r="O182" s="18">
        <f>IF(ISNUMBER(M182), $B199 * N182, "")</f>
        <v>1683.6734693877463</v>
      </c>
      <c r="Q182" s="161"/>
      <c r="R182" s="161"/>
      <c r="S182" s="161"/>
    </row>
    <row r="183" spans="1:19" ht="17.25" thickBot="1">
      <c r="A183" s="111" t="s">
        <v>181</v>
      </c>
      <c r="B183" s="112">
        <v>4.8499999999999996</v>
      </c>
      <c r="C183" s="71">
        <v>-4.9019607799999997E-2</v>
      </c>
      <c r="D183" s="20">
        <v>4.6500000000000004</v>
      </c>
      <c r="E183" s="21">
        <f t="shared" si="94"/>
        <v>-4.1237113402061709E-2</v>
      </c>
      <c r="F183" s="22">
        <f>IF(ISNUMBER(D183), $B199 * E183, "")</f>
        <v>-6185.5670103092561</v>
      </c>
      <c r="G183" s="30">
        <v>4.8600000000000003</v>
      </c>
      <c r="H183" s="21">
        <f t="shared" si="95"/>
        <v>2.061855670103232E-3</v>
      </c>
      <c r="I183" s="95">
        <f>IF(ISNUMBER(G183), $B199 * H183, "")</f>
        <v>309.27835051548482</v>
      </c>
      <c r="J183" s="20">
        <v>4.8600000000000003</v>
      </c>
      <c r="K183" s="21">
        <f t="shared" si="96"/>
        <v>2.061855670103232E-3</v>
      </c>
      <c r="L183" s="22">
        <f>IF(ISNUMBER(J183), $B199 * K183, "")</f>
        <v>309.27835051548482</v>
      </c>
      <c r="M183" s="30">
        <v>4.8</v>
      </c>
      <c r="N183" s="21">
        <f t="shared" si="97"/>
        <v>-1.0309278350515427E-2</v>
      </c>
      <c r="O183" s="22">
        <f>IF(ISNUMBER(M183), $B199 * N183, "")</f>
        <v>-1546.391752577314</v>
      </c>
      <c r="Q183" s="161"/>
      <c r="R183" s="161"/>
      <c r="S183" s="161"/>
    </row>
    <row r="184" spans="1:19" ht="17.25" thickBot="1">
      <c r="A184" s="109" t="s">
        <v>130</v>
      </c>
      <c r="B184" s="113">
        <v>813</v>
      </c>
      <c r="C184" s="73">
        <v>-4.9122806999999998E-2</v>
      </c>
      <c r="D184" s="96">
        <v>795</v>
      </c>
      <c r="E184" s="97">
        <f>IF(ISNUMBER(D184), (D184 - $B184) / $B184, "")</f>
        <v>-2.2140221402214021E-2</v>
      </c>
      <c r="F184" s="98">
        <f>IF(ISNUMBER(D184), $B199 * E184, "")</f>
        <v>-3321.033210332103</v>
      </c>
      <c r="G184" s="99">
        <v>831</v>
      </c>
      <c r="H184" s="97">
        <f>IF(ISNUMBER(G184), (G184 - $B184) / $B184, "")</f>
        <v>2.2140221402214021E-2</v>
      </c>
      <c r="I184" s="100">
        <f>IF(ISNUMBER(G184), $B199 * H184, "")</f>
        <v>3321.033210332103</v>
      </c>
      <c r="J184" s="96">
        <v>831</v>
      </c>
      <c r="K184" s="97">
        <f>IF(ISNUMBER(J184), (J184 - $B184) / $B184, "")</f>
        <v>2.2140221402214021E-2</v>
      </c>
      <c r="L184" s="98">
        <f>IF(ISNUMBER(J184), $B199 * K184, "")</f>
        <v>3321.033210332103</v>
      </c>
      <c r="M184" s="99">
        <v>830</v>
      </c>
      <c r="N184" s="97">
        <f>IF(ISNUMBER(M184), (M184 - $B184) / $B184, "")</f>
        <v>2.0910209102091022E-2</v>
      </c>
      <c r="O184" s="98">
        <f>IF(ISNUMBER(M184), $B199 * N184, "")</f>
        <v>3136.5313653136532</v>
      </c>
      <c r="Q184" s="161"/>
      <c r="R184" s="161"/>
      <c r="S184" s="161"/>
    </row>
    <row r="185" spans="1:19" ht="17.25" thickBot="1">
      <c r="A185" s="109" t="s">
        <v>105</v>
      </c>
      <c r="B185" s="110">
        <v>230</v>
      </c>
      <c r="C185" s="70">
        <v>-4.9586776899999997E-2</v>
      </c>
      <c r="D185" s="15">
        <v>221</v>
      </c>
      <c r="E185" s="32">
        <f t="shared" ref="E185:E188" si="98">IF(ISNUMBER(D185), (D185 - $B185) / $B185, "")</f>
        <v>-3.9130434782608699E-2</v>
      </c>
      <c r="F185" s="18">
        <f>IF(ISNUMBER(D185), $B199 * E185, "")</f>
        <v>-5869.5652173913049</v>
      </c>
      <c r="G185" s="31">
        <v>231</v>
      </c>
      <c r="H185" s="32">
        <f t="shared" ref="H185:H188" si="99">IF(ISNUMBER(G185), (G185 - $B185) / $B185, "")</f>
        <v>4.3478260869565218E-3</v>
      </c>
      <c r="I185" s="91">
        <f>IF(ISNUMBER(G185), $B199 * H185, "")</f>
        <v>652.17391304347825</v>
      </c>
      <c r="J185" s="15">
        <v>231</v>
      </c>
      <c r="K185" s="32">
        <f t="shared" ref="K185:K188" si="100">IF(ISNUMBER(J185), (J185 - $B185) / $B185, "")</f>
        <v>4.3478260869565218E-3</v>
      </c>
      <c r="L185" s="18">
        <f>IF(ISNUMBER(J185), $B199 * K185, "")</f>
        <v>652.17391304347825</v>
      </c>
      <c r="M185" s="31">
        <v>232</v>
      </c>
      <c r="N185" s="32">
        <f t="shared" ref="N185:N188" si="101">IF(ISNUMBER(M185), (M185 - $B185) / $B185, "")</f>
        <v>8.6956521739130436E-3</v>
      </c>
      <c r="O185" s="18">
        <f>IF(ISNUMBER(M185), $B199 * N185, "")</f>
        <v>1304.3478260869565</v>
      </c>
      <c r="Q185" s="161"/>
      <c r="R185" s="161"/>
      <c r="S185" s="161"/>
    </row>
    <row r="186" spans="1:19" ht="17.25" thickBot="1">
      <c r="A186" s="109" t="s">
        <v>189</v>
      </c>
      <c r="B186" s="110">
        <v>1240</v>
      </c>
      <c r="C186" s="70">
        <v>-4.9808429100000003E-2</v>
      </c>
      <c r="D186" s="15">
        <v>1195</v>
      </c>
      <c r="E186" s="32">
        <f t="shared" si="98"/>
        <v>-3.6290322580645164E-2</v>
      </c>
      <c r="F186" s="18">
        <f>IF(ISNUMBER(D186), $B199 * E186, "")</f>
        <v>-5443.5483870967746</v>
      </c>
      <c r="G186" s="31">
        <v>1280</v>
      </c>
      <c r="H186" s="32">
        <f t="shared" si="99"/>
        <v>3.2258064516129031E-2</v>
      </c>
      <c r="I186" s="91">
        <f>IF(ISNUMBER(G186), $B199 * H186, "")</f>
        <v>4838.7096774193551</v>
      </c>
      <c r="J186" s="15">
        <v>1280</v>
      </c>
      <c r="K186" s="32">
        <f t="shared" si="100"/>
        <v>3.2258064516129031E-2</v>
      </c>
      <c r="L186" s="18">
        <f>IF(ISNUMBER(J186), $B199 * K186, "")</f>
        <v>4838.7096774193551</v>
      </c>
      <c r="M186" s="31">
        <v>1255</v>
      </c>
      <c r="N186" s="32">
        <f t="shared" si="101"/>
        <v>1.2096774193548387E-2</v>
      </c>
      <c r="O186" s="18">
        <f>IF(ISNUMBER(M186), $B199 * N186, "")</f>
        <v>1814.516129032258</v>
      </c>
      <c r="Q186" s="161"/>
      <c r="R186" s="161"/>
      <c r="S186" s="161"/>
    </row>
    <row r="187" spans="1:19" ht="17.25" thickBot="1">
      <c r="A187" s="109" t="s">
        <v>163</v>
      </c>
      <c r="B187" s="110">
        <v>7285</v>
      </c>
      <c r="C187" s="70">
        <v>-5.0195567099999998E-2</v>
      </c>
      <c r="D187" s="15">
        <v>7105</v>
      </c>
      <c r="E187" s="32">
        <f t="shared" si="98"/>
        <v>-2.4708304735758406E-2</v>
      </c>
      <c r="F187" s="18">
        <f>IF(ISNUMBER(D187), $B199 * E187, "")</f>
        <v>-3706.2457103637607</v>
      </c>
      <c r="G187" s="31">
        <v>7335</v>
      </c>
      <c r="H187" s="32">
        <f t="shared" si="99"/>
        <v>6.8634179821551134E-3</v>
      </c>
      <c r="I187" s="91">
        <f>IF(ISNUMBER(G187), $B199 * H187, "")</f>
        <v>1029.512697323267</v>
      </c>
      <c r="J187" s="15">
        <v>7335</v>
      </c>
      <c r="K187" s="32">
        <f t="shared" si="100"/>
        <v>6.8634179821551134E-3</v>
      </c>
      <c r="L187" s="18">
        <f>IF(ISNUMBER(J187), $B199 * K187, "")</f>
        <v>1029.512697323267</v>
      </c>
      <c r="M187" s="31">
        <v>7240</v>
      </c>
      <c r="N187" s="32">
        <f t="shared" si="101"/>
        <v>-6.1770761839396015E-3</v>
      </c>
      <c r="O187" s="18">
        <f>IF(ISNUMBER(M187), $B199 * N187, "")</f>
        <v>-926.56142759094018</v>
      </c>
      <c r="Q187" s="33"/>
      <c r="R187" s="33"/>
    </row>
    <row r="188" spans="1:19" ht="17.25" thickBot="1">
      <c r="A188" s="114" t="s">
        <v>183</v>
      </c>
      <c r="B188" s="115">
        <v>143</v>
      </c>
      <c r="C188" s="72">
        <v>-5.2980132499999999E-2</v>
      </c>
      <c r="D188" s="24">
        <v>142</v>
      </c>
      <c r="E188" s="25">
        <f t="shared" si="98"/>
        <v>-6.993006993006993E-3</v>
      </c>
      <c r="F188" s="94">
        <f>IF(ISNUMBER(D188), $B199 * E188, "")</f>
        <v>-1048.951048951049</v>
      </c>
      <c r="G188" s="92">
        <v>147</v>
      </c>
      <c r="H188" s="25">
        <f t="shared" si="99"/>
        <v>2.7972027972027972E-2</v>
      </c>
      <c r="I188" s="93">
        <f>IF(ISNUMBER(G188), $B199 * H188, "")</f>
        <v>4195.8041958041958</v>
      </c>
      <c r="J188" s="24">
        <v>147</v>
      </c>
      <c r="K188" s="25">
        <f t="shared" si="100"/>
        <v>2.7972027972027972E-2</v>
      </c>
      <c r="L188" s="94">
        <f>IF(ISNUMBER(J188), $B199 * K188, "")</f>
        <v>4195.8041958041958</v>
      </c>
      <c r="M188" s="92">
        <v>148</v>
      </c>
      <c r="N188" s="25">
        <f t="shared" si="101"/>
        <v>3.4965034965034968E-2</v>
      </c>
      <c r="O188" s="94">
        <f>IF(ISNUMBER(M188), $B199 * N188, "")</f>
        <v>5244.7552447552453</v>
      </c>
      <c r="Q188" s="170"/>
      <c r="R188" s="171"/>
      <c r="S188" s="172"/>
    </row>
    <row r="189" spans="1:19">
      <c r="A189" s="107" t="s">
        <v>352</v>
      </c>
      <c r="B189" s="108">
        <v>248</v>
      </c>
      <c r="C189" s="69">
        <v>-5.3435114499999999E-2</v>
      </c>
      <c r="D189" s="13">
        <v>240</v>
      </c>
      <c r="E189" s="14">
        <f>IF(ISNUMBER(D189), (D189 - $B189) / $B189, "")</f>
        <v>-3.2258064516129031E-2</v>
      </c>
      <c r="F189" s="16">
        <f>IF(ISNUMBER(D189), $B199 * E189, "")</f>
        <v>-4838.7096774193551</v>
      </c>
      <c r="G189" s="29">
        <v>247</v>
      </c>
      <c r="H189" s="14">
        <f>IF(ISNUMBER(G189), (G189 - $B189) / $B189, "")</f>
        <v>-4.0322580645161289E-3</v>
      </c>
      <c r="I189" s="90">
        <f>IF(ISNUMBER(G189), $B199 * H189, "")</f>
        <v>-604.83870967741939</v>
      </c>
      <c r="J189" s="13">
        <v>247</v>
      </c>
      <c r="K189" s="14">
        <f>IF(ISNUMBER(J189), (J189 - $B189) / $B189, "")</f>
        <v>-4.0322580645161289E-3</v>
      </c>
      <c r="L189" s="16">
        <f>IF(ISNUMBER(J189), $B199 * K189, "")</f>
        <v>-604.83870967741939</v>
      </c>
      <c r="M189" s="29">
        <v>245</v>
      </c>
      <c r="N189" s="14">
        <f>IF(ISNUMBER(M189), (M189 - $B189) / $B189, "")</f>
        <v>-1.2096774193548387E-2</v>
      </c>
      <c r="O189" s="16">
        <f>IF(ISNUMBER(M189), $B199 * N189, "")</f>
        <v>-1814.516129032258</v>
      </c>
      <c r="Q189" s="173"/>
      <c r="R189" s="174"/>
      <c r="S189" s="175"/>
    </row>
    <row r="190" spans="1:19" ht="17.25" thickBot="1">
      <c r="A190" s="109" t="s">
        <v>147</v>
      </c>
      <c r="B190" s="110">
        <v>10110</v>
      </c>
      <c r="C190" s="70">
        <v>-5.6022409000000002E-2</v>
      </c>
      <c r="D190" s="15">
        <v>9720</v>
      </c>
      <c r="E190" s="32">
        <f t="shared" ref="E190:E193" si="102">IF(ISNUMBER(D190), (D190 - $B190) / $B190, "")</f>
        <v>-3.857566765578635E-2</v>
      </c>
      <c r="F190" s="18">
        <f>IF(ISNUMBER(D190), $B199 * E190, "")</f>
        <v>-5786.3501483679529</v>
      </c>
      <c r="G190" s="31">
        <v>10170</v>
      </c>
      <c r="H190" s="32">
        <f t="shared" ref="H190:H193" si="103">IF(ISNUMBER(G190), (G190 - $B190) / $B190, "")</f>
        <v>5.9347181008902079E-3</v>
      </c>
      <c r="I190" s="91">
        <f>IF(ISNUMBER(G190), $B199 * H190, "")</f>
        <v>890.20771513353122</v>
      </c>
      <c r="J190" s="15">
        <v>10170</v>
      </c>
      <c r="K190" s="32">
        <f t="shared" ref="K190:K193" si="104">IF(ISNUMBER(J190), (J190 - $B190) / $B190, "")</f>
        <v>5.9347181008902079E-3</v>
      </c>
      <c r="L190" s="18">
        <f>IF(ISNUMBER(J190), $B199 * K190, "")</f>
        <v>890.20771513353122</v>
      </c>
      <c r="M190" s="31">
        <v>10030</v>
      </c>
      <c r="N190" s="32">
        <f t="shared" ref="N190:N193" si="105">IF(ISNUMBER(M190), (M190 - $B190) / $B190, "")</f>
        <v>-7.91295746785361E-3</v>
      </c>
      <c r="O190" s="18">
        <f>IF(ISNUMBER(M190), $B199 * N190, "")</f>
        <v>-1186.9436201780416</v>
      </c>
      <c r="Q190" s="176"/>
      <c r="R190" s="177"/>
      <c r="S190" s="178"/>
    </row>
    <row r="191" spans="1:19" ht="17.25" thickBot="1">
      <c r="A191" s="109" t="s">
        <v>85</v>
      </c>
      <c r="B191" s="110">
        <v>181</v>
      </c>
      <c r="C191" s="70">
        <v>-5.72916667E-2</v>
      </c>
      <c r="D191" s="15">
        <v>179</v>
      </c>
      <c r="E191" s="32">
        <f t="shared" si="102"/>
        <v>-1.1049723756906077E-2</v>
      </c>
      <c r="F191" s="18">
        <f>IF(ISNUMBER(D191), $B199 * E191, "")</f>
        <v>-1657.4585635359115</v>
      </c>
      <c r="G191" s="31">
        <v>187</v>
      </c>
      <c r="H191" s="32">
        <f t="shared" si="103"/>
        <v>3.3149171270718231E-2</v>
      </c>
      <c r="I191" s="91">
        <f>IF(ISNUMBER(G191), $B199 * H191, "")</f>
        <v>4972.3756906077342</v>
      </c>
      <c r="J191" s="15">
        <v>187</v>
      </c>
      <c r="K191" s="32">
        <f t="shared" si="104"/>
        <v>3.3149171270718231E-2</v>
      </c>
      <c r="L191" s="18">
        <f>IF(ISNUMBER(J191), $B199 * K191, "")</f>
        <v>4972.3756906077342</v>
      </c>
      <c r="M191" s="31">
        <v>184</v>
      </c>
      <c r="N191" s="32">
        <f t="shared" si="105"/>
        <v>1.6574585635359115E-2</v>
      </c>
      <c r="O191" s="18">
        <f>IF(ISNUMBER(M191), $B199 * N191, "")</f>
        <v>2486.1878453038671</v>
      </c>
      <c r="Q191" s="161"/>
      <c r="R191" s="161"/>
      <c r="S191" s="161"/>
    </row>
    <row r="192" spans="1:19" ht="17.25" thickBot="1">
      <c r="A192" s="109" t="s">
        <v>344</v>
      </c>
      <c r="B192" s="110">
        <v>5860</v>
      </c>
      <c r="C192" s="70">
        <v>-5.78778135E-2</v>
      </c>
      <c r="D192" s="15">
        <v>5765</v>
      </c>
      <c r="E192" s="32">
        <f t="shared" si="102"/>
        <v>-1.6211604095563138E-2</v>
      </c>
      <c r="F192" s="18">
        <f>IF(ISNUMBER(D192), $B199 * E192, "")</f>
        <v>-2431.7406143344706</v>
      </c>
      <c r="G192" s="31">
        <v>6085</v>
      </c>
      <c r="H192" s="32">
        <f t="shared" si="103"/>
        <v>3.839590443686007E-2</v>
      </c>
      <c r="I192" s="91">
        <f>IF(ISNUMBER(G192), $B199 * H192, "")</f>
        <v>5759.385665529011</v>
      </c>
      <c r="J192" s="15">
        <v>6085</v>
      </c>
      <c r="K192" s="32">
        <f t="shared" si="104"/>
        <v>3.839590443686007E-2</v>
      </c>
      <c r="L192" s="18">
        <f>IF(ISNUMBER(J192), $B199 * K192, "")</f>
        <v>5759.385665529011</v>
      </c>
      <c r="M192" s="31">
        <v>5985</v>
      </c>
      <c r="N192" s="32">
        <f t="shared" si="105"/>
        <v>2.1331058020477817E-2</v>
      </c>
      <c r="O192" s="18">
        <f>IF(ISNUMBER(M192), $B199 * N192, "")</f>
        <v>3199.6587030716728</v>
      </c>
      <c r="Q192" s="156"/>
      <c r="R192" s="156"/>
      <c r="S192" s="156"/>
    </row>
    <row r="193" spans="1:19" ht="17.25" thickBot="1">
      <c r="A193" s="111" t="s">
        <v>350</v>
      </c>
      <c r="B193" s="112">
        <v>7.34</v>
      </c>
      <c r="C193" s="71">
        <v>-6.0179257399999998E-2</v>
      </c>
      <c r="D193" s="20">
        <v>7.07</v>
      </c>
      <c r="E193" s="21">
        <f t="shared" si="102"/>
        <v>-3.6784741144414108E-2</v>
      </c>
      <c r="F193" s="22">
        <f>IF(ISNUMBER(D193), $B199 * E193, "")</f>
        <v>-5517.7111716621166</v>
      </c>
      <c r="G193" s="30">
        <v>7.36</v>
      </c>
      <c r="H193" s="21">
        <f t="shared" si="103"/>
        <v>2.7247956403270383E-3</v>
      </c>
      <c r="I193" s="95">
        <f>IF(ISNUMBER(G193), $B199 * H193, "")</f>
        <v>408.71934604905573</v>
      </c>
      <c r="J193" s="20">
        <v>7.36</v>
      </c>
      <c r="K193" s="21">
        <f t="shared" si="104"/>
        <v>2.7247956403270383E-3</v>
      </c>
      <c r="L193" s="22">
        <f>IF(ISNUMBER(J193), $B199 * K193, "")</f>
        <v>408.71934604905573</v>
      </c>
      <c r="M193" s="30">
        <v>7.31</v>
      </c>
      <c r="N193" s="21">
        <f t="shared" si="105"/>
        <v>-4.0871934604904975E-3</v>
      </c>
      <c r="O193" s="22">
        <f>IF(ISNUMBER(M193), $B199 * N193, "")</f>
        <v>-613.07901907357461</v>
      </c>
      <c r="Q193" s="156"/>
      <c r="R193" s="156"/>
      <c r="S193" s="156"/>
    </row>
    <row r="194" spans="1:19" ht="17.25" thickBot="1">
      <c r="A194" s="109" t="s">
        <v>113</v>
      </c>
      <c r="B194" s="113">
        <v>1405</v>
      </c>
      <c r="C194" s="73">
        <v>-6.0200668899999997E-2</v>
      </c>
      <c r="D194" s="96">
        <v>1365</v>
      </c>
      <c r="E194" s="97">
        <f>IF(ISNUMBER(D194), (D194 - $B194) / $B194, "")</f>
        <v>-2.8469750889679714E-2</v>
      </c>
      <c r="F194" s="98">
        <f>IF(ISNUMBER(D194), $B199 * E194, "")</f>
        <v>-4270.4626334519571</v>
      </c>
      <c r="G194" s="99">
        <v>1390</v>
      </c>
      <c r="H194" s="97">
        <f>IF(ISNUMBER(G194), (G194 - $B194) / $B194, "")</f>
        <v>-1.0676156583629894E-2</v>
      </c>
      <c r="I194" s="100">
        <f>IF(ISNUMBER(G194), $B199 * H194, "")</f>
        <v>-1601.423487544484</v>
      </c>
      <c r="J194" s="96">
        <v>1390</v>
      </c>
      <c r="K194" s="97">
        <f>IF(ISNUMBER(J194), (J194 - $B194) / $B194, "")</f>
        <v>-1.0676156583629894E-2</v>
      </c>
      <c r="L194" s="98">
        <f>IF(ISNUMBER(J194), $B199 * K194, "")</f>
        <v>-1601.423487544484</v>
      </c>
      <c r="M194" s="99">
        <v>1400</v>
      </c>
      <c r="N194" s="97">
        <f>IF(ISNUMBER(M194), (M194 - $B194) / $B194, "")</f>
        <v>-3.5587188612099642E-3</v>
      </c>
      <c r="O194" s="98">
        <f>IF(ISNUMBER(M194), $B199 * N194, "")</f>
        <v>-533.80782918149464</v>
      </c>
      <c r="Q194" s="161"/>
      <c r="R194" s="161"/>
      <c r="S194" s="161"/>
    </row>
    <row r="195" spans="1:19" ht="17.25" thickBot="1">
      <c r="A195" s="109" t="s">
        <v>151</v>
      </c>
      <c r="B195" s="110">
        <v>2390</v>
      </c>
      <c r="C195" s="70">
        <v>-7.3643410899999998E-2</v>
      </c>
      <c r="D195" s="15">
        <v>2205</v>
      </c>
      <c r="E195" s="32">
        <f t="shared" ref="E195:E198" si="106">IF(ISNUMBER(D195), (D195 - $B195) / $B195, "")</f>
        <v>-7.7405857740585768E-2</v>
      </c>
      <c r="F195" s="18">
        <f>IF(ISNUMBER(D195), $B199 * E195, "")</f>
        <v>-11610.878661087865</v>
      </c>
      <c r="G195" s="31">
        <v>2330</v>
      </c>
      <c r="H195" s="32">
        <f t="shared" ref="H195:H198" si="107">IF(ISNUMBER(G195), (G195 - $B195) / $B195, "")</f>
        <v>-2.5104602510460251E-2</v>
      </c>
      <c r="I195" s="91">
        <f>IF(ISNUMBER(G195), $B199 * H195, "")</f>
        <v>-3765.6903765690377</v>
      </c>
      <c r="J195" s="15">
        <v>2330</v>
      </c>
      <c r="K195" s="32">
        <f t="shared" ref="K195:K198" si="108">IF(ISNUMBER(J195), (J195 - $B195) / $B195, "")</f>
        <v>-2.5104602510460251E-2</v>
      </c>
      <c r="L195" s="18">
        <f>IF(ISNUMBER(J195), $B199 * K195, "")</f>
        <v>-3765.6903765690377</v>
      </c>
      <c r="M195" s="31">
        <v>2285</v>
      </c>
      <c r="N195" s="32">
        <f t="shared" ref="N195:N198" si="109">IF(ISNUMBER(M195), (M195 - $B195) / $B195, "")</f>
        <v>-4.3933054393305436E-2</v>
      </c>
      <c r="O195" s="18">
        <f>IF(ISNUMBER(M195), $B199 * N195, "")</f>
        <v>-6589.9581589958152</v>
      </c>
      <c r="Q195" s="161"/>
      <c r="R195" s="161"/>
      <c r="S195" s="161"/>
    </row>
    <row r="196" spans="1:19" ht="17.25" thickBot="1">
      <c r="A196" s="109" t="s">
        <v>204</v>
      </c>
      <c r="B196" s="110">
        <v>284</v>
      </c>
      <c r="C196" s="70">
        <v>-8.0906148900000002E-2</v>
      </c>
      <c r="D196" s="15">
        <v>268</v>
      </c>
      <c r="E196" s="32">
        <f t="shared" si="106"/>
        <v>-5.6338028169014086E-2</v>
      </c>
      <c r="F196" s="18">
        <f>IF(ISNUMBER(D196), $B199 * E196, "")</f>
        <v>-8450.7042253521122</v>
      </c>
      <c r="G196" s="31">
        <v>279</v>
      </c>
      <c r="H196" s="32">
        <f t="shared" si="107"/>
        <v>-1.7605633802816902E-2</v>
      </c>
      <c r="I196" s="91">
        <f>IF(ISNUMBER(G196), $B199 * H196, "")</f>
        <v>-2640.8450704225352</v>
      </c>
      <c r="J196" s="15">
        <v>279</v>
      </c>
      <c r="K196" s="32">
        <f t="shared" si="108"/>
        <v>-1.7605633802816902E-2</v>
      </c>
      <c r="L196" s="18">
        <f>IF(ISNUMBER(J196), $B199 * K196, "")</f>
        <v>-2640.8450704225352</v>
      </c>
      <c r="M196" s="31">
        <v>277</v>
      </c>
      <c r="N196" s="32">
        <f t="shared" si="109"/>
        <v>-2.464788732394366E-2</v>
      </c>
      <c r="O196" s="18">
        <f>IF(ISNUMBER(M196), $B199 * N196, "")</f>
        <v>-3697.183098591549</v>
      </c>
      <c r="Q196" s="161"/>
      <c r="R196" s="161"/>
      <c r="S196" s="161"/>
    </row>
    <row r="197" spans="1:19">
      <c r="A197" s="109" t="s">
        <v>97</v>
      </c>
      <c r="B197" s="110">
        <v>8.0000000000000004E-4</v>
      </c>
      <c r="C197" s="70">
        <v>-0.11111111110000001</v>
      </c>
      <c r="D197" s="15">
        <v>8.0000000000000004E-4</v>
      </c>
      <c r="E197" s="32">
        <f t="shared" si="106"/>
        <v>0</v>
      </c>
      <c r="F197" s="18">
        <f>IF(ISNUMBER(D197), $B199 * E197, "")</f>
        <v>0</v>
      </c>
      <c r="G197" s="31">
        <v>8.9999999999999998E-4</v>
      </c>
      <c r="H197" s="32">
        <f t="shared" si="107"/>
        <v>0.12499999999999992</v>
      </c>
      <c r="I197" s="91">
        <f>IF(ISNUMBER(G197), $B199 * H197, "")</f>
        <v>18749.999999999989</v>
      </c>
      <c r="J197" s="15">
        <v>8.9999999999999998E-4</v>
      </c>
      <c r="K197" s="32">
        <f t="shared" si="108"/>
        <v>0.12499999999999992</v>
      </c>
      <c r="L197" s="18">
        <f>IF(ISNUMBER(J197), $B199 * K197, "")</f>
        <v>18749.999999999989</v>
      </c>
      <c r="M197" s="31">
        <v>8.9999999999999998E-4</v>
      </c>
      <c r="N197" s="32">
        <f t="shared" si="109"/>
        <v>0.12499999999999992</v>
      </c>
      <c r="O197" s="18">
        <f>IF(ISNUMBER(M197), $B199 * N197, "")</f>
        <v>18749.999999999989</v>
      </c>
      <c r="Q197" s="183"/>
      <c r="R197" s="184"/>
      <c r="S197" s="185"/>
    </row>
    <row r="198" spans="1:19" ht="17.25" thickBot="1">
      <c r="A198" s="114" t="s">
        <v>234</v>
      </c>
      <c r="B198" s="115">
        <v>434</v>
      </c>
      <c r="C198" s="72">
        <v>-0.1285140562</v>
      </c>
      <c r="D198" s="24">
        <v>404</v>
      </c>
      <c r="E198" s="25">
        <f t="shared" si="106"/>
        <v>-6.9124423963133647E-2</v>
      </c>
      <c r="F198" s="94">
        <f>IF(ISNUMBER(D198), $B199 * E198, "")</f>
        <v>-10368.663594470047</v>
      </c>
      <c r="G198" s="92">
        <v>421</v>
      </c>
      <c r="H198" s="25">
        <f t="shared" si="107"/>
        <v>-2.9953917050691243E-2</v>
      </c>
      <c r="I198" s="93">
        <f>IF(ISNUMBER(G198), $B199 * H198, "")</f>
        <v>-4493.087557603686</v>
      </c>
      <c r="J198" s="24">
        <v>421</v>
      </c>
      <c r="K198" s="25">
        <f t="shared" si="108"/>
        <v>-2.9953917050691243E-2</v>
      </c>
      <c r="L198" s="94">
        <f>IF(ISNUMBER(J198), $B199 * K198, "")</f>
        <v>-4493.087557603686</v>
      </c>
      <c r="M198" s="92">
        <v>412</v>
      </c>
      <c r="N198" s="25">
        <f t="shared" si="109"/>
        <v>-5.0691244239631339E-2</v>
      </c>
      <c r="O198" s="94">
        <f>IF(ISNUMBER(M198), $B199 * N198, "")</f>
        <v>-7603.6866359447013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-3.2406309704075861E-2</v>
      </c>
      <c r="F199" s="28">
        <f>SUM(F179:F198)</f>
        <v>-97218.929112227546</v>
      </c>
      <c r="G199" s="26" t="s">
        <v>261</v>
      </c>
      <c r="H199" s="27">
        <f>IF(COUNT(H179:H198), SUM(H179:H198) / COUNT(H179:H198), 0)</f>
        <v>1.3098698619084378E-2</v>
      </c>
      <c r="I199" s="28">
        <f>SUM(I179:I198)</f>
        <v>39296.095857253131</v>
      </c>
      <c r="J199" s="26" t="s">
        <v>261</v>
      </c>
      <c r="K199" s="27">
        <f>IF(COUNT(K179:K198), SUM(K179:K198) / COUNT(K179:K198), 0)</f>
        <v>1.3098698619084378E-2</v>
      </c>
      <c r="L199" s="28">
        <f>SUM(L179:L198)</f>
        <v>39296.095857253131</v>
      </c>
      <c r="M199" s="26" t="s">
        <v>261</v>
      </c>
      <c r="N199" s="27">
        <f>IF(COUNT(N179:N198), SUM(N179:N198) / COUNT(N179:N198), 0)</f>
        <v>4.8904396140900617E-3</v>
      </c>
      <c r="O199" s="28">
        <f>SUM(O179:O198)</f>
        <v>14671.31884227019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F0FE-C0C6-4007-A725-5066AEBBEF57}">
  <sheetPr codeName="Sheet20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44909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-537 KRW (-0.02%)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-11,319 KRW (-0.38%)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19,911 KRW (0.66%)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1,616 KRW (0.05%)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2022-12-14(수) 오전 00:00</v>
      </c>
      <c r="C15" s="202"/>
      <c r="D15" s="158" t="str">
        <f>TEXT($G$1, "[$-ko-KR]yyyy-mm-dd(ddd) ") &amp; "오후 14:00"</f>
        <v>2022-12-14(수) 오후 14:00</v>
      </c>
      <c r="E15" s="159"/>
      <c r="F15" s="160"/>
      <c r="G15" s="158" t="str">
        <f>TEXT($G$1, "[$-ko-KR]yyyy-mm-dd(ddd) ") &amp; "오후 19:00"</f>
        <v>2022-12-14(수) 오후 19:00</v>
      </c>
      <c r="H15" s="159"/>
      <c r="I15" s="160"/>
      <c r="J15" s="158" t="str">
        <f>TEXT($G$1, "[$-ko-KR]yyyy-mm-dd(ddd) ") &amp; "오후 21:00"</f>
        <v>2022-12-14(수) 오후 21:00</v>
      </c>
      <c r="K15" s="159"/>
      <c r="L15" s="160"/>
      <c r="M15" s="158" t="str">
        <f>TEXT($G$1+1, "[$-ko-KR]yyyy-mm-dd(ddd) ") &amp; "오전 00:00"</f>
        <v>2022-12-15(목)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2022-12-14(수) 오전 00:00</v>
      </c>
      <c r="C42" s="199"/>
      <c r="D42" s="158" t="str">
        <f>TEXT($G$1, "[$-ko-KR]yyyy-mm-dd(ddd) ") &amp; "오후 14:00"</f>
        <v>2022-12-14(수) 오후 14:00</v>
      </c>
      <c r="E42" s="159"/>
      <c r="F42" s="160"/>
      <c r="G42" s="158" t="str">
        <f>TEXT($G$1, "[$-ko-KR]yyyy-mm-dd(ddd) ") &amp; "오후 19:00"</f>
        <v>2022-12-14(수) 오후 19:00</v>
      </c>
      <c r="H42" s="159"/>
      <c r="I42" s="160"/>
      <c r="J42" s="158" t="str">
        <f>TEXT($G$1, "[$-ko-KR]yyyy-mm-dd(ddd) ") &amp; "오후 21:00"</f>
        <v>2022-12-14(수) 오후 21:00</v>
      </c>
      <c r="K42" s="159"/>
      <c r="L42" s="160"/>
      <c r="M42" s="158" t="str">
        <f>TEXT($G$1+1, "[$-ko-KR]yyyy-mm-dd(ddd) ") &amp; "오전 00:00"</f>
        <v>2022-12-15(목)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141</v>
      </c>
      <c r="B44" s="108">
        <v>4.07</v>
      </c>
      <c r="C44" s="69">
        <v>0.1935483871</v>
      </c>
      <c r="D44" s="13">
        <v>3.91</v>
      </c>
      <c r="E44" s="14">
        <f>IF(ISNUMBER(D44), (D44 - $B44) / $B44, "")</f>
        <v>-3.9312039312039346E-2</v>
      </c>
      <c r="F44" s="16">
        <f>IF(ISNUMBER(D44), $B64 * E44, "")</f>
        <v>-5896.8058968059022</v>
      </c>
      <c r="G44" s="29">
        <v>3.82</v>
      </c>
      <c r="H44" s="14">
        <f>IF(ISNUMBER(G44), (G44 - $B44) / $B44, "")</f>
        <v>-6.1425061425061531E-2</v>
      </c>
      <c r="I44" s="90">
        <f>IF(ISNUMBER(G44), $B64 * H44, "")</f>
        <v>-9213.7592137592292</v>
      </c>
      <c r="J44" s="13">
        <v>3.82</v>
      </c>
      <c r="K44" s="14">
        <f>IF(ISNUMBER(J44), (J44 - $B44) / $B44, "")</f>
        <v>-6.1425061425061531E-2</v>
      </c>
      <c r="L44" s="16">
        <f>IF(ISNUMBER(J44), $B64 * K44, "")</f>
        <v>-9213.7592137592292</v>
      </c>
      <c r="M44" s="29">
        <v>3.78</v>
      </c>
      <c r="N44" s="14">
        <f>IF(ISNUMBER(M44), (M44 - $B44) / $B44, "")</f>
        <v>-7.1253071253071371E-2</v>
      </c>
      <c r="O44" s="16">
        <f>IF(ISNUMBER(M44), $B64 * N44, "")</f>
        <v>-10687.960687960705</v>
      </c>
      <c r="Q44" s="156"/>
      <c r="R44" s="156"/>
      <c r="S44" s="156"/>
    </row>
    <row r="45" spans="1:19" ht="17.25" customHeight="1" thickBot="1">
      <c r="A45" s="109" t="s">
        <v>206</v>
      </c>
      <c r="B45" s="110">
        <v>3.69</v>
      </c>
      <c r="C45" s="70">
        <v>1.93370166E-2</v>
      </c>
      <c r="D45" s="15">
        <v>3.65</v>
      </c>
      <c r="E45" s="32">
        <f t="shared" ref="E45:E48" si="14">IF(ISNUMBER(D45), (D45 - $B45) / $B45, "")</f>
        <v>-1.0840108401084021E-2</v>
      </c>
      <c r="F45" s="18">
        <f>IF(ISNUMBER(D45), $B64 * E45, "")</f>
        <v>-1626.0162601626032</v>
      </c>
      <c r="G45" s="31">
        <v>3.66</v>
      </c>
      <c r="H45" s="32">
        <f t="shared" ref="H45:H48" si="15">IF(ISNUMBER(G45), (G45 - $B45) / $B45, "")</f>
        <v>-8.1300813008129552E-3</v>
      </c>
      <c r="I45" s="91">
        <f>IF(ISNUMBER(G45), $B64 * H45, "")</f>
        <v>-1219.5121951219433</v>
      </c>
      <c r="J45" s="15">
        <v>3.66</v>
      </c>
      <c r="K45" s="32">
        <f t="shared" ref="K45:K48" si="16">IF(ISNUMBER(J45), (J45 - $B45) / $B45, "")</f>
        <v>-8.1300813008129552E-3</v>
      </c>
      <c r="L45" s="18">
        <f>IF(ISNUMBER(J45), $B64 * K45, "")</f>
        <v>-1219.5121951219433</v>
      </c>
      <c r="M45" s="31">
        <v>3.67</v>
      </c>
      <c r="N45" s="32">
        <f t="shared" ref="N45:N48" si="17">IF(ISNUMBER(M45), (M45 - $B45) / $B45, "")</f>
        <v>-5.4200542005420106E-3</v>
      </c>
      <c r="O45" s="18">
        <f>IF(ISNUMBER(M45), $B64 * N45, "")</f>
        <v>-813.0081300813016</v>
      </c>
      <c r="Q45" s="156"/>
      <c r="R45" s="156"/>
      <c r="S45" s="156"/>
    </row>
    <row r="46" spans="1:19" ht="17.25" customHeight="1" thickBot="1">
      <c r="A46" s="109" t="s">
        <v>143</v>
      </c>
      <c r="B46" s="110">
        <v>4.28</v>
      </c>
      <c r="C46" s="70">
        <v>1.9047618999999998E-2</v>
      </c>
      <c r="D46" s="15">
        <v>4.12</v>
      </c>
      <c r="E46" s="32">
        <f t="shared" si="14"/>
        <v>-3.738317757009349E-2</v>
      </c>
      <c r="F46" s="18">
        <f>IF(ISNUMBER(D46), $B64 * E46, "")</f>
        <v>-5607.4766355140237</v>
      </c>
      <c r="G46" s="31">
        <v>4.13</v>
      </c>
      <c r="H46" s="32">
        <f t="shared" si="15"/>
        <v>-3.5046728971962697E-2</v>
      </c>
      <c r="I46" s="91">
        <f>IF(ISNUMBER(G46), $B64 * H46, "")</f>
        <v>-5257.0093457944049</v>
      </c>
      <c r="J46" s="15">
        <v>4.13</v>
      </c>
      <c r="K46" s="32">
        <f t="shared" si="16"/>
        <v>-3.5046728971962697E-2</v>
      </c>
      <c r="L46" s="18">
        <f>IF(ISNUMBER(J46), $B64 * K46, "")</f>
        <v>-5257.0093457944049</v>
      </c>
      <c r="M46" s="31">
        <v>4.1500000000000004</v>
      </c>
      <c r="N46" s="32">
        <f t="shared" si="17"/>
        <v>-3.0373831775700907E-2</v>
      </c>
      <c r="O46" s="18">
        <f>IF(ISNUMBER(M46), $B64 * N46, "")</f>
        <v>-4556.0747663551356</v>
      </c>
      <c r="Q46" s="161"/>
      <c r="R46" s="161"/>
      <c r="S46" s="161"/>
    </row>
    <row r="47" spans="1:19" ht="17.25" customHeight="1" thickBot="1">
      <c r="A47" s="109" t="s">
        <v>191</v>
      </c>
      <c r="B47" s="110">
        <v>53.2</v>
      </c>
      <c r="C47" s="70">
        <v>1.52671756E-2</v>
      </c>
      <c r="D47" s="15">
        <v>53.7</v>
      </c>
      <c r="E47" s="32">
        <f t="shared" si="14"/>
        <v>9.3984962406015032E-3</v>
      </c>
      <c r="F47" s="18">
        <f>IF(ISNUMBER(D47), $B64 * E47, "")</f>
        <v>1409.7744360902254</v>
      </c>
      <c r="G47" s="31">
        <v>53.7</v>
      </c>
      <c r="H47" s="32">
        <f t="shared" si="15"/>
        <v>9.3984962406015032E-3</v>
      </c>
      <c r="I47" s="91">
        <f>IF(ISNUMBER(G47), $B64 * H47, "")</f>
        <v>1409.7744360902254</v>
      </c>
      <c r="J47" s="15">
        <v>53.7</v>
      </c>
      <c r="K47" s="32">
        <f t="shared" si="16"/>
        <v>9.3984962406015032E-3</v>
      </c>
      <c r="L47" s="18">
        <f>IF(ISNUMBER(J47), $B64 * K47, "")</f>
        <v>1409.7744360902254</v>
      </c>
      <c r="M47" s="31">
        <v>54.2</v>
      </c>
      <c r="N47" s="32">
        <f t="shared" si="17"/>
        <v>1.8796992481203006E-2</v>
      </c>
      <c r="O47" s="18">
        <f>IF(ISNUMBER(M47), $B64 * N47, "")</f>
        <v>2819.5488721804509</v>
      </c>
      <c r="Q47" s="161"/>
      <c r="R47" s="161"/>
      <c r="S47" s="161"/>
    </row>
    <row r="48" spans="1:19" ht="17.25" customHeight="1" thickBot="1">
      <c r="A48" s="111" t="s">
        <v>155</v>
      </c>
      <c r="B48" s="112">
        <v>30.6</v>
      </c>
      <c r="C48" s="71">
        <v>1.3245033099999999E-2</v>
      </c>
      <c r="D48" s="20">
        <v>30.2</v>
      </c>
      <c r="E48" s="21">
        <f t="shared" si="14"/>
        <v>-1.3071895424836671E-2</v>
      </c>
      <c r="F48" s="22">
        <f>IF(ISNUMBER(D48), $B64 * E48, "")</f>
        <v>-1960.7843137255006</v>
      </c>
      <c r="G48" s="30">
        <v>30.5</v>
      </c>
      <c r="H48" s="21">
        <f t="shared" si="15"/>
        <v>-3.2679738562091968E-3</v>
      </c>
      <c r="I48" s="95">
        <f>IF(ISNUMBER(G48), $B64 * H48, "")</f>
        <v>-490.19607843137953</v>
      </c>
      <c r="J48" s="20">
        <v>30.5</v>
      </c>
      <c r="K48" s="21">
        <f t="shared" si="16"/>
        <v>-3.2679738562091968E-3</v>
      </c>
      <c r="L48" s="22">
        <f>IF(ISNUMBER(J48), $B64 * K48, "")</f>
        <v>-490.19607843137953</v>
      </c>
      <c r="M48" s="30">
        <v>30.7</v>
      </c>
      <c r="N48" s="21">
        <f t="shared" si="17"/>
        <v>3.2679738562090806E-3</v>
      </c>
      <c r="O48" s="22">
        <f>IF(ISNUMBER(M48), $B64 * N48, "")</f>
        <v>490.19607843136208</v>
      </c>
      <c r="Q48" s="161"/>
      <c r="R48" s="161"/>
      <c r="S48" s="161"/>
    </row>
    <row r="49" spans="1:19" ht="17.25" customHeight="1" thickBot="1">
      <c r="A49" s="109" t="s">
        <v>185</v>
      </c>
      <c r="B49" s="113">
        <v>31.9</v>
      </c>
      <c r="C49" s="73">
        <v>1.26984127E-2</v>
      </c>
      <c r="D49" s="96">
        <v>31.2</v>
      </c>
      <c r="E49" s="97">
        <f>IF(ISNUMBER(D49), (D49 - $B49) / $B49, "")</f>
        <v>-2.1943573667711578E-2</v>
      </c>
      <c r="F49" s="98">
        <f>IF(ISNUMBER(D49), $B64 * E49, "")</f>
        <v>-3291.5360501567366</v>
      </c>
      <c r="G49" s="99">
        <v>31.5</v>
      </c>
      <c r="H49" s="97">
        <f>IF(ISNUMBER(G49), (G49 - $B49) / $B49, "")</f>
        <v>-1.2539184952978013E-2</v>
      </c>
      <c r="I49" s="100">
        <f>IF(ISNUMBER(G49), $B64 * H49, "")</f>
        <v>-1880.8777429467018</v>
      </c>
      <c r="J49" s="96">
        <v>31.5</v>
      </c>
      <c r="K49" s="97">
        <f>IF(ISNUMBER(J49), (J49 - $B49) / $B49, "")</f>
        <v>-1.2539184952978013E-2</v>
      </c>
      <c r="L49" s="98">
        <f>IF(ISNUMBER(J49), $B64 * K49, "")</f>
        <v>-1880.8777429467018</v>
      </c>
      <c r="M49" s="99">
        <v>31.4</v>
      </c>
      <c r="N49" s="97">
        <f>IF(ISNUMBER(M49), (M49 - $B49) / $B49, "")</f>
        <v>-1.5673981191222573E-2</v>
      </c>
      <c r="O49" s="98">
        <f>IF(ISNUMBER(M49), $B64 * N49, "")</f>
        <v>-2351.0971786833857</v>
      </c>
      <c r="Q49" s="161"/>
      <c r="R49" s="161"/>
      <c r="S49" s="161"/>
    </row>
    <row r="50" spans="1:19" ht="17.25" customHeight="1" thickBot="1">
      <c r="A50" s="109" t="s">
        <v>118</v>
      </c>
      <c r="B50" s="110">
        <v>6.66</v>
      </c>
      <c r="C50" s="70">
        <v>1.21580547E-2</v>
      </c>
      <c r="D50" s="15">
        <v>6.68</v>
      </c>
      <c r="E50" s="32">
        <f t="shared" ref="E50:E53" si="18">IF(ISNUMBER(D50), (D50 - $B50) / $B50, "")</f>
        <v>3.0030030030029388E-3</v>
      </c>
      <c r="F50" s="18">
        <f>IF(ISNUMBER(D50), $B64 * E50, "")</f>
        <v>450.45045045044083</v>
      </c>
      <c r="G50" s="31">
        <v>6.65</v>
      </c>
      <c r="H50" s="32">
        <f t="shared" ref="H50:H53" si="19">IF(ISNUMBER(G50), (G50 - $B50) / $B50, "")</f>
        <v>-1.5015015015014694E-3</v>
      </c>
      <c r="I50" s="91">
        <f>IF(ISNUMBER(G50), $B64 * H50, "")</f>
        <v>-225.22522522522041</v>
      </c>
      <c r="J50" s="15">
        <v>6.65</v>
      </c>
      <c r="K50" s="32">
        <f t="shared" ref="K50:K53" si="20">IF(ISNUMBER(J50), (J50 - $B50) / $B50, "")</f>
        <v>-1.5015015015014694E-3</v>
      </c>
      <c r="L50" s="18">
        <f>IF(ISNUMBER(J50), $B64 * K50, "")</f>
        <v>-225.22522522522041</v>
      </c>
      <c r="M50" s="31">
        <v>6.65</v>
      </c>
      <c r="N50" s="32">
        <f t="shared" ref="N50:N53" si="21">IF(ISNUMBER(M50), (M50 - $B50) / $B50, "")</f>
        <v>-1.5015015015014694E-3</v>
      </c>
      <c r="O50" s="18">
        <f>IF(ISNUMBER(M50), $B64 * N50, "")</f>
        <v>-225.22522522522041</v>
      </c>
      <c r="Q50" s="161"/>
      <c r="R50" s="161"/>
      <c r="S50" s="161"/>
    </row>
    <row r="51" spans="1:19" ht="17.25" customHeight="1" thickBot="1">
      <c r="A51" s="109" t="s">
        <v>193</v>
      </c>
      <c r="B51" s="110">
        <v>19.5</v>
      </c>
      <c r="C51" s="70">
        <v>1.0362694299999999E-2</v>
      </c>
      <c r="D51" s="15">
        <v>19.3</v>
      </c>
      <c r="E51" s="32">
        <f t="shared" si="18"/>
        <v>-1.025641025641022E-2</v>
      </c>
      <c r="F51" s="18">
        <f>IF(ISNUMBER(D51), $B64 * E51, "")</f>
        <v>-1538.4615384615331</v>
      </c>
      <c r="G51" s="31">
        <v>19.399999999999999</v>
      </c>
      <c r="H51" s="32">
        <f t="shared" si="19"/>
        <v>-5.1282051282052011E-3</v>
      </c>
      <c r="I51" s="91">
        <f>IF(ISNUMBER(G51), $B64 * H51, "")</f>
        <v>-769.2307692307802</v>
      </c>
      <c r="J51" s="15">
        <v>19.399999999999999</v>
      </c>
      <c r="K51" s="32">
        <f t="shared" si="20"/>
        <v>-5.1282051282052011E-3</v>
      </c>
      <c r="L51" s="18">
        <f>IF(ISNUMBER(J51), $B64 * K51, "")</f>
        <v>-769.2307692307802</v>
      </c>
      <c r="M51" s="31">
        <v>19.399999999999999</v>
      </c>
      <c r="N51" s="32">
        <f t="shared" si="21"/>
        <v>-5.1282051282052011E-3</v>
      </c>
      <c r="O51" s="18">
        <f>IF(ISNUMBER(M51), $B64 * N51, "")</f>
        <v>-769.2307692307802</v>
      </c>
      <c r="Q51" s="161"/>
      <c r="R51" s="161"/>
      <c r="S51" s="161"/>
    </row>
    <row r="52" spans="1:19" ht="17.25" customHeight="1" thickBot="1">
      <c r="A52" s="109" t="s">
        <v>230</v>
      </c>
      <c r="B52" s="110">
        <v>41.2</v>
      </c>
      <c r="C52" s="70">
        <v>9.8039215999999995E-3</v>
      </c>
      <c r="D52" s="15">
        <v>41</v>
      </c>
      <c r="E52" s="32">
        <f t="shared" si="18"/>
        <v>-4.8543689320389039E-3</v>
      </c>
      <c r="F52" s="18">
        <f>IF(ISNUMBER(D52), $B64 * E52, "")</f>
        <v>-728.15533980583564</v>
      </c>
      <c r="G52" s="31">
        <v>41.1</v>
      </c>
      <c r="H52" s="32">
        <f t="shared" si="19"/>
        <v>-2.427184466019452E-3</v>
      </c>
      <c r="I52" s="91">
        <f>IF(ISNUMBER(G52), $B64 * H52, "")</f>
        <v>-364.07766990291782</v>
      </c>
      <c r="J52" s="15">
        <v>41.1</v>
      </c>
      <c r="K52" s="32">
        <f t="shared" si="20"/>
        <v>-2.427184466019452E-3</v>
      </c>
      <c r="L52" s="18">
        <f>IF(ISNUMBER(J52), $B64 * K52, "")</f>
        <v>-364.07766990291782</v>
      </c>
      <c r="M52" s="31">
        <v>41.4</v>
      </c>
      <c r="N52" s="32">
        <f t="shared" si="21"/>
        <v>4.8543689320387313E-3</v>
      </c>
      <c r="O52" s="18">
        <f>IF(ISNUMBER(M52), $B64 * N52, "")</f>
        <v>728.15533980580972</v>
      </c>
      <c r="Q52" s="33"/>
      <c r="R52" s="33"/>
    </row>
    <row r="53" spans="1:19" ht="17.25" customHeight="1" thickBot="1">
      <c r="A53" s="114" t="s">
        <v>224</v>
      </c>
      <c r="B53" s="115">
        <v>20.9</v>
      </c>
      <c r="C53" s="72">
        <v>9.6618356999999995E-3</v>
      </c>
      <c r="D53" s="24">
        <v>20.7</v>
      </c>
      <c r="E53" s="25">
        <f t="shared" si="18"/>
        <v>-9.5693779904305887E-3</v>
      </c>
      <c r="F53" s="94">
        <f>IF(ISNUMBER(D53), $B64 * E53, "")</f>
        <v>-1435.4066985645884</v>
      </c>
      <c r="G53" s="92">
        <v>20.9</v>
      </c>
      <c r="H53" s="25">
        <f t="shared" si="19"/>
        <v>0</v>
      </c>
      <c r="I53" s="93">
        <f>IF(ISNUMBER(G53), $B64 * H53, "")</f>
        <v>0</v>
      </c>
      <c r="J53" s="24">
        <v>20.9</v>
      </c>
      <c r="K53" s="25">
        <f t="shared" si="20"/>
        <v>0</v>
      </c>
      <c r="L53" s="94">
        <f>IF(ISNUMBER(J53), $B64 * K53, "")</f>
        <v>0</v>
      </c>
      <c r="M53" s="92">
        <v>20.9</v>
      </c>
      <c r="N53" s="25">
        <f t="shared" si="21"/>
        <v>0</v>
      </c>
      <c r="O53" s="94">
        <f>IF(ISNUMBER(M53), $B64 * N53, "")</f>
        <v>0</v>
      </c>
      <c r="Q53" s="170"/>
      <c r="R53" s="171"/>
      <c r="S53" s="172"/>
    </row>
    <row r="54" spans="1:19" ht="17.25" customHeight="1">
      <c r="A54" s="107" t="s">
        <v>71</v>
      </c>
      <c r="B54" s="108">
        <v>11.7</v>
      </c>
      <c r="C54" s="69">
        <v>8.6206896999999998E-3</v>
      </c>
      <c r="D54" s="13">
        <v>11.6</v>
      </c>
      <c r="E54" s="14">
        <f>IF(ISNUMBER(D54), (D54 - $B54) / $B54, "")</f>
        <v>-8.5470085470085166E-3</v>
      </c>
      <c r="F54" s="16">
        <f>IF(ISNUMBER(D54), $B64 * E54, "")</f>
        <v>-1282.0512820512774</v>
      </c>
      <c r="G54" s="29">
        <v>11.7</v>
      </c>
      <c r="H54" s="14">
        <f>IF(ISNUMBER(G54), (G54 - $B54) / $B54, "")</f>
        <v>0</v>
      </c>
      <c r="I54" s="90">
        <f>IF(ISNUMBER(G54), $B64 * H54, "")</f>
        <v>0</v>
      </c>
      <c r="J54" s="13">
        <v>11.7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-8.5470085470085166E-3</v>
      </c>
      <c r="O54" s="16">
        <f>IF(ISNUMBER(M54), $B64 * N54, "")</f>
        <v>-1282.0512820512774</v>
      </c>
      <c r="Q54" s="173"/>
      <c r="R54" s="174"/>
      <c r="S54" s="175"/>
    </row>
    <row r="55" spans="1:19" ht="17.25" customHeight="1" thickBot="1">
      <c r="A55" s="109" t="s">
        <v>338</v>
      </c>
      <c r="B55" s="110">
        <v>5.01</v>
      </c>
      <c r="C55" s="70">
        <v>8.0482897000000008E-3</v>
      </c>
      <c r="D55" s="15">
        <v>5.0199999999999996</v>
      </c>
      <c r="E55" s="32">
        <f t="shared" ref="E55:E58" si="22">IF(ISNUMBER(D55), (D55 - $B55) / $B55, "")</f>
        <v>1.9960079840318935E-3</v>
      </c>
      <c r="F55" s="18">
        <f>IF(ISNUMBER(D55), $B64 * E55, "")</f>
        <v>299.40119760478404</v>
      </c>
      <c r="G55" s="31">
        <v>5.0199999999999996</v>
      </c>
      <c r="H55" s="32">
        <f t="shared" ref="H55:H58" si="23">IF(ISNUMBER(G55), (G55 - $B55) / $B55, "")</f>
        <v>1.9960079840318935E-3</v>
      </c>
      <c r="I55" s="91">
        <f>IF(ISNUMBER(G55), $B64 * H55, "")</f>
        <v>299.40119760478404</v>
      </c>
      <c r="J55" s="15">
        <v>5.0199999999999996</v>
      </c>
      <c r="K55" s="32">
        <f t="shared" ref="K55:K58" si="24">IF(ISNUMBER(J55), (J55 - $B55) / $B55, "")</f>
        <v>1.9960079840318935E-3</v>
      </c>
      <c r="L55" s="18">
        <f>IF(ISNUMBER(J55), $B64 * K55, "")</f>
        <v>299.40119760478404</v>
      </c>
      <c r="M55" s="31">
        <v>5.01</v>
      </c>
      <c r="N55" s="32">
        <f t="shared" ref="N55:N58" si="25">IF(ISNUMBER(M55), (M55 - $B55) / $B55, "")</f>
        <v>0</v>
      </c>
      <c r="O55" s="18">
        <f>IF(ISNUMBER(M55), $B64 * N55, "")</f>
        <v>0</v>
      </c>
      <c r="Q55" s="176"/>
      <c r="R55" s="177"/>
      <c r="S55" s="178"/>
    </row>
    <row r="56" spans="1:19" ht="17.25" customHeight="1" thickBot="1">
      <c r="A56" s="109" t="s">
        <v>195</v>
      </c>
      <c r="B56" s="110">
        <v>6.64</v>
      </c>
      <c r="C56" s="70">
        <v>6.0606061000000001E-3</v>
      </c>
      <c r="D56" s="15">
        <v>6.66</v>
      </c>
      <c r="E56" s="32">
        <f t="shared" si="22"/>
        <v>3.0120481927711539E-3</v>
      </c>
      <c r="F56" s="18">
        <f>IF(ISNUMBER(D56), $B64 * E56, "")</f>
        <v>451.80722891567308</v>
      </c>
      <c r="G56" s="31">
        <v>6.7</v>
      </c>
      <c r="H56" s="32">
        <f t="shared" si="23"/>
        <v>9.0361445783133289E-3</v>
      </c>
      <c r="I56" s="91">
        <f>IF(ISNUMBER(G56), $B64 * H56, "")</f>
        <v>1355.4216867469993</v>
      </c>
      <c r="J56" s="15">
        <v>6.7</v>
      </c>
      <c r="K56" s="32">
        <f t="shared" si="24"/>
        <v>9.0361445783133289E-3</v>
      </c>
      <c r="L56" s="18">
        <f>IF(ISNUMBER(J56), $B64 * K56, "")</f>
        <v>1355.4216867469993</v>
      </c>
      <c r="M56" s="31">
        <v>6.74</v>
      </c>
      <c r="N56" s="32">
        <f t="shared" si="25"/>
        <v>1.5060240963855503E-2</v>
      </c>
      <c r="O56" s="18">
        <f>IF(ISNUMBER(M56), $B64 * N56, "")</f>
        <v>2259.0361445783255</v>
      </c>
      <c r="Q56" s="161"/>
      <c r="R56" s="161"/>
      <c r="S56" s="161"/>
    </row>
    <row r="57" spans="1:19" ht="17.25" customHeight="1" thickBot="1">
      <c r="A57" s="109" t="s">
        <v>212</v>
      </c>
      <c r="B57" s="110">
        <v>84.7</v>
      </c>
      <c r="C57" s="70">
        <v>4.7449585000000002E-3</v>
      </c>
      <c r="D57" s="15">
        <v>84.5</v>
      </c>
      <c r="E57" s="32">
        <f t="shared" si="22"/>
        <v>-2.3612750885478491E-3</v>
      </c>
      <c r="F57" s="18">
        <f>IF(ISNUMBER(D57), $B64 * E57, "")</f>
        <v>-354.19126328217737</v>
      </c>
      <c r="G57" s="31">
        <v>84.9</v>
      </c>
      <c r="H57" s="32">
        <f t="shared" si="23"/>
        <v>2.3612750885478491E-3</v>
      </c>
      <c r="I57" s="91">
        <f>IF(ISNUMBER(G57), $B64 * H57, "")</f>
        <v>354.19126328217737</v>
      </c>
      <c r="J57" s="15">
        <v>84.9</v>
      </c>
      <c r="K57" s="32">
        <f t="shared" si="24"/>
        <v>2.3612750885478491E-3</v>
      </c>
      <c r="L57" s="18">
        <f>IF(ISNUMBER(J57), $B64 * K57, "")</f>
        <v>354.19126328217737</v>
      </c>
      <c r="M57" s="31">
        <v>84.7</v>
      </c>
      <c r="N57" s="32">
        <f t="shared" si="25"/>
        <v>0</v>
      </c>
      <c r="O57" s="18">
        <f>IF(ISNUMBER(M57), $B64 * N57, "")</f>
        <v>0</v>
      </c>
      <c r="Q57" s="156"/>
      <c r="R57" s="156"/>
      <c r="S57" s="156"/>
    </row>
    <row r="58" spans="1:19" ht="17.25" customHeight="1" thickBot="1">
      <c r="A58" s="111" t="s">
        <v>228</v>
      </c>
      <c r="B58" s="112">
        <v>63.9</v>
      </c>
      <c r="C58" s="71">
        <v>4.7169810999999999E-3</v>
      </c>
      <c r="D58" s="20">
        <v>63.6</v>
      </c>
      <c r="E58" s="21">
        <f t="shared" si="22"/>
        <v>-4.6948356807511296E-3</v>
      </c>
      <c r="F58" s="22">
        <f>IF(ISNUMBER(D58), $B64 * E58, "")</f>
        <v>-704.22535211266938</v>
      </c>
      <c r="G58" s="30">
        <v>63.8</v>
      </c>
      <c r="H58" s="21">
        <f t="shared" si="23"/>
        <v>-1.5649452269170803E-3</v>
      </c>
      <c r="I58" s="95">
        <f>IF(ISNUMBER(G58), $B64 * H58, "")</f>
        <v>-234.74178403756204</v>
      </c>
      <c r="J58" s="20">
        <v>63.8</v>
      </c>
      <c r="K58" s="21">
        <f t="shared" si="24"/>
        <v>-1.5649452269170803E-3</v>
      </c>
      <c r="L58" s="22">
        <f>IF(ISNUMBER(J58), $B64 * K58, "")</f>
        <v>-234.74178403756204</v>
      </c>
      <c r="M58" s="30">
        <v>63.8</v>
      </c>
      <c r="N58" s="21">
        <f t="shared" si="25"/>
        <v>-1.5649452269170803E-3</v>
      </c>
      <c r="O58" s="22">
        <f>IF(ISNUMBER(M58), $B64 * N58, "")</f>
        <v>-234.74178403756204</v>
      </c>
      <c r="Q58" s="156"/>
      <c r="R58" s="156"/>
      <c r="S58" s="156"/>
    </row>
    <row r="59" spans="1:19" ht="17.25" customHeight="1" thickBot="1">
      <c r="A59" s="109" t="s">
        <v>200</v>
      </c>
      <c r="B59" s="113">
        <v>6.89</v>
      </c>
      <c r="C59" s="73">
        <v>4.3731778000000001E-3</v>
      </c>
      <c r="D59" s="96">
        <v>6.91</v>
      </c>
      <c r="E59" s="97">
        <f>IF(ISNUMBER(D59), (D59 - $B59) / $B59, "")</f>
        <v>2.902757619738819E-3</v>
      </c>
      <c r="F59" s="98">
        <f>IF(ISNUMBER(D59), $B64 * E59, "")</f>
        <v>435.41364296082287</v>
      </c>
      <c r="G59" s="99">
        <v>6.9</v>
      </c>
      <c r="H59" s="97">
        <f>IF(ISNUMBER(G59), (G59 - $B59) / $B59, "")</f>
        <v>1.4513788098694739E-3</v>
      </c>
      <c r="I59" s="100">
        <f>IF(ISNUMBER(G59), $B64 * H59, "")</f>
        <v>217.7068214804211</v>
      </c>
      <c r="J59" s="96">
        <v>6.9</v>
      </c>
      <c r="K59" s="97">
        <f>IF(ISNUMBER(J59), (J59 - $B59) / $B59, "")</f>
        <v>1.4513788098694739E-3</v>
      </c>
      <c r="L59" s="98">
        <f>IF(ISNUMBER(J59), $B64 * K59, "")</f>
        <v>217.7068214804211</v>
      </c>
      <c r="M59" s="99">
        <v>6.99</v>
      </c>
      <c r="N59" s="97">
        <f>IF(ISNUMBER(M59), (M59 - $B59) / $B59, "")</f>
        <v>1.4513788098693838E-2</v>
      </c>
      <c r="O59" s="98">
        <f>IF(ISNUMBER(M59), $B64 * N59, "")</f>
        <v>2177.0682148040755</v>
      </c>
      <c r="Q59" s="161"/>
      <c r="R59" s="161"/>
      <c r="S59" s="161"/>
    </row>
    <row r="60" spans="1:19" ht="17.25" customHeight="1" thickBot="1">
      <c r="A60" s="109" t="s">
        <v>126</v>
      </c>
      <c r="B60" s="110">
        <v>29.1</v>
      </c>
      <c r="C60" s="70">
        <v>3.4482759000000001E-3</v>
      </c>
      <c r="D60" s="15">
        <v>29.1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28.9</v>
      </c>
      <c r="H60" s="32">
        <f t="shared" ref="H60:H63" si="27">IF(ISNUMBER(G60), (G60 - $B60) / $B60, "")</f>
        <v>-6.872852233677073E-3</v>
      </c>
      <c r="I60" s="91">
        <f>IF(ISNUMBER(G60), $B64 * H60, "")</f>
        <v>-1030.927835051561</v>
      </c>
      <c r="J60" s="15">
        <v>28.9</v>
      </c>
      <c r="K60" s="32">
        <f t="shared" ref="K60:K63" si="28">IF(ISNUMBER(J60), (J60 - $B60) / $B60, "")</f>
        <v>-6.872852233677073E-3</v>
      </c>
      <c r="L60" s="18">
        <f>IF(ISNUMBER(J60), $B64 * K60, "")</f>
        <v>-1030.927835051561</v>
      </c>
      <c r="M60" s="31">
        <v>28.9</v>
      </c>
      <c r="N60" s="32">
        <f t="shared" ref="N60:N63" si="29">IF(ISNUMBER(M60), (M60 - $B60) / $B60, "")</f>
        <v>-6.872852233677073E-3</v>
      </c>
      <c r="O60" s="18">
        <f>IF(ISNUMBER(M60), $B64 * N60, "")</f>
        <v>-1030.927835051561</v>
      </c>
      <c r="Q60" s="161"/>
      <c r="R60" s="161"/>
      <c r="S60" s="161"/>
    </row>
    <row r="61" spans="1:19" ht="17.25" customHeight="1" thickBot="1">
      <c r="A61" s="109" t="s">
        <v>210</v>
      </c>
      <c r="B61" s="110">
        <v>65.900000000000006</v>
      </c>
      <c r="C61" s="70">
        <v>1.5197568E-3</v>
      </c>
      <c r="D61" s="15">
        <v>66.400000000000006</v>
      </c>
      <c r="E61" s="32">
        <f t="shared" si="26"/>
        <v>7.5872534142640358E-3</v>
      </c>
      <c r="F61" s="18">
        <f>IF(ISNUMBER(D61), $B64 * E61, "")</f>
        <v>1138.0880121396053</v>
      </c>
      <c r="G61" s="31">
        <v>66.900000000000006</v>
      </c>
      <c r="H61" s="32">
        <f t="shared" si="27"/>
        <v>1.5174506828528072E-2</v>
      </c>
      <c r="I61" s="91">
        <f>IF(ISNUMBER(G61), $B64 * H61, "")</f>
        <v>2276.1760242792107</v>
      </c>
      <c r="J61" s="15">
        <v>66.900000000000006</v>
      </c>
      <c r="K61" s="32">
        <f t="shared" si="28"/>
        <v>1.5174506828528072E-2</v>
      </c>
      <c r="L61" s="18">
        <f>IF(ISNUMBER(J61), $B64 * K61, "")</f>
        <v>2276.1760242792107</v>
      </c>
      <c r="M61" s="31">
        <v>67.2</v>
      </c>
      <c r="N61" s="32">
        <f t="shared" si="29"/>
        <v>1.9726858877086449E-2</v>
      </c>
      <c r="O61" s="18">
        <f>IF(ISNUMBER(M61), $B64 * N61, "")</f>
        <v>2959.0288315629673</v>
      </c>
      <c r="Q61" s="161"/>
      <c r="R61" s="161"/>
      <c r="S61" s="161"/>
    </row>
    <row r="62" spans="1:19" ht="17.25" customHeight="1">
      <c r="A62" s="109" t="s">
        <v>97</v>
      </c>
      <c r="B62" s="110">
        <v>8.9999999999999998E-4</v>
      </c>
      <c r="C62" s="70">
        <v>0</v>
      </c>
      <c r="D62" s="15">
        <v>8.9999999999999998E-4</v>
      </c>
      <c r="E62" s="32">
        <f t="shared" si="26"/>
        <v>0</v>
      </c>
      <c r="F62" s="18">
        <f>IF(ISNUMBER(D62), $B64 * E62, "")</f>
        <v>0</v>
      </c>
      <c r="G62" s="31">
        <v>8.9999999999999998E-4</v>
      </c>
      <c r="H62" s="32">
        <f t="shared" si="27"/>
        <v>0</v>
      </c>
      <c r="I62" s="91">
        <f>IF(ISNUMBER(G62), $B64 * H62, "")</f>
        <v>0</v>
      </c>
      <c r="J62" s="15">
        <v>8.9999999999999998E-4</v>
      </c>
      <c r="K62" s="32">
        <f t="shared" si="28"/>
        <v>0</v>
      </c>
      <c r="L62" s="18">
        <f>IF(ISNUMBER(J62), $B64 * K62, "")</f>
        <v>0</v>
      </c>
      <c r="M62" s="31">
        <v>8.9999999999999998E-4</v>
      </c>
      <c r="N62" s="32">
        <f t="shared" si="29"/>
        <v>0</v>
      </c>
      <c r="O62" s="18">
        <f>IF(ISNUMBER(M62), $B64 * N62, "")</f>
        <v>0</v>
      </c>
      <c r="Q62" s="183"/>
      <c r="R62" s="184"/>
      <c r="S62" s="185"/>
    </row>
    <row r="63" spans="1:19" ht="17.25" customHeight="1" thickBot="1">
      <c r="A63" s="114" t="s">
        <v>132</v>
      </c>
      <c r="B63" s="115">
        <v>56.1</v>
      </c>
      <c r="C63" s="72">
        <v>0</v>
      </c>
      <c r="D63" s="24">
        <v>55.4</v>
      </c>
      <c r="E63" s="25">
        <f t="shared" si="26"/>
        <v>-1.2477718360071352E-2</v>
      </c>
      <c r="F63" s="94">
        <f>IF(ISNUMBER(D63), $B64 * E63, "")</f>
        <v>-1871.6577540107028</v>
      </c>
      <c r="G63" s="92">
        <v>55.8</v>
      </c>
      <c r="H63" s="25">
        <f t="shared" si="27"/>
        <v>-5.3475935828877766E-3</v>
      </c>
      <c r="I63" s="93">
        <f>IF(ISNUMBER(G63), $B64 * H63, "")</f>
        <v>-802.13903743316644</v>
      </c>
      <c r="J63" s="24">
        <v>55.8</v>
      </c>
      <c r="K63" s="25">
        <f t="shared" si="28"/>
        <v>-5.3475935828877766E-3</v>
      </c>
      <c r="L63" s="94">
        <f>IF(ISNUMBER(J63), $B64 * K63, "")</f>
        <v>-802.13903743316644</v>
      </c>
      <c r="M63" s="92">
        <v>55.8</v>
      </c>
      <c r="N63" s="25">
        <f t="shared" si="29"/>
        <v>-5.3475935828877766E-3</v>
      </c>
      <c r="O63" s="94">
        <f>IF(ISNUMBER(M63), $B64 * N63, "")</f>
        <v>-802.13903743316644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-7.3706111388306666E-3</v>
      </c>
      <c r="F64" s="28">
        <f>SUM(F44:F63)</f>
        <v>-22111.833416491998</v>
      </c>
      <c r="G64" s="26" t="s">
        <v>261</v>
      </c>
      <c r="H64" s="27">
        <f>IF(COUNT(H44:H63), SUM(H44:H63) / COUNT(H44:H63), 0)</f>
        <v>-5.191675155817017E-3</v>
      </c>
      <c r="I64" s="28">
        <f>SUM(I44:I63)</f>
        <v>-15575.025467451052</v>
      </c>
      <c r="J64" s="26" t="s">
        <v>261</v>
      </c>
      <c r="K64" s="27">
        <f>IF(COUNT(K44:K63), SUM(K44:K63) / COUNT(K44:K63), 0)</f>
        <v>-5.191675155817017E-3</v>
      </c>
      <c r="L64" s="28">
        <f>SUM(L44:L63)</f>
        <v>-15575.025467451052</v>
      </c>
      <c r="M64" s="26" t="s">
        <v>261</v>
      </c>
      <c r="N64" s="27">
        <f>IF(COUNT(N44:N63), SUM(N44:N63) / COUNT(N44:N63), 0)</f>
        <v>-3.7731410715823692E-3</v>
      </c>
      <c r="O64" s="28">
        <f>SUM(O44:O63)</f>
        <v>-11319.423214747103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2022-12-14(수) 오전 00:00</v>
      </c>
      <c r="C69" s="199"/>
      <c r="D69" s="158" t="str">
        <f>TEXT($G$1, "[$-ko-KR]yyyy-mm-dd(ddd) ") &amp; "오후 14:00"</f>
        <v>2022-12-14(수) 오후 14:00</v>
      </c>
      <c r="E69" s="159"/>
      <c r="F69" s="160"/>
      <c r="G69" s="158" t="str">
        <f>TEXT($G$1, "[$-ko-KR]yyyy-mm-dd(ddd) ") &amp; "오후 19:00"</f>
        <v>2022-12-14(수) 오후 19:00</v>
      </c>
      <c r="H69" s="159"/>
      <c r="I69" s="160"/>
      <c r="J69" s="158" t="str">
        <f>TEXT($G$1, "[$-ko-KR]yyyy-mm-dd(ddd) ") &amp; "오후 21:00"</f>
        <v>2022-12-14(수) 오후 21:00</v>
      </c>
      <c r="K69" s="159"/>
      <c r="L69" s="160"/>
      <c r="M69" s="158" t="str">
        <f>TEXT($G$1+1, "[$-ko-KR]yyyy-mm-dd(ddd) ") &amp; "오전 00:00"</f>
        <v>2022-12-15(목)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232</v>
      </c>
      <c r="B71" s="108">
        <v>299</v>
      </c>
      <c r="C71" s="69">
        <v>2.0477815699999999E-2</v>
      </c>
      <c r="D71" s="13">
        <v>302</v>
      </c>
      <c r="E71" s="14">
        <f>IF(ISNUMBER(D71), (D71 - $B71) / $B71, "")</f>
        <v>1.0033444816053512E-2</v>
      </c>
      <c r="F71" s="16">
        <f>IF(ISNUMBER(D71), $B91 * E71, "")</f>
        <v>1505.0167224080267</v>
      </c>
      <c r="G71" s="29">
        <v>300</v>
      </c>
      <c r="H71" s="14">
        <f>IF(ISNUMBER(G71), (G71 - $B71) / $B71, "")</f>
        <v>3.3444816053511705E-3</v>
      </c>
      <c r="I71" s="90">
        <f>IF(ISNUMBER(G71), $B91 * H71, "")</f>
        <v>501.67224080267556</v>
      </c>
      <c r="J71" s="13">
        <v>300</v>
      </c>
      <c r="K71" s="14">
        <f>IF(ISNUMBER(J71), (J71 - $B71) / $B71, "")</f>
        <v>3.3444816053511705E-3</v>
      </c>
      <c r="L71" s="16">
        <f>IF(ISNUMBER(J71), $B91 * K71, "")</f>
        <v>501.67224080267556</v>
      </c>
      <c r="M71" s="29">
        <v>301</v>
      </c>
      <c r="N71" s="14">
        <f>IF(ISNUMBER(M71), (M71 - $B71) / $B71, "")</f>
        <v>6.688963210702341E-3</v>
      </c>
      <c r="O71" s="16">
        <f>IF(ISNUMBER(M71), $B91 * N71, "")</f>
        <v>1003.3444816053511</v>
      </c>
      <c r="Q71" s="156"/>
      <c r="R71" s="156"/>
      <c r="S71" s="156"/>
    </row>
    <row r="72" spans="1:19" ht="17.25" thickBot="1">
      <c r="A72" s="109" t="s">
        <v>256</v>
      </c>
      <c r="B72" s="110">
        <v>121</v>
      </c>
      <c r="C72" s="70">
        <v>1.6806722699999999E-2</v>
      </c>
      <c r="D72" s="15">
        <v>119</v>
      </c>
      <c r="E72" s="32">
        <f t="shared" ref="E72:E75" si="30">IF(ISNUMBER(D72), (D72 - $B72) / $B72, "")</f>
        <v>-1.6528925619834711E-2</v>
      </c>
      <c r="F72" s="18">
        <f>IF(ISNUMBER(D72), $B91 * E72, "")</f>
        <v>-2479.3388429752067</v>
      </c>
      <c r="G72" s="31">
        <v>119</v>
      </c>
      <c r="H72" s="32">
        <f t="shared" ref="H72:H75" si="31">IF(ISNUMBER(G72), (G72 - $B72) / $B72, "")</f>
        <v>-1.6528925619834711E-2</v>
      </c>
      <c r="I72" s="91">
        <f>IF(ISNUMBER(G72), $B91 * H72, "")</f>
        <v>-2479.3388429752067</v>
      </c>
      <c r="J72" s="15">
        <v>119</v>
      </c>
      <c r="K72" s="32">
        <f t="shared" ref="K72:K75" si="32">IF(ISNUMBER(J72), (J72 - $B72) / $B72, "")</f>
        <v>-1.6528925619834711E-2</v>
      </c>
      <c r="L72" s="18">
        <f>IF(ISNUMBER(J72), $B91 * K72, "")</f>
        <v>-2479.3388429752067</v>
      </c>
      <c r="M72" s="31">
        <v>120</v>
      </c>
      <c r="N72" s="32">
        <f t="shared" ref="N72:N75" si="33">IF(ISNUMBER(M72), (M72 - $B72) / $B72, "")</f>
        <v>-8.2644628099173556E-3</v>
      </c>
      <c r="O72" s="18">
        <f>IF(ISNUMBER(M72), $B91 * N72, "")</f>
        <v>-1239.6694214876034</v>
      </c>
      <c r="Q72" s="156"/>
      <c r="R72" s="156"/>
      <c r="S72" s="156"/>
    </row>
    <row r="73" spans="1:19" ht="17.25" thickBot="1">
      <c r="A73" s="109" t="s">
        <v>101</v>
      </c>
      <c r="B73" s="110">
        <v>243</v>
      </c>
      <c r="C73" s="70">
        <v>1.2500000000000001E-2</v>
      </c>
      <c r="D73" s="15">
        <v>246</v>
      </c>
      <c r="E73" s="32">
        <f t="shared" si="30"/>
        <v>1.2345679012345678E-2</v>
      </c>
      <c r="F73" s="18">
        <f>IF(ISNUMBER(D73), $B91 * E73, "")</f>
        <v>1851.8518518518517</v>
      </c>
      <c r="G73" s="31">
        <v>246</v>
      </c>
      <c r="H73" s="32">
        <f t="shared" si="31"/>
        <v>1.2345679012345678E-2</v>
      </c>
      <c r="I73" s="91">
        <f>IF(ISNUMBER(G73), $B91 * H73, "")</f>
        <v>1851.8518518518517</v>
      </c>
      <c r="J73" s="15">
        <v>246</v>
      </c>
      <c r="K73" s="32">
        <f t="shared" si="32"/>
        <v>1.2345679012345678E-2</v>
      </c>
      <c r="L73" s="18">
        <f>IF(ISNUMBER(J73), $B91 * K73, "")</f>
        <v>1851.8518518518517</v>
      </c>
      <c r="M73" s="31">
        <v>246</v>
      </c>
      <c r="N73" s="32">
        <f t="shared" si="33"/>
        <v>1.2345679012345678E-2</v>
      </c>
      <c r="O73" s="18">
        <f>IF(ISNUMBER(M73), $B91 * N73, "")</f>
        <v>1851.8518518518517</v>
      </c>
      <c r="Q73" s="161"/>
      <c r="R73" s="161"/>
      <c r="S73" s="161"/>
    </row>
    <row r="74" spans="1:19" ht="17.25" thickBot="1">
      <c r="A74" s="109" t="s">
        <v>81</v>
      </c>
      <c r="B74" s="110">
        <v>411</v>
      </c>
      <c r="C74" s="70">
        <v>9.8280098000000007E-3</v>
      </c>
      <c r="D74" s="15">
        <v>406</v>
      </c>
      <c r="E74" s="32">
        <f t="shared" si="30"/>
        <v>-1.2165450121654502E-2</v>
      </c>
      <c r="F74" s="18">
        <f>IF(ISNUMBER(D74), $B91 * E74, "")</f>
        <v>-1824.8175182481752</v>
      </c>
      <c r="G74" s="31">
        <v>409</v>
      </c>
      <c r="H74" s="32">
        <f t="shared" si="31"/>
        <v>-4.8661800486618006E-3</v>
      </c>
      <c r="I74" s="91">
        <f>IF(ISNUMBER(G74), $B91 * H74, "")</f>
        <v>-729.92700729927014</v>
      </c>
      <c r="J74" s="15">
        <v>409</v>
      </c>
      <c r="K74" s="32">
        <f t="shared" si="32"/>
        <v>-4.8661800486618006E-3</v>
      </c>
      <c r="L74" s="18">
        <f>IF(ISNUMBER(J74), $B91 * K74, "")</f>
        <v>-729.92700729927014</v>
      </c>
      <c r="M74" s="31">
        <v>410</v>
      </c>
      <c r="N74" s="32">
        <f t="shared" si="33"/>
        <v>-2.4330900243309003E-3</v>
      </c>
      <c r="O74" s="18">
        <f>IF(ISNUMBER(M74), $B91 * N74, "")</f>
        <v>-364.96350364963507</v>
      </c>
      <c r="Q74" s="161"/>
      <c r="R74" s="161"/>
      <c r="S74" s="161"/>
    </row>
    <row r="75" spans="1:19" ht="17.25" thickBot="1">
      <c r="A75" s="111" t="s">
        <v>153</v>
      </c>
      <c r="B75" s="112">
        <v>419</v>
      </c>
      <c r="C75" s="71">
        <v>9.6385541999999998E-3</v>
      </c>
      <c r="D75" s="20">
        <v>447</v>
      </c>
      <c r="E75" s="21">
        <f t="shared" si="30"/>
        <v>6.6825775656324582E-2</v>
      </c>
      <c r="F75" s="22">
        <f>IF(ISNUMBER(D75), $B91 * E75, "")</f>
        <v>10023.866348448688</v>
      </c>
      <c r="G75" s="30">
        <v>445</v>
      </c>
      <c r="H75" s="21">
        <f t="shared" si="31"/>
        <v>6.205250596658711E-2</v>
      </c>
      <c r="I75" s="95">
        <f>IF(ISNUMBER(G75), $B91 * H75, "")</f>
        <v>9307.8758949880666</v>
      </c>
      <c r="J75" s="20">
        <v>445</v>
      </c>
      <c r="K75" s="21">
        <f t="shared" si="32"/>
        <v>6.205250596658711E-2</v>
      </c>
      <c r="L75" s="22">
        <f>IF(ISNUMBER(J75), $B91 * K75, "")</f>
        <v>9307.8758949880666</v>
      </c>
      <c r="M75" s="30">
        <v>447</v>
      </c>
      <c r="N75" s="21">
        <f t="shared" si="33"/>
        <v>6.6825775656324582E-2</v>
      </c>
      <c r="O75" s="22">
        <f>IF(ISNUMBER(M75), $B91 * N75, "")</f>
        <v>10023.866348448688</v>
      </c>
      <c r="Q75" s="161"/>
      <c r="R75" s="161"/>
      <c r="S75" s="161"/>
    </row>
    <row r="76" spans="1:19" ht="17.25" thickBot="1">
      <c r="A76" s="109" t="s">
        <v>337</v>
      </c>
      <c r="B76" s="113">
        <v>322</v>
      </c>
      <c r="C76" s="73">
        <v>9.4043887000000003E-3</v>
      </c>
      <c r="D76" s="96">
        <v>323</v>
      </c>
      <c r="E76" s="97">
        <f>IF(ISNUMBER(D76), (D76 - $B76) / $B76, "")</f>
        <v>3.105590062111801E-3</v>
      </c>
      <c r="F76" s="98">
        <f>IF(ISNUMBER(D76), $B91 * E76, "")</f>
        <v>465.83850931677017</v>
      </c>
      <c r="G76" s="99">
        <v>323</v>
      </c>
      <c r="H76" s="97">
        <f>IF(ISNUMBER(G76), (G76 - $B76) / $B76, "")</f>
        <v>3.105590062111801E-3</v>
      </c>
      <c r="I76" s="100">
        <f>IF(ISNUMBER(G76), $B91 * H76, "")</f>
        <v>465.83850931677017</v>
      </c>
      <c r="J76" s="96">
        <v>323</v>
      </c>
      <c r="K76" s="97">
        <f>IF(ISNUMBER(J76), (J76 - $B76) / $B76, "")</f>
        <v>3.105590062111801E-3</v>
      </c>
      <c r="L76" s="98">
        <f>IF(ISNUMBER(J76), $B91 * K76, "")</f>
        <v>465.83850931677017</v>
      </c>
      <c r="M76" s="99">
        <v>323</v>
      </c>
      <c r="N76" s="97">
        <f>IF(ISNUMBER(M76), (M76 - $B76) / $B76, "")</f>
        <v>3.105590062111801E-3</v>
      </c>
      <c r="O76" s="98">
        <f>IF(ISNUMBER(M76), $B91 * N76, "")</f>
        <v>465.83850931677017</v>
      </c>
      <c r="Q76" s="161"/>
      <c r="R76" s="161"/>
      <c r="S76" s="161"/>
    </row>
    <row r="77" spans="1:19" ht="17.25" thickBot="1">
      <c r="A77" s="109" t="s">
        <v>226</v>
      </c>
      <c r="B77" s="110">
        <v>232</v>
      </c>
      <c r="C77" s="70">
        <v>8.6956522000000008E-3</v>
      </c>
      <c r="D77" s="15">
        <v>232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235</v>
      </c>
      <c r="H77" s="32">
        <f t="shared" ref="H77:H80" si="35">IF(ISNUMBER(G77), (G77 - $B77) / $B77, "")</f>
        <v>1.2931034482758621E-2</v>
      </c>
      <c r="I77" s="91">
        <f>IF(ISNUMBER(G77), $B91 * H77, "")</f>
        <v>1939.655172413793</v>
      </c>
      <c r="J77" s="15">
        <v>235</v>
      </c>
      <c r="K77" s="32">
        <f t="shared" ref="K77:K80" si="36">IF(ISNUMBER(J77), (J77 - $B77) / $B77, "")</f>
        <v>1.2931034482758621E-2</v>
      </c>
      <c r="L77" s="18">
        <f>IF(ISNUMBER(J77), $B91 * K77, "")</f>
        <v>1939.655172413793</v>
      </c>
      <c r="M77" s="31">
        <v>236</v>
      </c>
      <c r="N77" s="32">
        <f t="shared" ref="N77:N80" si="37">IF(ISNUMBER(M77), (M77 - $B77) / $B77, "")</f>
        <v>1.7241379310344827E-2</v>
      </c>
      <c r="O77" s="18">
        <f>IF(ISNUMBER(M77), $B91 * N77, "")</f>
        <v>2586.2068965517242</v>
      </c>
      <c r="Q77" s="161"/>
      <c r="R77" s="161"/>
      <c r="S77" s="161"/>
    </row>
    <row r="78" spans="1:19" ht="17.25" thickBot="1">
      <c r="A78" s="109" t="s">
        <v>79</v>
      </c>
      <c r="B78" s="110">
        <v>297</v>
      </c>
      <c r="C78" s="70">
        <v>6.7796610000000002E-3</v>
      </c>
      <c r="D78" s="15">
        <v>296</v>
      </c>
      <c r="E78" s="32">
        <f t="shared" si="34"/>
        <v>-3.3670033670033669E-3</v>
      </c>
      <c r="F78" s="18">
        <f>IF(ISNUMBER(D78), $B91 * E78, "")</f>
        <v>-505.05050505050502</v>
      </c>
      <c r="G78" s="31">
        <v>297</v>
      </c>
      <c r="H78" s="32">
        <f t="shared" si="35"/>
        <v>0</v>
      </c>
      <c r="I78" s="91">
        <f>IF(ISNUMBER(G78), $B91 * H78, "")</f>
        <v>0</v>
      </c>
      <c r="J78" s="15">
        <v>297</v>
      </c>
      <c r="K78" s="32">
        <f t="shared" si="36"/>
        <v>0</v>
      </c>
      <c r="L78" s="18">
        <f>IF(ISNUMBER(J78), $B91 * K78, "")</f>
        <v>0</v>
      </c>
      <c r="M78" s="31">
        <v>297</v>
      </c>
      <c r="N78" s="32">
        <f t="shared" si="37"/>
        <v>0</v>
      </c>
      <c r="O78" s="18">
        <f>IF(ISNUMBER(M78), $B91 * N78, "")</f>
        <v>0</v>
      </c>
      <c r="Q78" s="161"/>
      <c r="R78" s="161"/>
      <c r="S78" s="161"/>
    </row>
    <row r="79" spans="1:19" ht="17.25" thickBot="1">
      <c r="A79" s="109" t="s">
        <v>242</v>
      </c>
      <c r="B79" s="110">
        <v>454</v>
      </c>
      <c r="C79" s="70">
        <v>6.6518847000000001E-3</v>
      </c>
      <c r="D79" s="15">
        <v>453</v>
      </c>
      <c r="E79" s="32">
        <f t="shared" si="34"/>
        <v>-2.2026431718061676E-3</v>
      </c>
      <c r="F79" s="18">
        <f>IF(ISNUMBER(D79), $B91 * E79, "")</f>
        <v>-330.39647577092512</v>
      </c>
      <c r="G79" s="31">
        <v>458</v>
      </c>
      <c r="H79" s="32">
        <f t="shared" si="35"/>
        <v>8.8105726872246704E-3</v>
      </c>
      <c r="I79" s="91">
        <f>IF(ISNUMBER(G79), $B91 * H79, "")</f>
        <v>1321.5859030837005</v>
      </c>
      <c r="J79" s="15">
        <v>458</v>
      </c>
      <c r="K79" s="32">
        <f t="shared" si="36"/>
        <v>8.8105726872246704E-3</v>
      </c>
      <c r="L79" s="18">
        <f>IF(ISNUMBER(J79), $B91 * K79, "")</f>
        <v>1321.5859030837005</v>
      </c>
      <c r="M79" s="31">
        <v>456</v>
      </c>
      <c r="N79" s="32">
        <f t="shared" si="37"/>
        <v>4.4052863436123352E-3</v>
      </c>
      <c r="O79" s="18">
        <f>IF(ISNUMBER(M79), $B91 * N79, "")</f>
        <v>660.79295154185024</v>
      </c>
      <c r="Q79" s="33"/>
      <c r="R79" s="33"/>
    </row>
    <row r="80" spans="1:19" ht="17.25" thickBot="1">
      <c r="A80" s="114" t="s">
        <v>176</v>
      </c>
      <c r="B80" s="115">
        <v>344</v>
      </c>
      <c r="C80" s="72">
        <v>5.8479532000000004E-3</v>
      </c>
      <c r="D80" s="24">
        <v>352</v>
      </c>
      <c r="E80" s="25">
        <f t="shared" si="34"/>
        <v>2.3255813953488372E-2</v>
      </c>
      <c r="F80" s="94">
        <f>IF(ISNUMBER(D80), $B91 * E80, "")</f>
        <v>3488.3720930232557</v>
      </c>
      <c r="G80" s="92">
        <v>350</v>
      </c>
      <c r="H80" s="25">
        <f t="shared" si="35"/>
        <v>1.7441860465116279E-2</v>
      </c>
      <c r="I80" s="93">
        <f>IF(ISNUMBER(G80), $B91 * H80, "")</f>
        <v>2616.2790697674418</v>
      </c>
      <c r="J80" s="24">
        <v>350</v>
      </c>
      <c r="K80" s="25">
        <f t="shared" si="36"/>
        <v>1.7441860465116279E-2</v>
      </c>
      <c r="L80" s="94">
        <f>IF(ISNUMBER(J80), $B91 * K80, "")</f>
        <v>2616.2790697674418</v>
      </c>
      <c r="M80" s="92">
        <v>352</v>
      </c>
      <c r="N80" s="25">
        <f t="shared" si="37"/>
        <v>2.3255813953488372E-2</v>
      </c>
      <c r="O80" s="94">
        <f>IF(ISNUMBER(M80), $B91 * N80, "")</f>
        <v>3488.3720930232557</v>
      </c>
      <c r="Q80" s="170"/>
      <c r="R80" s="171"/>
      <c r="S80" s="172"/>
    </row>
    <row r="81" spans="1:19">
      <c r="A81" s="107" t="s">
        <v>130</v>
      </c>
      <c r="B81" s="108">
        <v>830</v>
      </c>
      <c r="C81" s="69">
        <v>3.6275694999999999E-3</v>
      </c>
      <c r="D81" s="13">
        <v>835</v>
      </c>
      <c r="E81" s="14">
        <f>IF(ISNUMBER(D81), (D81 - $B81) / $B81, "")</f>
        <v>6.024096385542169E-3</v>
      </c>
      <c r="F81" s="16">
        <f>IF(ISNUMBER(D81), $B91 * E81, "")</f>
        <v>903.61445783132535</v>
      </c>
      <c r="G81" s="29">
        <v>836</v>
      </c>
      <c r="H81" s="14">
        <f>IF(ISNUMBER(G81), (G81 - $B81) / $B81, "")</f>
        <v>7.2289156626506026E-3</v>
      </c>
      <c r="I81" s="90">
        <f>IF(ISNUMBER(G81), $B91 * H81, "")</f>
        <v>1084.3373493975903</v>
      </c>
      <c r="J81" s="13">
        <v>836</v>
      </c>
      <c r="K81" s="14">
        <f>IF(ISNUMBER(J81), (J81 - $B81) / $B81, "")</f>
        <v>7.2289156626506026E-3</v>
      </c>
      <c r="L81" s="16">
        <f>IF(ISNUMBER(J81), $B91 * K81, "")</f>
        <v>1084.3373493975903</v>
      </c>
      <c r="M81" s="29">
        <v>835</v>
      </c>
      <c r="N81" s="14">
        <f>IF(ISNUMBER(M81), (M81 - $B81) / $B81, "")</f>
        <v>6.024096385542169E-3</v>
      </c>
      <c r="O81" s="16">
        <f>IF(ISNUMBER(M81), $B91 * N81, "")</f>
        <v>903.61445783132535</v>
      </c>
      <c r="Q81" s="173"/>
      <c r="R81" s="174"/>
      <c r="S81" s="175"/>
    </row>
    <row r="82" spans="1:19" ht="17.25" thickBot="1">
      <c r="A82" s="109" t="s">
        <v>89</v>
      </c>
      <c r="B82" s="110">
        <v>514</v>
      </c>
      <c r="C82" s="70">
        <v>0</v>
      </c>
      <c r="D82" s="15">
        <v>510</v>
      </c>
      <c r="E82" s="32">
        <f t="shared" ref="E82:E85" si="38">IF(ISNUMBER(D82), (D82 - $B82) / $B82, "")</f>
        <v>-7.7821011673151752E-3</v>
      </c>
      <c r="F82" s="18">
        <f>IF(ISNUMBER(D82), $B91 * E82, "")</f>
        <v>-1167.3151750972763</v>
      </c>
      <c r="G82" s="31">
        <v>513</v>
      </c>
      <c r="H82" s="32">
        <f t="shared" ref="H82:H85" si="39">IF(ISNUMBER(G82), (G82 - $B82) / $B82, "")</f>
        <v>-1.9455252918287938E-3</v>
      </c>
      <c r="I82" s="91">
        <f>IF(ISNUMBER(G82), $B91 * H82, "")</f>
        <v>-291.82879377431908</v>
      </c>
      <c r="J82" s="15">
        <v>513</v>
      </c>
      <c r="K82" s="32">
        <f t="shared" ref="K82:K85" si="40">IF(ISNUMBER(J82), (J82 - $B82) / $B82, "")</f>
        <v>-1.9455252918287938E-3</v>
      </c>
      <c r="L82" s="18">
        <f>IF(ISNUMBER(J82), $B91 * K82, "")</f>
        <v>-291.82879377431908</v>
      </c>
      <c r="M82" s="31">
        <v>513</v>
      </c>
      <c r="N82" s="32">
        <f t="shared" ref="N82:N85" si="41">IF(ISNUMBER(M82), (M82 - $B82) / $B82, "")</f>
        <v>-1.9455252918287938E-3</v>
      </c>
      <c r="O82" s="18">
        <f>IF(ISNUMBER(M82), $B91 * N82, "")</f>
        <v>-291.82879377431908</v>
      </c>
      <c r="Q82" s="176"/>
      <c r="R82" s="177"/>
      <c r="S82" s="178"/>
    </row>
    <row r="83" spans="1:19" ht="17.25" thickBot="1">
      <c r="A83" s="109" t="s">
        <v>167</v>
      </c>
      <c r="B83" s="110">
        <v>195</v>
      </c>
      <c r="C83" s="70">
        <v>0</v>
      </c>
      <c r="D83" s="15">
        <v>194</v>
      </c>
      <c r="E83" s="32">
        <f t="shared" si="38"/>
        <v>-5.1282051282051282E-3</v>
      </c>
      <c r="F83" s="18">
        <f>IF(ISNUMBER(D83), $B91 * E83, "")</f>
        <v>-769.23076923076928</v>
      </c>
      <c r="G83" s="31">
        <v>196</v>
      </c>
      <c r="H83" s="32">
        <f t="shared" si="39"/>
        <v>5.1282051282051282E-3</v>
      </c>
      <c r="I83" s="91">
        <f>IF(ISNUMBER(G83), $B91 * H83, "")</f>
        <v>769.23076923076928</v>
      </c>
      <c r="J83" s="15">
        <v>196</v>
      </c>
      <c r="K83" s="32">
        <f t="shared" si="40"/>
        <v>5.1282051282051282E-3</v>
      </c>
      <c r="L83" s="18">
        <f>IF(ISNUMBER(J83), $B91 * K83, "")</f>
        <v>769.23076923076928</v>
      </c>
      <c r="M83" s="31">
        <v>195</v>
      </c>
      <c r="N83" s="32">
        <f t="shared" si="41"/>
        <v>0</v>
      </c>
      <c r="O83" s="18">
        <f>IF(ISNUMBER(M83), $B91 * N83, "")</f>
        <v>0</v>
      </c>
      <c r="Q83" s="161"/>
      <c r="R83" s="161"/>
      <c r="S83" s="161"/>
    </row>
    <row r="84" spans="1:19" ht="17.25" thickBot="1">
      <c r="A84" s="109" t="s">
        <v>120</v>
      </c>
      <c r="B84" s="110">
        <v>128</v>
      </c>
      <c r="C84" s="70">
        <v>0</v>
      </c>
      <c r="D84" s="15">
        <v>131</v>
      </c>
      <c r="E84" s="32">
        <f t="shared" si="38"/>
        <v>2.34375E-2</v>
      </c>
      <c r="F84" s="18">
        <f>IF(ISNUMBER(D84), $B91 * E84, "")</f>
        <v>3515.625</v>
      </c>
      <c r="G84" s="31">
        <v>129</v>
      </c>
      <c r="H84" s="32">
        <f t="shared" si="39"/>
        <v>7.8125E-3</v>
      </c>
      <c r="I84" s="91">
        <f>IF(ISNUMBER(G84), $B91 * H84, "")</f>
        <v>1171.875</v>
      </c>
      <c r="J84" s="15">
        <v>129</v>
      </c>
      <c r="K84" s="32">
        <f t="shared" si="40"/>
        <v>7.8125E-3</v>
      </c>
      <c r="L84" s="18">
        <f>IF(ISNUMBER(J84), $B91 * K84, "")</f>
        <v>1171.875</v>
      </c>
      <c r="M84" s="31">
        <v>129</v>
      </c>
      <c r="N84" s="32">
        <f t="shared" si="41"/>
        <v>7.8125E-3</v>
      </c>
      <c r="O84" s="18">
        <f>IF(ISNUMBER(M84), $B91 * N84, "")</f>
        <v>1171.875</v>
      </c>
      <c r="Q84" s="156"/>
      <c r="R84" s="156"/>
      <c r="S84" s="156"/>
    </row>
    <row r="85" spans="1:19" ht="17.25" thickBot="1">
      <c r="A85" s="111" t="s">
        <v>157</v>
      </c>
      <c r="B85" s="112">
        <v>173</v>
      </c>
      <c r="C85" s="71">
        <v>0</v>
      </c>
      <c r="D85" s="20">
        <v>173</v>
      </c>
      <c r="E85" s="21">
        <f t="shared" si="38"/>
        <v>0</v>
      </c>
      <c r="F85" s="22">
        <f>IF(ISNUMBER(D85), $B91 * E85, "")</f>
        <v>0</v>
      </c>
      <c r="G85" s="30">
        <v>173</v>
      </c>
      <c r="H85" s="21">
        <f t="shared" si="39"/>
        <v>0</v>
      </c>
      <c r="I85" s="95">
        <f>IF(ISNUMBER(G85), $B91 * H85, "")</f>
        <v>0</v>
      </c>
      <c r="J85" s="20">
        <v>173</v>
      </c>
      <c r="K85" s="21">
        <f t="shared" si="40"/>
        <v>0</v>
      </c>
      <c r="L85" s="22">
        <f>IF(ISNUMBER(J85), $B91 * K85, "")</f>
        <v>0</v>
      </c>
      <c r="M85" s="30">
        <v>174</v>
      </c>
      <c r="N85" s="21">
        <f t="shared" si="41"/>
        <v>5.7803468208092483E-3</v>
      </c>
      <c r="O85" s="22">
        <f>IF(ISNUMBER(M85), $B91 * N85, "")</f>
        <v>867.05202312138726</v>
      </c>
      <c r="Q85" s="156"/>
      <c r="R85" s="156"/>
      <c r="S85" s="156"/>
    </row>
    <row r="86" spans="1:19" ht="17.25" thickBot="1">
      <c r="A86" s="109" t="s">
        <v>60</v>
      </c>
      <c r="B86" s="113">
        <v>510</v>
      </c>
      <c r="C86" s="73">
        <v>0</v>
      </c>
      <c r="D86" s="96">
        <v>512</v>
      </c>
      <c r="E86" s="97">
        <f>IF(ISNUMBER(D86), (D86 - $B86) / $B86, "")</f>
        <v>3.9215686274509803E-3</v>
      </c>
      <c r="F86" s="98">
        <f>IF(ISNUMBER(D86), $B91 * E86, "")</f>
        <v>588.23529411764707</v>
      </c>
      <c r="G86" s="99">
        <v>509</v>
      </c>
      <c r="H86" s="97">
        <f>IF(ISNUMBER(G86), (G86 - $B86) / $B86, "")</f>
        <v>-1.9607843137254902E-3</v>
      </c>
      <c r="I86" s="100">
        <f>IF(ISNUMBER(G86), $B91 * H86, "")</f>
        <v>-294.11764705882354</v>
      </c>
      <c r="J86" s="96">
        <v>509</v>
      </c>
      <c r="K86" s="97">
        <f>IF(ISNUMBER(J86), (J86 - $B86) / $B86, "")</f>
        <v>-1.9607843137254902E-3</v>
      </c>
      <c r="L86" s="98">
        <f>IF(ISNUMBER(J86), $B91 * K86, "")</f>
        <v>-294.11764705882354</v>
      </c>
      <c r="M86" s="99">
        <v>510</v>
      </c>
      <c r="N86" s="97">
        <f>IF(ISNUMBER(M86), (M86 - $B86) / $B86, "")</f>
        <v>0</v>
      </c>
      <c r="O86" s="98">
        <f>IF(ISNUMBER(M86), $B91 * N86, "")</f>
        <v>0</v>
      </c>
      <c r="Q86" s="161"/>
      <c r="R86" s="161"/>
      <c r="S86" s="161"/>
    </row>
    <row r="87" spans="1:19" ht="17.25" thickBot="1">
      <c r="A87" s="109" t="s">
        <v>183</v>
      </c>
      <c r="B87" s="110">
        <v>148</v>
      </c>
      <c r="C87" s="70">
        <v>0</v>
      </c>
      <c r="D87" s="15">
        <v>145</v>
      </c>
      <c r="E87" s="32">
        <f t="shared" ref="E87:E90" si="42">IF(ISNUMBER(D87), (D87 - $B87) / $B87, "")</f>
        <v>-2.0270270270270271E-2</v>
      </c>
      <c r="F87" s="18">
        <f>IF(ISNUMBER(D87), $B91 * E87, "")</f>
        <v>-3040.5405405405409</v>
      </c>
      <c r="G87" s="31">
        <v>145</v>
      </c>
      <c r="H87" s="32">
        <f t="shared" ref="H87:H90" si="43">IF(ISNUMBER(G87), (G87 - $B87) / $B87, "")</f>
        <v>-2.0270270270270271E-2</v>
      </c>
      <c r="I87" s="91">
        <f>IF(ISNUMBER(G87), $B91 * H87, "")</f>
        <v>-3040.5405405405409</v>
      </c>
      <c r="J87" s="15">
        <v>145</v>
      </c>
      <c r="K87" s="32">
        <f t="shared" ref="K87:K90" si="44">IF(ISNUMBER(J87), (J87 - $B87) / $B87, "")</f>
        <v>-2.0270270270270271E-2</v>
      </c>
      <c r="L87" s="18">
        <f>IF(ISNUMBER(J87), $B91 * K87, "")</f>
        <v>-3040.5405405405409</v>
      </c>
      <c r="M87" s="31">
        <v>146</v>
      </c>
      <c r="N87" s="32">
        <f t="shared" ref="N87:N90" si="45">IF(ISNUMBER(M87), (M87 - $B87) / $B87, "")</f>
        <v>-1.3513513513513514E-2</v>
      </c>
      <c r="O87" s="18">
        <f>IF(ISNUMBER(M87), $B91 * N87, "")</f>
        <v>-2027.0270270270271</v>
      </c>
      <c r="Q87" s="161"/>
      <c r="R87" s="161"/>
      <c r="S87" s="161"/>
    </row>
    <row r="88" spans="1:19" ht="17.25" thickBot="1">
      <c r="A88" s="109" t="s">
        <v>85</v>
      </c>
      <c r="B88" s="110">
        <v>184</v>
      </c>
      <c r="C88" s="70">
        <v>0</v>
      </c>
      <c r="D88" s="15">
        <v>184</v>
      </c>
      <c r="E88" s="32">
        <f t="shared" si="42"/>
        <v>0</v>
      </c>
      <c r="F88" s="18">
        <f>IF(ISNUMBER(D88), $B91 * E88, "")</f>
        <v>0</v>
      </c>
      <c r="G88" s="31">
        <v>183</v>
      </c>
      <c r="H88" s="32">
        <f t="shared" si="43"/>
        <v>-5.434782608695652E-3</v>
      </c>
      <c r="I88" s="91">
        <f>IF(ISNUMBER(G88), $B91 * H88, "")</f>
        <v>-815.21739130434776</v>
      </c>
      <c r="J88" s="15">
        <v>183</v>
      </c>
      <c r="K88" s="32">
        <f t="shared" si="44"/>
        <v>-5.434782608695652E-3</v>
      </c>
      <c r="L88" s="18">
        <f>IF(ISNUMBER(J88), $B91 * K88, "")</f>
        <v>-815.21739130434776</v>
      </c>
      <c r="M88" s="31">
        <v>183</v>
      </c>
      <c r="N88" s="32">
        <f t="shared" si="45"/>
        <v>-5.434782608695652E-3</v>
      </c>
      <c r="O88" s="18">
        <f>IF(ISNUMBER(M88), $B91 * N88, "")</f>
        <v>-815.21739130434776</v>
      </c>
      <c r="Q88" s="161"/>
      <c r="R88" s="161"/>
      <c r="S88" s="161"/>
    </row>
    <row r="89" spans="1:19">
      <c r="A89" s="109" t="s">
        <v>218</v>
      </c>
      <c r="B89" s="110">
        <v>350</v>
      </c>
      <c r="C89" s="70">
        <v>0</v>
      </c>
      <c r="D89" s="15">
        <v>348</v>
      </c>
      <c r="E89" s="32">
        <f t="shared" si="42"/>
        <v>-5.7142857142857143E-3</v>
      </c>
      <c r="F89" s="18">
        <f>IF(ISNUMBER(D89), $B91 * E89, "")</f>
        <v>-857.14285714285711</v>
      </c>
      <c r="G89" s="31">
        <v>349</v>
      </c>
      <c r="H89" s="32">
        <f t="shared" si="43"/>
        <v>-2.8571428571428571E-3</v>
      </c>
      <c r="I89" s="91">
        <f>IF(ISNUMBER(G89), $B91 * H89, "")</f>
        <v>-428.57142857142856</v>
      </c>
      <c r="J89" s="15">
        <v>349</v>
      </c>
      <c r="K89" s="32">
        <f t="shared" si="44"/>
        <v>-2.8571428571428571E-3</v>
      </c>
      <c r="L89" s="18">
        <f>IF(ISNUMBER(J89), $B91 * K89, "")</f>
        <v>-428.57142857142856</v>
      </c>
      <c r="M89" s="31">
        <v>351</v>
      </c>
      <c r="N89" s="32">
        <f t="shared" si="45"/>
        <v>2.8571428571428571E-3</v>
      </c>
      <c r="O89" s="18">
        <f>IF(ISNUMBER(M89), $B91 * N89, "")</f>
        <v>428.57142857142856</v>
      </c>
      <c r="Q89" s="183"/>
      <c r="R89" s="184"/>
      <c r="S89" s="185"/>
    </row>
    <row r="90" spans="1:19" ht="17.25" thickBot="1">
      <c r="A90" s="114" t="s">
        <v>238</v>
      </c>
      <c r="B90" s="115">
        <v>626</v>
      </c>
      <c r="C90" s="72">
        <v>0</v>
      </c>
      <c r="D90" s="24">
        <v>625</v>
      </c>
      <c r="E90" s="25">
        <f t="shared" si="42"/>
        <v>-1.5974440894568689E-3</v>
      </c>
      <c r="F90" s="94">
        <f>IF(ISNUMBER(D90), $B91 * E90, "")</f>
        <v>-239.61661341853033</v>
      </c>
      <c r="G90" s="92">
        <v>631</v>
      </c>
      <c r="H90" s="25">
        <f t="shared" si="43"/>
        <v>7.9872204472843447E-3</v>
      </c>
      <c r="I90" s="93">
        <f>IF(ISNUMBER(G90), $B91 * H90, "")</f>
        <v>1198.0830670926516</v>
      </c>
      <c r="J90" s="24">
        <v>631</v>
      </c>
      <c r="K90" s="25">
        <f t="shared" si="44"/>
        <v>7.9872204472843447E-3</v>
      </c>
      <c r="L90" s="94">
        <f>IF(ISNUMBER(J90), $B91 * K90, "")</f>
        <v>1198.0830670926516</v>
      </c>
      <c r="M90" s="92">
        <v>631</v>
      </c>
      <c r="N90" s="25">
        <f t="shared" si="45"/>
        <v>7.9872204472843447E-3</v>
      </c>
      <c r="O90" s="94">
        <f>IF(ISNUMBER(M90), $B91 * N90, "")</f>
        <v>1198.0830670926516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3.7096569931742594E-3</v>
      </c>
      <c r="F91" s="28">
        <f>SUM(F71:F90)</f>
        <v>11128.970979522781</v>
      </c>
      <c r="G91" s="26" t="s">
        <v>261</v>
      </c>
      <c r="H91" s="27">
        <f>IF(COUNT(H71:H90), SUM(H71:H90) / COUNT(H71:H90), 0)</f>
        <v>4.7162477254737902E-3</v>
      </c>
      <c r="I91" s="28">
        <f>SUM(I71:I90)</f>
        <v>14148.743176421371</v>
      </c>
      <c r="J91" s="26" t="s">
        <v>261</v>
      </c>
      <c r="K91" s="27">
        <f>IF(COUNT(K71:K90), SUM(K71:K90) / COUNT(K71:K90), 0)</f>
        <v>4.7162477254737902E-3</v>
      </c>
      <c r="L91" s="28">
        <f>SUM(L71:L90)</f>
        <v>14148.743176421371</v>
      </c>
      <c r="M91" s="26" t="s">
        <v>261</v>
      </c>
      <c r="N91" s="27">
        <f>IF(COUNT(N71:N90), SUM(N71:N90) / COUNT(N71:N90), 0)</f>
        <v>6.6369209905711183E-3</v>
      </c>
      <c r="O91" s="28">
        <f>SUM(O71:O90)</f>
        <v>19910.762971713353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2022-12-14(수) 오전 00:00</v>
      </c>
      <c r="C96" s="199"/>
      <c r="D96" s="158" t="str">
        <f>TEXT($G$1, "[$-ko-KR]yyyy-mm-dd(ddd) ") &amp; "오후 14:00"</f>
        <v>2022-12-14(수) 오후 14:00</v>
      </c>
      <c r="E96" s="159"/>
      <c r="F96" s="160"/>
      <c r="G96" s="158" t="str">
        <f>TEXT($G$1, "[$-ko-KR]yyyy-mm-dd(ddd) ") &amp; "오후 19:00"</f>
        <v>2022-12-14(수) 오후 19:00</v>
      </c>
      <c r="H96" s="159"/>
      <c r="I96" s="160"/>
      <c r="J96" s="158" t="str">
        <f>TEXT($G$1, "[$-ko-KR]yyyy-mm-dd(ddd) ") &amp; "오후 21:00"</f>
        <v>2022-12-14(수) 오후 21:00</v>
      </c>
      <c r="K96" s="159"/>
      <c r="L96" s="160"/>
      <c r="M96" s="158" t="str">
        <f>TEXT($G$1+1, "[$-ko-KR]yyyy-mm-dd(ddd) ") &amp; "오전 00:00"</f>
        <v>2022-12-15(목)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141</v>
      </c>
      <c r="B98" s="108">
        <v>4.07</v>
      </c>
      <c r="C98" s="69">
        <v>0.1935483871</v>
      </c>
      <c r="D98" s="13">
        <v>3.91</v>
      </c>
      <c r="E98" s="14">
        <f>IF(ISNUMBER(D98), (D98 - $B98) / $B98, "")</f>
        <v>-3.9312039312039346E-2</v>
      </c>
      <c r="F98" s="16">
        <f>IF(ISNUMBER(D98), $B118 * E98, "")</f>
        <v>-5896.8058968059022</v>
      </c>
      <c r="G98" s="29">
        <v>3.82</v>
      </c>
      <c r="H98" s="14">
        <f>IF(ISNUMBER(G98), (G98 - $B98) / $B98, "")</f>
        <v>-6.1425061425061531E-2</v>
      </c>
      <c r="I98" s="90">
        <f>IF(ISNUMBER(G98), $B118 * H98, "")</f>
        <v>-9213.7592137592292</v>
      </c>
      <c r="J98" s="13">
        <v>3.82</v>
      </c>
      <c r="K98" s="14">
        <f>IF(ISNUMBER(J98), (J98 - $B98) / $B98, "")</f>
        <v>-6.1425061425061531E-2</v>
      </c>
      <c r="L98" s="16">
        <f>IF(ISNUMBER(J98), $B118 * K98, "")</f>
        <v>-9213.7592137592292</v>
      </c>
      <c r="M98" s="29">
        <v>3.78</v>
      </c>
      <c r="N98" s="14">
        <f>IF(ISNUMBER(M98), (M98 - $B98) / $B98, "")</f>
        <v>-7.1253071253071371E-2</v>
      </c>
      <c r="O98" s="16">
        <f>IF(ISNUMBER(M98), $B118 * N98, "")</f>
        <v>-10687.960687960705</v>
      </c>
      <c r="Q98" s="156"/>
      <c r="R98" s="156"/>
      <c r="S98" s="156"/>
    </row>
    <row r="99" spans="1:19" ht="17.25" thickBot="1">
      <c r="A99" s="109" t="s">
        <v>328</v>
      </c>
      <c r="B99" s="110">
        <v>18150</v>
      </c>
      <c r="C99" s="70">
        <v>5.3395240900000002E-2</v>
      </c>
      <c r="D99" s="15">
        <v>17990</v>
      </c>
      <c r="E99" s="32">
        <f t="shared" ref="E99:E102" si="46">IF(ISNUMBER(D99), (D99 - $B99) / $B99, "")</f>
        <v>-8.8154269972451783E-3</v>
      </c>
      <c r="F99" s="18">
        <f>IF(ISNUMBER(D99), $B118 * E99, "")</f>
        <v>-1322.3140495867767</v>
      </c>
      <c r="G99" s="31">
        <v>18110</v>
      </c>
      <c r="H99" s="32">
        <f t="shared" ref="H99:H102" si="47">IF(ISNUMBER(G99), (G99 - $B99) / $B99, "")</f>
        <v>-2.2038567493112946E-3</v>
      </c>
      <c r="I99" s="91">
        <f>IF(ISNUMBER(G99), $B118 * H99, "")</f>
        <v>-330.57851239669418</v>
      </c>
      <c r="J99" s="15">
        <v>18110</v>
      </c>
      <c r="K99" s="32">
        <f t="shared" ref="K99:K102" si="48">IF(ISNUMBER(J99), (J99 - $B99) / $B99, "")</f>
        <v>-2.2038567493112946E-3</v>
      </c>
      <c r="L99" s="18">
        <f>IF(ISNUMBER(J99), $B118 * K99, "")</f>
        <v>-330.57851239669418</v>
      </c>
      <c r="M99" s="31">
        <v>18380</v>
      </c>
      <c r="N99" s="32">
        <f t="shared" ref="N99:N102" si="49">IF(ISNUMBER(M99), (M99 - $B99) / $B99, "")</f>
        <v>1.2672176308539946E-2</v>
      </c>
      <c r="O99" s="18">
        <f>IF(ISNUMBER(M99), $B118 * N99, "")</f>
        <v>1900.8264462809918</v>
      </c>
      <c r="Q99" s="156"/>
      <c r="R99" s="156"/>
      <c r="S99" s="156"/>
    </row>
    <row r="100" spans="1:19" ht="17.25" thickBot="1">
      <c r="A100" s="109" t="s">
        <v>116</v>
      </c>
      <c r="B100" s="110">
        <v>1180</v>
      </c>
      <c r="C100" s="70">
        <v>4.8888888899999997E-2</v>
      </c>
      <c r="D100" s="15">
        <v>1165</v>
      </c>
      <c r="E100" s="32">
        <f t="shared" si="46"/>
        <v>-1.2711864406779662E-2</v>
      </c>
      <c r="F100" s="18">
        <f>IF(ISNUMBER(D100), $B118 * E100, "")</f>
        <v>-1906.7796610169494</v>
      </c>
      <c r="G100" s="31">
        <v>1145</v>
      </c>
      <c r="H100" s="32">
        <f t="shared" si="47"/>
        <v>-2.9661016949152543E-2</v>
      </c>
      <c r="I100" s="91">
        <f>IF(ISNUMBER(G100), $B118 * H100, "")</f>
        <v>-4449.1525423728817</v>
      </c>
      <c r="J100" s="15">
        <v>1145</v>
      </c>
      <c r="K100" s="32">
        <f t="shared" si="48"/>
        <v>-2.9661016949152543E-2</v>
      </c>
      <c r="L100" s="18">
        <f>IF(ISNUMBER(J100), $B118 * K100, "")</f>
        <v>-4449.1525423728817</v>
      </c>
      <c r="M100" s="31">
        <v>1145</v>
      </c>
      <c r="N100" s="32">
        <f t="shared" si="49"/>
        <v>-2.9661016949152543E-2</v>
      </c>
      <c r="O100" s="18">
        <f>IF(ISNUMBER(M100), $B118 * N100, "")</f>
        <v>-4449.1525423728817</v>
      </c>
      <c r="Q100" s="161"/>
      <c r="R100" s="161"/>
      <c r="S100" s="161"/>
    </row>
    <row r="101" spans="1:19" ht="17.25" thickBot="1">
      <c r="A101" s="109" t="s">
        <v>320</v>
      </c>
      <c r="B101" s="110">
        <v>2235</v>
      </c>
      <c r="C101" s="70">
        <v>3.2332563500000001E-2</v>
      </c>
      <c r="D101" s="15">
        <v>2235</v>
      </c>
      <c r="E101" s="32">
        <f t="shared" si="46"/>
        <v>0</v>
      </c>
      <c r="F101" s="18">
        <f>IF(ISNUMBER(D101), $B118 * E101, "")</f>
        <v>0</v>
      </c>
      <c r="G101" s="31">
        <v>2245</v>
      </c>
      <c r="H101" s="32">
        <f t="shared" si="47"/>
        <v>4.4742729306487695E-3</v>
      </c>
      <c r="I101" s="91">
        <f>IF(ISNUMBER(G101), $B118 * H101, "")</f>
        <v>671.14093959731542</v>
      </c>
      <c r="J101" s="15">
        <v>2245</v>
      </c>
      <c r="K101" s="32">
        <f t="shared" si="48"/>
        <v>4.4742729306487695E-3</v>
      </c>
      <c r="L101" s="18">
        <f>IF(ISNUMBER(J101), $B118 * K101, "")</f>
        <v>671.14093959731542</v>
      </c>
      <c r="M101" s="31">
        <v>2245</v>
      </c>
      <c r="N101" s="32">
        <f t="shared" si="49"/>
        <v>4.4742729306487695E-3</v>
      </c>
      <c r="O101" s="18">
        <f>IF(ISNUMBER(M101), $B118 * N101, "")</f>
        <v>671.14093959731542</v>
      </c>
      <c r="Q101" s="161"/>
      <c r="R101" s="161"/>
      <c r="S101" s="161"/>
    </row>
    <row r="102" spans="1:19" ht="17.25" thickBot="1">
      <c r="A102" s="111" t="s">
        <v>93</v>
      </c>
      <c r="B102" s="112">
        <v>1743000</v>
      </c>
      <c r="C102" s="71">
        <v>2.8622012400000001E-2</v>
      </c>
      <c r="D102" s="20">
        <v>1722500</v>
      </c>
      <c r="E102" s="21">
        <f t="shared" si="46"/>
        <v>-1.1761331038439472E-2</v>
      </c>
      <c r="F102" s="22">
        <f>IF(ISNUMBER(D102), $B118 * E102, "")</f>
        <v>-1764.1996557659209</v>
      </c>
      <c r="G102" s="30">
        <v>1747000</v>
      </c>
      <c r="H102" s="21">
        <f t="shared" si="47"/>
        <v>2.2948938611589212E-3</v>
      </c>
      <c r="I102" s="95">
        <f>IF(ISNUMBER(G102), $B118 * H102, "")</f>
        <v>344.23407917383815</v>
      </c>
      <c r="J102" s="20">
        <v>1747000</v>
      </c>
      <c r="K102" s="21">
        <f t="shared" si="48"/>
        <v>2.2948938611589212E-3</v>
      </c>
      <c r="L102" s="22">
        <f>IF(ISNUMBER(J102), $B118 * K102, "")</f>
        <v>344.23407917383815</v>
      </c>
      <c r="M102" s="30">
        <v>1750500</v>
      </c>
      <c r="N102" s="21">
        <f t="shared" si="49"/>
        <v>4.3029259896729772E-3</v>
      </c>
      <c r="O102" s="22">
        <f>IF(ISNUMBER(M102), $B118 * N102, "")</f>
        <v>645.43889845094657</v>
      </c>
      <c r="Q102" s="161"/>
      <c r="R102" s="161"/>
      <c r="S102" s="161"/>
    </row>
    <row r="103" spans="1:19" ht="17.25" thickBot="1">
      <c r="A103" s="109" t="s">
        <v>99</v>
      </c>
      <c r="B103" s="113">
        <v>25350</v>
      </c>
      <c r="C103" s="73">
        <v>2.8397565900000001E-2</v>
      </c>
      <c r="D103" s="96">
        <v>25130</v>
      </c>
      <c r="E103" s="97">
        <f>IF(ISNUMBER(D103), (D103 - $B103) / $B103, "")</f>
        <v>-8.6785009861932941E-3</v>
      </c>
      <c r="F103" s="98">
        <f>IF(ISNUMBER(D103), $B118 * E103, "")</f>
        <v>-1301.7751479289941</v>
      </c>
      <c r="G103" s="99">
        <v>25280</v>
      </c>
      <c r="H103" s="97">
        <f>IF(ISNUMBER(G103), (G103 - $B103) / $B103, "")</f>
        <v>-2.7613412228796844E-3</v>
      </c>
      <c r="I103" s="100">
        <f>IF(ISNUMBER(G103), $B118 * H103, "")</f>
        <v>-414.20118343195264</v>
      </c>
      <c r="J103" s="96">
        <v>25280</v>
      </c>
      <c r="K103" s="97">
        <f>IF(ISNUMBER(J103), (J103 - $B103) / $B103, "")</f>
        <v>-2.7613412228796844E-3</v>
      </c>
      <c r="L103" s="98">
        <f>IF(ISNUMBER(J103), $B118 * K103, "")</f>
        <v>-414.20118343195264</v>
      </c>
      <c r="M103" s="99">
        <v>25340</v>
      </c>
      <c r="N103" s="97">
        <f>IF(ISNUMBER(M103), (M103 - $B103) / $B103, "")</f>
        <v>-3.9447731755424062E-4</v>
      </c>
      <c r="O103" s="98">
        <f>IF(ISNUMBER(M103), $B118 * N103, "")</f>
        <v>-59.171597633136095</v>
      </c>
      <c r="Q103" s="161"/>
      <c r="R103" s="161"/>
      <c r="S103" s="161"/>
    </row>
    <row r="104" spans="1:19" ht="17.25" thickBot="1">
      <c r="A104" s="109" t="s">
        <v>322</v>
      </c>
      <c r="B104" s="110">
        <v>82160</v>
      </c>
      <c r="C104" s="70">
        <v>2.82853567E-2</v>
      </c>
      <c r="D104" s="15">
        <v>81750</v>
      </c>
      <c r="E104" s="32">
        <f t="shared" ref="E104:E107" si="50">IF(ISNUMBER(D104), (D104 - $B104) / $B104, "")</f>
        <v>-4.9902629016553065E-3</v>
      </c>
      <c r="F104" s="18">
        <f>IF(ISNUMBER(D104), $B118 * E104, "")</f>
        <v>-748.53943524829594</v>
      </c>
      <c r="G104" s="31">
        <v>81690</v>
      </c>
      <c r="H104" s="32">
        <f t="shared" ref="H104:H107" si="51">IF(ISNUMBER(G104), (G104 - $B104) / $B104, "")</f>
        <v>-5.7205452775073032E-3</v>
      </c>
      <c r="I104" s="91">
        <f>IF(ISNUMBER(G104), $B118 * H104, "")</f>
        <v>-858.08179162609554</v>
      </c>
      <c r="J104" s="15">
        <v>81690</v>
      </c>
      <c r="K104" s="32">
        <f t="shared" ref="K104:K107" si="52">IF(ISNUMBER(J104), (J104 - $B104) / $B104, "")</f>
        <v>-5.7205452775073032E-3</v>
      </c>
      <c r="L104" s="18">
        <f>IF(ISNUMBER(J104), $B118 * K104, "")</f>
        <v>-858.08179162609554</v>
      </c>
      <c r="M104" s="31">
        <v>82460</v>
      </c>
      <c r="N104" s="32">
        <f t="shared" ref="N104:N107" si="53">IF(ISNUMBER(M104), (M104 - $B104) / $B104, "")</f>
        <v>3.6514118792599806E-3</v>
      </c>
      <c r="O104" s="18">
        <f>IF(ISNUMBER(M104), $B118 * N104, "")</f>
        <v>547.71178188899705</v>
      </c>
      <c r="Q104" s="161"/>
      <c r="R104" s="161"/>
      <c r="S104" s="161"/>
    </row>
    <row r="105" spans="1:19" ht="17.25" thickBot="1">
      <c r="A105" s="109" t="s">
        <v>75</v>
      </c>
      <c r="B105" s="110">
        <v>9120</v>
      </c>
      <c r="C105" s="70">
        <v>2.5295109600000001E-2</v>
      </c>
      <c r="D105" s="15">
        <v>8960</v>
      </c>
      <c r="E105" s="32">
        <f t="shared" si="50"/>
        <v>-1.7543859649122806E-2</v>
      </c>
      <c r="F105" s="18">
        <f>IF(ISNUMBER(D105), $B118 * E105, "")</f>
        <v>-2631.5789473684208</v>
      </c>
      <c r="G105" s="31">
        <v>8975</v>
      </c>
      <c r="H105" s="32">
        <f t="shared" si="51"/>
        <v>-1.5899122807017545E-2</v>
      </c>
      <c r="I105" s="91">
        <f>IF(ISNUMBER(G105), $B118 * H105, "")</f>
        <v>-2384.8684210526317</v>
      </c>
      <c r="J105" s="15">
        <v>8975</v>
      </c>
      <c r="K105" s="32">
        <f t="shared" si="52"/>
        <v>-1.5899122807017545E-2</v>
      </c>
      <c r="L105" s="18">
        <f>IF(ISNUMBER(J105), $B118 * K105, "")</f>
        <v>-2384.8684210526317</v>
      </c>
      <c r="M105" s="31">
        <v>8975</v>
      </c>
      <c r="N105" s="32">
        <f t="shared" si="53"/>
        <v>-1.5899122807017545E-2</v>
      </c>
      <c r="O105" s="18">
        <f>IF(ISNUMBER(M105), $B118 * N105, "")</f>
        <v>-2384.8684210526317</v>
      </c>
      <c r="Q105" s="161"/>
      <c r="R105" s="161"/>
      <c r="S105" s="161"/>
    </row>
    <row r="106" spans="1:19" ht="17.25" thickBot="1">
      <c r="A106" s="109" t="s">
        <v>49</v>
      </c>
      <c r="B106" s="110">
        <v>23320000</v>
      </c>
      <c r="C106" s="70">
        <v>2.1731510700000001E-2</v>
      </c>
      <c r="D106" s="15">
        <v>23211000</v>
      </c>
      <c r="E106" s="32">
        <f t="shared" si="50"/>
        <v>-4.6740994854202397E-3</v>
      </c>
      <c r="F106" s="18">
        <f>IF(ISNUMBER(D106), $B118 * E106, "")</f>
        <v>-701.11492281303595</v>
      </c>
      <c r="G106" s="31">
        <v>23491000</v>
      </c>
      <c r="H106" s="32">
        <f t="shared" si="51"/>
        <v>7.3327615780445967E-3</v>
      </c>
      <c r="I106" s="91">
        <f>IF(ISNUMBER(G106), $B118 * H106, "")</f>
        <v>1099.9142367066895</v>
      </c>
      <c r="J106" s="15">
        <v>23491000</v>
      </c>
      <c r="K106" s="32">
        <f t="shared" si="52"/>
        <v>7.3327615780445967E-3</v>
      </c>
      <c r="L106" s="18">
        <f>IF(ISNUMBER(J106), $B118 * K106, "")</f>
        <v>1099.9142367066895</v>
      </c>
      <c r="M106" s="31">
        <v>23770000</v>
      </c>
      <c r="N106" s="32">
        <f t="shared" si="53"/>
        <v>1.9296740994854202E-2</v>
      </c>
      <c r="O106" s="18">
        <f>IF(ISNUMBER(M106), $B118 * N106, "")</f>
        <v>2894.5111492281303</v>
      </c>
      <c r="Q106" s="33"/>
      <c r="R106" s="33"/>
    </row>
    <row r="107" spans="1:19" ht="17.25" thickBot="1">
      <c r="A107" s="114" t="s">
        <v>330</v>
      </c>
      <c r="B107" s="115">
        <v>18070</v>
      </c>
      <c r="C107" s="72">
        <v>2.1481062700000001E-2</v>
      </c>
      <c r="D107" s="24">
        <v>18150</v>
      </c>
      <c r="E107" s="25">
        <f t="shared" si="50"/>
        <v>4.4272274488101823E-3</v>
      </c>
      <c r="F107" s="94">
        <f>IF(ISNUMBER(D107), $B118 * E107, "")</f>
        <v>664.0841173215274</v>
      </c>
      <c r="G107" s="92">
        <v>18470</v>
      </c>
      <c r="H107" s="25">
        <f t="shared" si="51"/>
        <v>2.2136137244050912E-2</v>
      </c>
      <c r="I107" s="93">
        <f>IF(ISNUMBER(G107), $B118 * H107, "")</f>
        <v>3320.4205866076368</v>
      </c>
      <c r="J107" s="24">
        <v>18470</v>
      </c>
      <c r="K107" s="25">
        <f t="shared" si="52"/>
        <v>2.2136137244050912E-2</v>
      </c>
      <c r="L107" s="94">
        <f>IF(ISNUMBER(J107), $B118 * K107, "")</f>
        <v>3320.4205866076368</v>
      </c>
      <c r="M107" s="92">
        <v>19320</v>
      </c>
      <c r="N107" s="25">
        <f t="shared" si="53"/>
        <v>6.917542888765911E-2</v>
      </c>
      <c r="O107" s="94">
        <f>IF(ISNUMBER(M107), $B118 * N107, "")</f>
        <v>10376.314333148866</v>
      </c>
      <c r="Q107" s="170"/>
      <c r="R107" s="171"/>
      <c r="S107" s="172"/>
    </row>
    <row r="108" spans="1:19">
      <c r="A108" s="107" t="s">
        <v>232</v>
      </c>
      <c r="B108" s="108">
        <v>299</v>
      </c>
      <c r="C108" s="69">
        <v>2.0477815699999999E-2</v>
      </c>
      <c r="D108" s="13">
        <v>302</v>
      </c>
      <c r="E108" s="14">
        <f>IF(ISNUMBER(D108), (D108 - $B108) / $B108, "")</f>
        <v>1.0033444816053512E-2</v>
      </c>
      <c r="F108" s="16">
        <f>IF(ISNUMBER(D108), $B118 * E108, "")</f>
        <v>1505.0167224080267</v>
      </c>
      <c r="G108" s="29">
        <v>300</v>
      </c>
      <c r="H108" s="14">
        <f>IF(ISNUMBER(G108), (G108 - $B108) / $B108, "")</f>
        <v>3.3444816053511705E-3</v>
      </c>
      <c r="I108" s="90">
        <f>IF(ISNUMBER(G108), $B118 * H108, "")</f>
        <v>501.67224080267556</v>
      </c>
      <c r="J108" s="13">
        <v>300</v>
      </c>
      <c r="K108" s="14">
        <f>IF(ISNUMBER(J108), (J108 - $B108) / $B108, "")</f>
        <v>3.3444816053511705E-3</v>
      </c>
      <c r="L108" s="16">
        <f>IF(ISNUMBER(J108), $B118 * K108, "")</f>
        <v>501.67224080267556</v>
      </c>
      <c r="M108" s="29">
        <v>301</v>
      </c>
      <c r="N108" s="14">
        <f>IF(ISNUMBER(M108), (M108 - $B108) / $B108, "")</f>
        <v>6.688963210702341E-3</v>
      </c>
      <c r="O108" s="16">
        <f>IF(ISNUMBER(M108), $B118 * N108, "")</f>
        <v>1003.3444816053511</v>
      </c>
      <c r="Q108" s="173"/>
      <c r="R108" s="174"/>
      <c r="S108" s="175"/>
    </row>
    <row r="109" spans="1:19" ht="17.25" thickBot="1">
      <c r="A109" s="109" t="s">
        <v>206</v>
      </c>
      <c r="B109" s="110">
        <v>3.69</v>
      </c>
      <c r="C109" s="70">
        <v>1.93370166E-2</v>
      </c>
      <c r="D109" s="15">
        <v>3.65</v>
      </c>
      <c r="E109" s="32">
        <f t="shared" ref="E109:E112" si="54">IF(ISNUMBER(D109), (D109 - $B109) / $B109, "")</f>
        <v>-1.0840108401084021E-2</v>
      </c>
      <c r="F109" s="18">
        <f>IF(ISNUMBER(D109), $B118 * E109, "")</f>
        <v>-1626.0162601626032</v>
      </c>
      <c r="G109" s="31">
        <v>3.66</v>
      </c>
      <c r="H109" s="32">
        <f t="shared" ref="H109:H112" si="55">IF(ISNUMBER(G109), (G109 - $B109) / $B109, "")</f>
        <v>-8.1300813008129552E-3</v>
      </c>
      <c r="I109" s="91">
        <f>IF(ISNUMBER(G109), $B118 * H109, "")</f>
        <v>-1219.5121951219433</v>
      </c>
      <c r="J109" s="15">
        <v>3.66</v>
      </c>
      <c r="K109" s="32">
        <f t="shared" ref="K109:K112" si="56">IF(ISNUMBER(J109), (J109 - $B109) / $B109, "")</f>
        <v>-8.1300813008129552E-3</v>
      </c>
      <c r="L109" s="18">
        <f>IF(ISNUMBER(J109), $B118 * K109, "")</f>
        <v>-1219.5121951219433</v>
      </c>
      <c r="M109" s="31">
        <v>3.67</v>
      </c>
      <c r="N109" s="32">
        <f t="shared" ref="N109:N112" si="57">IF(ISNUMBER(M109), (M109 - $B109) / $B109, "")</f>
        <v>-5.4200542005420106E-3</v>
      </c>
      <c r="O109" s="18">
        <f>IF(ISNUMBER(M109), $B118 * N109, "")</f>
        <v>-813.0081300813016</v>
      </c>
      <c r="Q109" s="176"/>
      <c r="R109" s="177"/>
      <c r="S109" s="178"/>
    </row>
    <row r="110" spans="1:19" ht="17.25" thickBot="1">
      <c r="A110" s="109" t="s">
        <v>143</v>
      </c>
      <c r="B110" s="110">
        <v>4.28</v>
      </c>
      <c r="C110" s="70">
        <v>1.9047618999999998E-2</v>
      </c>
      <c r="D110" s="15">
        <v>4.12</v>
      </c>
      <c r="E110" s="32">
        <f t="shared" si="54"/>
        <v>-3.738317757009349E-2</v>
      </c>
      <c r="F110" s="18">
        <f>IF(ISNUMBER(D110), $B118 * E110, "")</f>
        <v>-5607.4766355140237</v>
      </c>
      <c r="G110" s="31">
        <v>4.13</v>
      </c>
      <c r="H110" s="32">
        <f t="shared" si="55"/>
        <v>-3.5046728971962697E-2</v>
      </c>
      <c r="I110" s="91">
        <f>IF(ISNUMBER(G110), $B118 * H110, "")</f>
        <v>-5257.0093457944049</v>
      </c>
      <c r="J110" s="15">
        <v>4.13</v>
      </c>
      <c r="K110" s="32">
        <f t="shared" si="56"/>
        <v>-3.5046728971962697E-2</v>
      </c>
      <c r="L110" s="18">
        <f>IF(ISNUMBER(J110), $B118 * K110, "")</f>
        <v>-5257.0093457944049</v>
      </c>
      <c r="M110" s="31">
        <v>4.1500000000000004</v>
      </c>
      <c r="N110" s="32">
        <f t="shared" si="57"/>
        <v>-3.0373831775700907E-2</v>
      </c>
      <c r="O110" s="18">
        <f>IF(ISNUMBER(M110), $B118 * N110, "")</f>
        <v>-4556.0747663551356</v>
      </c>
      <c r="Q110" s="161"/>
      <c r="R110" s="161"/>
      <c r="S110" s="161"/>
    </row>
    <row r="111" spans="1:19" ht="17.25" thickBot="1">
      <c r="A111" s="109" t="s">
        <v>77</v>
      </c>
      <c r="B111" s="110">
        <v>144000</v>
      </c>
      <c r="C111" s="70">
        <v>1.8387553000000001E-2</v>
      </c>
      <c r="D111" s="15">
        <v>143050</v>
      </c>
      <c r="E111" s="32">
        <f t="shared" si="54"/>
        <v>-6.5972222222222222E-3</v>
      </c>
      <c r="F111" s="18">
        <f>IF(ISNUMBER(D111), $B118 * E111, "")</f>
        <v>-989.58333333333337</v>
      </c>
      <c r="G111" s="31">
        <v>143500</v>
      </c>
      <c r="H111" s="32">
        <f t="shared" si="55"/>
        <v>-3.472222222222222E-3</v>
      </c>
      <c r="I111" s="91">
        <f>IF(ISNUMBER(G111), $B118 * H111, "")</f>
        <v>-520.83333333333326</v>
      </c>
      <c r="J111" s="15">
        <v>143500</v>
      </c>
      <c r="K111" s="32">
        <f t="shared" si="56"/>
        <v>-3.472222222222222E-3</v>
      </c>
      <c r="L111" s="18">
        <f>IF(ISNUMBER(J111), $B118 * K111, "")</f>
        <v>-520.83333333333326</v>
      </c>
      <c r="M111" s="31">
        <v>144000</v>
      </c>
      <c r="N111" s="32">
        <f t="shared" si="57"/>
        <v>0</v>
      </c>
      <c r="O111" s="18">
        <f>IF(ISNUMBER(M111), $B118 * N111, "")</f>
        <v>0</v>
      </c>
      <c r="Q111" s="156"/>
      <c r="R111" s="156"/>
      <c r="S111" s="156"/>
    </row>
    <row r="112" spans="1:19" ht="17.25" thickBot="1">
      <c r="A112" s="111" t="s">
        <v>256</v>
      </c>
      <c r="B112" s="112">
        <v>121</v>
      </c>
      <c r="C112" s="71">
        <v>1.6806722699999999E-2</v>
      </c>
      <c r="D112" s="20">
        <v>119</v>
      </c>
      <c r="E112" s="21">
        <f t="shared" si="54"/>
        <v>-1.6528925619834711E-2</v>
      </c>
      <c r="F112" s="22">
        <f>IF(ISNUMBER(D112), $B118 * E112, "")</f>
        <v>-2479.3388429752067</v>
      </c>
      <c r="G112" s="30">
        <v>119</v>
      </c>
      <c r="H112" s="21">
        <f t="shared" si="55"/>
        <v>-1.6528925619834711E-2</v>
      </c>
      <c r="I112" s="95">
        <f>IF(ISNUMBER(G112), $B118 * H112, "")</f>
        <v>-2479.3388429752067</v>
      </c>
      <c r="J112" s="20">
        <v>119</v>
      </c>
      <c r="K112" s="21">
        <f t="shared" si="56"/>
        <v>-1.6528925619834711E-2</v>
      </c>
      <c r="L112" s="22">
        <f>IF(ISNUMBER(J112), $B118 * K112, "")</f>
        <v>-2479.3388429752067</v>
      </c>
      <c r="M112" s="30">
        <v>120</v>
      </c>
      <c r="N112" s="21">
        <f t="shared" si="57"/>
        <v>-8.2644628099173556E-3</v>
      </c>
      <c r="O112" s="22">
        <f>IF(ISNUMBER(M112), $B118 * N112, "")</f>
        <v>-1239.6694214876034</v>
      </c>
      <c r="Q112" s="156"/>
      <c r="R112" s="156"/>
      <c r="S112" s="156"/>
    </row>
    <row r="113" spans="1:19" ht="17.25" thickBot="1">
      <c r="A113" s="109" t="s">
        <v>324</v>
      </c>
      <c r="B113" s="113">
        <v>1225</v>
      </c>
      <c r="C113" s="73">
        <v>1.6597510400000001E-2</v>
      </c>
      <c r="D113" s="96">
        <v>1205</v>
      </c>
      <c r="E113" s="97">
        <f>IF(ISNUMBER(D113), (D113 - $B113) / $B113, "")</f>
        <v>-1.6326530612244899E-2</v>
      </c>
      <c r="F113" s="98">
        <f>IF(ISNUMBER(D113), $B118 * E113, "")</f>
        <v>-2448.9795918367349</v>
      </c>
      <c r="G113" s="99">
        <v>1210</v>
      </c>
      <c r="H113" s="97">
        <f>IF(ISNUMBER(G113), (G113 - $B113) / $B113, "")</f>
        <v>-1.2244897959183673E-2</v>
      </c>
      <c r="I113" s="100">
        <f>IF(ISNUMBER(G113), $B118 * H113, "")</f>
        <v>-1836.7346938775509</v>
      </c>
      <c r="J113" s="96">
        <v>1210</v>
      </c>
      <c r="K113" s="97">
        <f>IF(ISNUMBER(J113), (J113 - $B113) / $B113, "")</f>
        <v>-1.2244897959183673E-2</v>
      </c>
      <c r="L113" s="98">
        <f>IF(ISNUMBER(J113), $B118 * K113, "")</f>
        <v>-1836.7346938775509</v>
      </c>
      <c r="M113" s="99">
        <v>1220</v>
      </c>
      <c r="N113" s="97">
        <f>IF(ISNUMBER(M113), (M113 - $B113) / $B113, "")</f>
        <v>-4.0816326530612249E-3</v>
      </c>
      <c r="O113" s="98">
        <f>IF(ISNUMBER(M113), $B118 * N113, "")</f>
        <v>-612.24489795918373</v>
      </c>
      <c r="Q113" s="161"/>
      <c r="R113" s="161"/>
      <c r="S113" s="161"/>
    </row>
    <row r="114" spans="1:19" ht="17.25" thickBot="1">
      <c r="A114" s="109" t="s">
        <v>191</v>
      </c>
      <c r="B114" s="110">
        <v>53.2</v>
      </c>
      <c r="C114" s="70">
        <v>1.52671756E-2</v>
      </c>
      <c r="D114" s="15">
        <v>53.7</v>
      </c>
      <c r="E114" s="32">
        <f t="shared" ref="E114:E117" si="58">IF(ISNUMBER(D114), (D114 - $B114) / $B114, "")</f>
        <v>9.3984962406015032E-3</v>
      </c>
      <c r="F114" s="18">
        <f>IF(ISNUMBER(D114), $B118 * E114, "")</f>
        <v>1409.7744360902254</v>
      </c>
      <c r="G114" s="31">
        <v>53.7</v>
      </c>
      <c r="H114" s="32">
        <f t="shared" ref="H114:H117" si="59">IF(ISNUMBER(G114), (G114 - $B114) / $B114, "")</f>
        <v>9.3984962406015032E-3</v>
      </c>
      <c r="I114" s="91">
        <f>IF(ISNUMBER(G114), $B118 * H114, "")</f>
        <v>1409.7744360902254</v>
      </c>
      <c r="J114" s="15">
        <v>53.7</v>
      </c>
      <c r="K114" s="32">
        <f t="shared" ref="K114:K117" si="60">IF(ISNUMBER(J114), (J114 - $B114) / $B114, "")</f>
        <v>9.3984962406015032E-3</v>
      </c>
      <c r="L114" s="18">
        <f>IF(ISNUMBER(J114), $B118 * K114, "")</f>
        <v>1409.7744360902254</v>
      </c>
      <c r="M114" s="31">
        <v>54.2</v>
      </c>
      <c r="N114" s="32">
        <f t="shared" ref="N114:N117" si="61">IF(ISNUMBER(M114), (M114 - $B114) / $B114, "")</f>
        <v>1.8796992481203006E-2</v>
      </c>
      <c r="O114" s="18">
        <f>IF(ISNUMBER(M114), $B118 * N114, "")</f>
        <v>2819.5488721804509</v>
      </c>
      <c r="Q114" s="161"/>
      <c r="R114" s="161"/>
      <c r="S114" s="161"/>
    </row>
    <row r="115" spans="1:19" ht="17.25" thickBot="1">
      <c r="A115" s="109" t="s">
        <v>172</v>
      </c>
      <c r="B115" s="110">
        <v>2990</v>
      </c>
      <c r="C115" s="70">
        <v>1.3559322E-2</v>
      </c>
      <c r="D115" s="15">
        <v>3115</v>
      </c>
      <c r="E115" s="32">
        <f t="shared" si="58"/>
        <v>4.1806020066889632E-2</v>
      </c>
      <c r="F115" s="18">
        <f>IF(ISNUMBER(D115), $B118 * E115, "")</f>
        <v>6270.9030100334448</v>
      </c>
      <c r="G115" s="31">
        <v>3075</v>
      </c>
      <c r="H115" s="32">
        <f t="shared" si="59"/>
        <v>2.8428093645484948E-2</v>
      </c>
      <c r="I115" s="91">
        <f>IF(ISNUMBER(G115), $B118 * H115, "")</f>
        <v>4264.2140468227426</v>
      </c>
      <c r="J115" s="15">
        <v>3075</v>
      </c>
      <c r="K115" s="32">
        <f t="shared" si="60"/>
        <v>2.8428093645484948E-2</v>
      </c>
      <c r="L115" s="18">
        <f>IF(ISNUMBER(J115), $B118 * K115, "")</f>
        <v>4264.2140468227426</v>
      </c>
      <c r="M115" s="31">
        <v>3095</v>
      </c>
      <c r="N115" s="32">
        <f t="shared" si="61"/>
        <v>3.5117056856187288E-2</v>
      </c>
      <c r="O115" s="18">
        <f>IF(ISNUMBER(M115), $B118 * N115, "")</f>
        <v>5267.5585284280933</v>
      </c>
      <c r="Q115" s="161"/>
      <c r="R115" s="161"/>
      <c r="S115" s="161"/>
    </row>
    <row r="116" spans="1:19">
      <c r="A116" s="109" t="s">
        <v>155</v>
      </c>
      <c r="B116" s="110">
        <v>30.6</v>
      </c>
      <c r="C116" s="70">
        <v>1.3245033099999999E-2</v>
      </c>
      <c r="D116" s="15">
        <v>30.2</v>
      </c>
      <c r="E116" s="32">
        <f t="shared" si="58"/>
        <v>-1.3071895424836671E-2</v>
      </c>
      <c r="F116" s="18">
        <f>IF(ISNUMBER(D116), $B118 * E116, "")</f>
        <v>-1960.7843137255006</v>
      </c>
      <c r="G116" s="31">
        <v>30.5</v>
      </c>
      <c r="H116" s="32">
        <f t="shared" si="59"/>
        <v>-3.2679738562091968E-3</v>
      </c>
      <c r="I116" s="91">
        <f>IF(ISNUMBER(G116), $B118 * H116, "")</f>
        <v>-490.19607843137953</v>
      </c>
      <c r="J116" s="15">
        <v>30.5</v>
      </c>
      <c r="K116" s="32">
        <f t="shared" si="60"/>
        <v>-3.2679738562091968E-3</v>
      </c>
      <c r="L116" s="18">
        <f>IF(ISNUMBER(J116), $B118 * K116, "")</f>
        <v>-490.19607843137953</v>
      </c>
      <c r="M116" s="31">
        <v>30.7</v>
      </c>
      <c r="N116" s="32">
        <f t="shared" si="61"/>
        <v>3.2679738562090806E-3</v>
      </c>
      <c r="O116" s="18">
        <f>IF(ISNUMBER(M116), $B118 * N116, "")</f>
        <v>490.19607843136208</v>
      </c>
      <c r="Q116" s="183"/>
      <c r="R116" s="184"/>
      <c r="S116" s="185"/>
    </row>
    <row r="117" spans="1:19" ht="17.25" thickBot="1">
      <c r="A117" s="114" t="s">
        <v>185</v>
      </c>
      <c r="B117" s="115">
        <v>31.9</v>
      </c>
      <c r="C117" s="72">
        <v>1.26984127E-2</v>
      </c>
      <c r="D117" s="24">
        <v>31.2</v>
      </c>
      <c r="E117" s="25">
        <f t="shared" si="58"/>
        <v>-2.1943573667711578E-2</v>
      </c>
      <c r="F117" s="94">
        <f>IF(ISNUMBER(D117), $B118 * E117, "")</f>
        <v>-3291.5360501567366</v>
      </c>
      <c r="G117" s="92">
        <v>31.5</v>
      </c>
      <c r="H117" s="25">
        <f t="shared" si="59"/>
        <v>-1.2539184952978013E-2</v>
      </c>
      <c r="I117" s="93">
        <f>IF(ISNUMBER(G117), $B118 * H117, "")</f>
        <v>-1880.8777429467018</v>
      </c>
      <c r="J117" s="24">
        <v>31.5</v>
      </c>
      <c r="K117" s="25">
        <f t="shared" si="60"/>
        <v>-1.2539184952978013E-2</v>
      </c>
      <c r="L117" s="94">
        <f>IF(ISNUMBER(J117), $B118 * K117, "")</f>
        <v>-1880.8777429467018</v>
      </c>
      <c r="M117" s="92">
        <v>31.4</v>
      </c>
      <c r="N117" s="25">
        <f t="shared" si="61"/>
        <v>-1.5673981191222573E-2</v>
      </c>
      <c r="O117" s="94">
        <f>IF(ISNUMBER(M117), $B118 * N117, "")</f>
        <v>-2351.0971786833857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-8.2756814861284032E-3</v>
      </c>
      <c r="F118" s="28">
        <f>SUM(F98:F117)</f>
        <v>-24827.044458385211</v>
      </c>
      <c r="G118" s="26" t="s">
        <v>261</v>
      </c>
      <c r="H118" s="27">
        <f>IF(COUNT(H98:H117), SUM(H98:H117) / COUNT(H98:H117), 0)</f>
        <v>-6.5745911104396291E-3</v>
      </c>
      <c r="I118" s="28">
        <f>SUM(I98:I117)</f>
        <v>-19723.77333131888</v>
      </c>
      <c r="J118" s="26" t="s">
        <v>261</v>
      </c>
      <c r="K118" s="27">
        <f>IF(COUNT(K98:K117), SUM(K98:K117) / COUNT(K98:K117), 0)</f>
        <v>-6.5745911104396291E-3</v>
      </c>
      <c r="L118" s="28">
        <f>SUM(L98:L117)</f>
        <v>-19723.77333131888</v>
      </c>
      <c r="M118" s="26" t="s">
        <v>261</v>
      </c>
      <c r="N118" s="27">
        <f>IF(COUNT(N98:N117), SUM(N98:N117) / COUNT(N98:N117), 0)</f>
        <v>-1.7888537811515254E-4</v>
      </c>
      <c r="O118" s="28">
        <f>SUM(O98:O117)</f>
        <v>-536.65613434546162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2022-12-14(수) 오전 00:00</v>
      </c>
      <c r="C123" s="199"/>
      <c r="D123" s="158" t="str">
        <f>TEXT($G$1, "[$-ko-KR]yyyy-mm-dd(ddd) ") &amp; "오후 14:00"</f>
        <v>2022-12-14(수) 오후 14:00</v>
      </c>
      <c r="E123" s="159"/>
      <c r="F123" s="160"/>
      <c r="G123" s="158" t="str">
        <f>TEXT($G$1, "[$-ko-KR]yyyy-mm-dd(ddd) ") &amp; "오후 19:00"</f>
        <v>2022-12-14(수) 오후 19:00</v>
      </c>
      <c r="H123" s="159"/>
      <c r="I123" s="160"/>
      <c r="J123" s="158" t="str">
        <f>TEXT($G$1, "[$-ko-KR]yyyy-mm-dd(ddd) ") &amp; "오후 21:00"</f>
        <v>2022-12-14(수) 오후 21:00</v>
      </c>
      <c r="K123" s="159"/>
      <c r="L123" s="160"/>
      <c r="M123" s="158" t="str">
        <f>TEXT($G$1+1, "[$-ko-KR]yyyy-mm-dd(ddd) ") &amp; "오전 00:00"</f>
        <v>2022-12-15(목)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210</v>
      </c>
      <c r="B125" s="108">
        <v>65.900000000000006</v>
      </c>
      <c r="C125" s="69">
        <v>1.5197568E-3</v>
      </c>
      <c r="D125" s="13">
        <v>66.400000000000006</v>
      </c>
      <c r="E125" s="14">
        <f>IF(ISNUMBER(D125), (D125 - $B125) / $B125, "")</f>
        <v>7.5872534142640358E-3</v>
      </c>
      <c r="F125" s="16">
        <f>IF(ISNUMBER(D125), $B145 * E125, "")</f>
        <v>1138.0880121396053</v>
      </c>
      <c r="G125" s="29">
        <v>66.900000000000006</v>
      </c>
      <c r="H125" s="14">
        <f>IF(ISNUMBER(G125), (G125 - $B125) / $B125, "")</f>
        <v>1.5174506828528072E-2</v>
      </c>
      <c r="I125" s="90">
        <f>IF(ISNUMBER(G125), $B145 * H125, "")</f>
        <v>2276.1760242792107</v>
      </c>
      <c r="J125" s="13">
        <v>66.900000000000006</v>
      </c>
      <c r="K125" s="14">
        <f>IF(ISNUMBER(J125), (J125 - $B125) / $B125, "")</f>
        <v>1.5174506828528072E-2</v>
      </c>
      <c r="L125" s="16">
        <f>IF(ISNUMBER(J125), $B145 * K125, "")</f>
        <v>2276.1760242792107</v>
      </c>
      <c r="M125" s="29">
        <v>67.2</v>
      </c>
      <c r="N125" s="14">
        <f>IF(ISNUMBER(M125), (M125 - $B125) / $B125, "")</f>
        <v>1.9726858877086449E-2</v>
      </c>
      <c r="O125" s="16">
        <f>IF(ISNUMBER(M125), $B145 * N125, "")</f>
        <v>2959.0288315629673</v>
      </c>
      <c r="Q125" s="156"/>
      <c r="R125" s="156"/>
      <c r="S125" s="156"/>
    </row>
    <row r="126" spans="1:19" ht="17.25" thickBot="1">
      <c r="A126" s="109" t="s">
        <v>97</v>
      </c>
      <c r="B126" s="110">
        <v>8.9999999999999998E-4</v>
      </c>
      <c r="C126" s="70">
        <v>0</v>
      </c>
      <c r="D126" s="15">
        <v>8.9999999999999998E-4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8.9999999999999998E-4</v>
      </c>
      <c r="H126" s="32">
        <f t="shared" ref="H126:H129" si="63">IF(ISNUMBER(G126), (G126 - $B126) / $B126, "")</f>
        <v>0</v>
      </c>
      <c r="I126" s="91">
        <f>IF(ISNUMBER(G126), $B145 * H126, "")</f>
        <v>0</v>
      </c>
      <c r="J126" s="15">
        <v>8.9999999999999998E-4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8.9999999999999998E-4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156"/>
      <c r="R126" s="156"/>
      <c r="S126" s="156"/>
    </row>
    <row r="127" spans="1:19" ht="17.25" thickBot="1">
      <c r="A127" s="109" t="s">
        <v>132</v>
      </c>
      <c r="B127" s="110">
        <v>56.1</v>
      </c>
      <c r="C127" s="70">
        <v>0</v>
      </c>
      <c r="D127" s="15">
        <v>55.4</v>
      </c>
      <c r="E127" s="32">
        <f t="shared" si="62"/>
        <v>-1.2477718360071352E-2</v>
      </c>
      <c r="F127" s="18">
        <f>IF(ISNUMBER(D127), $B145 * E127, "")</f>
        <v>-1871.6577540107028</v>
      </c>
      <c r="G127" s="31">
        <v>55.8</v>
      </c>
      <c r="H127" s="32">
        <f t="shared" si="63"/>
        <v>-5.3475935828877766E-3</v>
      </c>
      <c r="I127" s="91">
        <f>IF(ISNUMBER(G127), $B145 * H127, "")</f>
        <v>-802.13903743316644</v>
      </c>
      <c r="J127" s="15">
        <v>55.8</v>
      </c>
      <c r="K127" s="32">
        <f t="shared" si="64"/>
        <v>-5.3475935828877766E-3</v>
      </c>
      <c r="L127" s="18">
        <f>IF(ISNUMBER(J127), $B145 * K127, "")</f>
        <v>-802.13903743316644</v>
      </c>
      <c r="M127" s="31">
        <v>55.8</v>
      </c>
      <c r="N127" s="32">
        <f t="shared" si="65"/>
        <v>-5.3475935828877766E-3</v>
      </c>
      <c r="O127" s="18">
        <f>IF(ISNUMBER(M127), $B145 * N127, "")</f>
        <v>-802.13903743316644</v>
      </c>
      <c r="Q127" s="161"/>
      <c r="R127" s="161"/>
      <c r="S127" s="161"/>
    </row>
    <row r="128" spans="1:19" ht="17.25" thickBot="1">
      <c r="A128" s="109" t="s">
        <v>138</v>
      </c>
      <c r="B128" s="110">
        <v>27.4</v>
      </c>
      <c r="C128" s="70">
        <v>0</v>
      </c>
      <c r="D128" s="15">
        <v>27.5</v>
      </c>
      <c r="E128" s="32">
        <f t="shared" si="62"/>
        <v>3.6496350364964023E-3</v>
      </c>
      <c r="F128" s="18">
        <f>IF(ISNUMBER(D128), $B145 * E128, "")</f>
        <v>547.4452554744604</v>
      </c>
      <c r="G128" s="31">
        <v>27.7</v>
      </c>
      <c r="H128" s="32">
        <f t="shared" si="63"/>
        <v>1.0948905109489078E-2</v>
      </c>
      <c r="I128" s="91">
        <f>IF(ISNUMBER(G128), $B145 * H128, "")</f>
        <v>1642.3357664233617</v>
      </c>
      <c r="J128" s="15">
        <v>27.7</v>
      </c>
      <c r="K128" s="32">
        <f t="shared" si="64"/>
        <v>1.0948905109489078E-2</v>
      </c>
      <c r="L128" s="18">
        <f>IF(ISNUMBER(J128), $B145 * K128, "")</f>
        <v>1642.3357664233617</v>
      </c>
      <c r="M128" s="31">
        <v>27.8</v>
      </c>
      <c r="N128" s="32">
        <f t="shared" si="65"/>
        <v>1.4598540145985481E-2</v>
      </c>
      <c r="O128" s="18">
        <f>IF(ISNUMBER(M128), $B145 * N128, "")</f>
        <v>2189.781021897822</v>
      </c>
      <c r="Q128" s="161"/>
      <c r="R128" s="161"/>
      <c r="S128" s="161"/>
    </row>
    <row r="129" spans="1:19" ht="17.25" thickBot="1">
      <c r="A129" s="111" t="s">
        <v>124</v>
      </c>
      <c r="B129" s="112">
        <v>32.5</v>
      </c>
      <c r="C129" s="71">
        <v>0</v>
      </c>
      <c r="D129" s="20">
        <v>32.799999999999997</v>
      </c>
      <c r="E129" s="21">
        <f t="shared" si="62"/>
        <v>9.2307692307691432E-3</v>
      </c>
      <c r="F129" s="22">
        <f>IF(ISNUMBER(D129), $B145 * E129, "")</f>
        <v>1384.6153846153716</v>
      </c>
      <c r="G129" s="30">
        <v>32.9</v>
      </c>
      <c r="H129" s="21">
        <f t="shared" si="63"/>
        <v>1.2307692307692264E-2</v>
      </c>
      <c r="I129" s="95">
        <f>IF(ISNUMBER(G129), $B145 * H129, "")</f>
        <v>1846.1538461538396</v>
      </c>
      <c r="J129" s="20">
        <v>32.9</v>
      </c>
      <c r="K129" s="21">
        <f t="shared" si="64"/>
        <v>1.2307692307692264E-2</v>
      </c>
      <c r="L129" s="22">
        <f>IF(ISNUMBER(J129), $B145 * K129, "")</f>
        <v>1846.1538461538396</v>
      </c>
      <c r="M129" s="30">
        <v>33</v>
      </c>
      <c r="N129" s="21">
        <f t="shared" si="65"/>
        <v>1.5384615384615385E-2</v>
      </c>
      <c r="O129" s="22">
        <f>IF(ISNUMBER(M129), $B145 * N129, "")</f>
        <v>2307.6923076923076</v>
      </c>
      <c r="Q129" s="161"/>
      <c r="R129" s="161"/>
      <c r="S129" s="161"/>
    </row>
    <row r="130" spans="1:19" ht="17.25" thickBot="1">
      <c r="A130" s="109" t="s">
        <v>240</v>
      </c>
      <c r="B130" s="113">
        <v>29.1</v>
      </c>
      <c r="C130" s="73">
        <v>0</v>
      </c>
      <c r="D130" s="96">
        <v>29.2</v>
      </c>
      <c r="E130" s="97">
        <f>IF(ISNUMBER(D130), (D130 - $B130) / $B130, "")</f>
        <v>3.4364261168384146E-3</v>
      </c>
      <c r="F130" s="98">
        <f>IF(ISNUMBER(D130), $B145 * E130, "")</f>
        <v>515.46391752576221</v>
      </c>
      <c r="G130" s="99">
        <v>29.8</v>
      </c>
      <c r="H130" s="97">
        <f>IF(ISNUMBER(G130), (G130 - $B130) / $B130, "")</f>
        <v>2.4054982817869389E-2</v>
      </c>
      <c r="I130" s="100">
        <f>IF(ISNUMBER(G130), $B145 * H130, "")</f>
        <v>3608.2474226804084</v>
      </c>
      <c r="J130" s="96">
        <v>29.8</v>
      </c>
      <c r="K130" s="97">
        <f>IF(ISNUMBER(J130), (J130 - $B130) / $B130, "")</f>
        <v>2.4054982817869389E-2</v>
      </c>
      <c r="L130" s="98">
        <f>IF(ISNUMBER(J130), $B145 * K130, "")</f>
        <v>3608.2474226804084</v>
      </c>
      <c r="M130" s="99">
        <v>29.9</v>
      </c>
      <c r="N130" s="97">
        <f>IF(ISNUMBER(M130), (M130 - $B130) / $B130, "")</f>
        <v>2.7491408934707806E-2</v>
      </c>
      <c r="O130" s="98">
        <f>IF(ISNUMBER(M130), $B145 * N130, "")</f>
        <v>4123.7113402061714</v>
      </c>
      <c r="Q130" s="161"/>
      <c r="R130" s="161"/>
      <c r="S130" s="161"/>
    </row>
    <row r="131" spans="1:19" ht="17.25" thickBot="1">
      <c r="A131" s="109" t="s">
        <v>335</v>
      </c>
      <c r="B131" s="110">
        <v>3.8300000000000001E-2</v>
      </c>
      <c r="C131" s="70">
        <v>0</v>
      </c>
      <c r="D131" s="15">
        <v>3.8100000000000002E-2</v>
      </c>
      <c r="E131" s="32">
        <f t="shared" ref="E131:E134" si="66">IF(ISNUMBER(D131), (D131 - $B131) / $B131, "")</f>
        <v>-5.2219321148824745E-3</v>
      </c>
      <c r="F131" s="18">
        <f>IF(ISNUMBER(D131), $B145 * E131, "")</f>
        <v>-783.28981723237121</v>
      </c>
      <c r="G131" s="31">
        <v>3.7999999999999999E-2</v>
      </c>
      <c r="H131" s="32">
        <f t="shared" ref="H131:H134" si="67">IF(ISNUMBER(G131), (G131 - $B131) / $B131, "")</f>
        <v>-7.8328981723238024E-3</v>
      </c>
      <c r="I131" s="91">
        <f>IF(ISNUMBER(G131), $B145 * H131, "")</f>
        <v>-1174.9347258485705</v>
      </c>
      <c r="J131" s="15">
        <v>3.7999999999999999E-2</v>
      </c>
      <c r="K131" s="32">
        <f t="shared" ref="K131:K134" si="68">IF(ISNUMBER(J131), (J131 - $B131) / $B131, "")</f>
        <v>-7.8328981723238024E-3</v>
      </c>
      <c r="L131" s="18">
        <f>IF(ISNUMBER(J131), $B145 * K131, "")</f>
        <v>-1174.9347258485705</v>
      </c>
      <c r="M131" s="31">
        <v>3.7999999999999999E-2</v>
      </c>
      <c r="N131" s="32">
        <f t="shared" ref="N131:N134" si="69">IF(ISNUMBER(M131), (M131 - $B131) / $B131, "")</f>
        <v>-7.8328981723238024E-3</v>
      </c>
      <c r="O131" s="18">
        <f>IF(ISNUMBER(M131), $B145 * N131, "")</f>
        <v>-1174.9347258485705</v>
      </c>
      <c r="Q131" s="161"/>
      <c r="R131" s="161"/>
      <c r="S131" s="161"/>
    </row>
    <row r="132" spans="1:19" ht="17.25" thickBot="1">
      <c r="A132" s="109" t="s">
        <v>244</v>
      </c>
      <c r="B132" s="110">
        <v>99.1</v>
      </c>
      <c r="C132" s="70">
        <v>-2.0140987E-3</v>
      </c>
      <c r="D132" s="15">
        <v>97.7</v>
      </c>
      <c r="E132" s="32">
        <f t="shared" si="66"/>
        <v>-1.4127144298688108E-2</v>
      </c>
      <c r="F132" s="18">
        <f>IF(ISNUMBER(D132), $B145 * E132, "")</f>
        <v>-2119.0716448032163</v>
      </c>
      <c r="G132" s="31">
        <v>98.4</v>
      </c>
      <c r="H132" s="32">
        <f t="shared" si="67"/>
        <v>-7.0635721493439822E-3</v>
      </c>
      <c r="I132" s="91">
        <f>IF(ISNUMBER(G132), $B145 * H132, "")</f>
        <v>-1059.5358224015974</v>
      </c>
      <c r="J132" s="15">
        <v>98.4</v>
      </c>
      <c r="K132" s="32">
        <f t="shared" si="68"/>
        <v>-7.0635721493439822E-3</v>
      </c>
      <c r="L132" s="18">
        <f>IF(ISNUMBER(J132), $B145 * K132, "")</f>
        <v>-1059.5358224015974</v>
      </c>
      <c r="M132" s="31">
        <v>98.6</v>
      </c>
      <c r="N132" s="32">
        <f t="shared" si="69"/>
        <v>-5.0454086781029266E-3</v>
      </c>
      <c r="O132" s="18">
        <f>IF(ISNUMBER(M132), $B145 * N132, "")</f>
        <v>-756.81130171543896</v>
      </c>
      <c r="Q132" s="161"/>
      <c r="R132" s="161"/>
      <c r="S132" s="161"/>
    </row>
    <row r="133" spans="1:19" ht="17.25" thickBot="1">
      <c r="A133" s="109" t="s">
        <v>122</v>
      </c>
      <c r="B133" s="110">
        <v>25</v>
      </c>
      <c r="C133" s="70">
        <v>-3.9840637000000002E-3</v>
      </c>
      <c r="D133" s="15">
        <v>24.9</v>
      </c>
      <c r="E133" s="32">
        <f t="shared" si="66"/>
        <v>-4.0000000000000565E-3</v>
      </c>
      <c r="F133" s="18">
        <f>IF(ISNUMBER(D133), $B145 * E133, "")</f>
        <v>-600.00000000000841</v>
      </c>
      <c r="G133" s="31">
        <v>24.8</v>
      </c>
      <c r="H133" s="32">
        <f t="shared" si="67"/>
        <v>-7.9999999999999724E-3</v>
      </c>
      <c r="I133" s="91">
        <f>IF(ISNUMBER(G133), $B145 * H133, "")</f>
        <v>-1199.9999999999959</v>
      </c>
      <c r="J133" s="15">
        <v>24.8</v>
      </c>
      <c r="K133" s="32">
        <f t="shared" si="68"/>
        <v>-7.9999999999999724E-3</v>
      </c>
      <c r="L133" s="18">
        <f>IF(ISNUMBER(J133), $B145 * K133, "")</f>
        <v>-1199.9999999999959</v>
      </c>
      <c r="M133" s="31">
        <v>24.8</v>
      </c>
      <c r="N133" s="32">
        <f t="shared" si="69"/>
        <v>-7.9999999999999724E-3</v>
      </c>
      <c r="O133" s="18">
        <f>IF(ISNUMBER(M133), $B145 * N133, "")</f>
        <v>-1199.9999999999959</v>
      </c>
      <c r="Q133" s="33"/>
      <c r="R133" s="33"/>
    </row>
    <row r="134" spans="1:19" ht="17.25" thickBot="1">
      <c r="A134" s="114" t="s">
        <v>145</v>
      </c>
      <c r="B134" s="115">
        <v>70.900000000000006</v>
      </c>
      <c r="C134" s="72">
        <v>-4.2134831000000001E-3</v>
      </c>
      <c r="D134" s="24">
        <v>71.7</v>
      </c>
      <c r="E134" s="25">
        <f t="shared" si="66"/>
        <v>1.1283497884344105E-2</v>
      </c>
      <c r="F134" s="94">
        <f>IF(ISNUMBER(D134), $B145 * E134, "")</f>
        <v>1692.5246826516156</v>
      </c>
      <c r="G134" s="92">
        <v>72.599999999999994</v>
      </c>
      <c r="H134" s="25">
        <f t="shared" si="67"/>
        <v>2.397743300423115E-2</v>
      </c>
      <c r="I134" s="93">
        <f>IF(ISNUMBER(G134), $B145 * H134, "")</f>
        <v>3596.6149506346724</v>
      </c>
      <c r="J134" s="24">
        <v>72.599999999999994</v>
      </c>
      <c r="K134" s="25">
        <f t="shared" si="68"/>
        <v>2.397743300423115E-2</v>
      </c>
      <c r="L134" s="94">
        <f>IF(ISNUMBER(J134), $B145 * K134, "")</f>
        <v>3596.6149506346724</v>
      </c>
      <c r="M134" s="92">
        <v>74.400000000000006</v>
      </c>
      <c r="N134" s="25">
        <f t="shared" si="69"/>
        <v>4.9365303244005634E-2</v>
      </c>
      <c r="O134" s="94">
        <f>IF(ISNUMBER(M134), $B145 * N134, "")</f>
        <v>7404.7954866008449</v>
      </c>
      <c r="Q134" s="170"/>
      <c r="R134" s="171"/>
      <c r="S134" s="172"/>
    </row>
    <row r="135" spans="1:19">
      <c r="A135" s="107" t="s">
        <v>333</v>
      </c>
      <c r="B135" s="108">
        <v>62.7</v>
      </c>
      <c r="C135" s="69">
        <v>-4.7619048000000002E-3</v>
      </c>
      <c r="D135" s="13">
        <v>62.2</v>
      </c>
      <c r="E135" s="14">
        <f>IF(ISNUMBER(D135), (D135 - $B135) / $B135, "")</f>
        <v>-7.9744816586921844E-3</v>
      </c>
      <c r="F135" s="16">
        <f>IF(ISNUMBER(D135), $B145 * E135, "")</f>
        <v>-1196.1722488038276</v>
      </c>
      <c r="G135" s="29">
        <v>62.2</v>
      </c>
      <c r="H135" s="14">
        <f>IF(ISNUMBER(G135), (G135 - $B135) / $B135, "")</f>
        <v>-7.9744816586921844E-3</v>
      </c>
      <c r="I135" s="90">
        <f>IF(ISNUMBER(G135), $B145 * H135, "")</f>
        <v>-1196.1722488038276</v>
      </c>
      <c r="J135" s="13">
        <v>62.2</v>
      </c>
      <c r="K135" s="14">
        <f>IF(ISNUMBER(J135), (J135 - $B135) / $B135, "")</f>
        <v>-7.9744816586921844E-3</v>
      </c>
      <c r="L135" s="16">
        <f>IF(ISNUMBER(J135), $B145 * K135, "")</f>
        <v>-1196.1722488038276</v>
      </c>
      <c r="M135" s="29">
        <v>62.3</v>
      </c>
      <c r="N135" s="14">
        <f>IF(ISNUMBER(M135), (M135 - $B135) / $B135, "")</f>
        <v>-6.3795853269538383E-3</v>
      </c>
      <c r="O135" s="16">
        <f>IF(ISNUMBER(M135), $B145 * N135, "")</f>
        <v>-956.93779904307576</v>
      </c>
      <c r="Q135" s="173"/>
      <c r="R135" s="174"/>
      <c r="S135" s="175"/>
    </row>
    <row r="136" spans="1:19" ht="17.25" thickBot="1">
      <c r="A136" s="109" t="s">
        <v>220</v>
      </c>
      <c r="B136" s="110">
        <v>75</v>
      </c>
      <c r="C136" s="70">
        <v>-5.3050398000000004E-3</v>
      </c>
      <c r="D136" s="15">
        <v>74.5</v>
      </c>
      <c r="E136" s="32">
        <f t="shared" ref="E136:E139" si="70">IF(ISNUMBER(D136), (D136 - $B136) / $B136, "")</f>
        <v>-6.6666666666666671E-3</v>
      </c>
      <c r="F136" s="18">
        <f>IF(ISNUMBER(D136), $B145 * E136, "")</f>
        <v>-1000.0000000000001</v>
      </c>
      <c r="G136" s="31">
        <v>74.7</v>
      </c>
      <c r="H136" s="32">
        <f t="shared" ref="H136:H139" si="71">IF(ISNUMBER(G136), (G136 - $B136) / $B136, "")</f>
        <v>-3.9999999999999619E-3</v>
      </c>
      <c r="I136" s="91">
        <f>IF(ISNUMBER(G136), $B145 * H136, "")</f>
        <v>-599.99999999999432</v>
      </c>
      <c r="J136" s="15">
        <v>74.7</v>
      </c>
      <c r="K136" s="32">
        <f t="shared" ref="K136:K139" si="72">IF(ISNUMBER(J136), (J136 - $B136) / $B136, "")</f>
        <v>-3.9999999999999619E-3</v>
      </c>
      <c r="L136" s="18">
        <f>IF(ISNUMBER(J136), $B145 * K136, "")</f>
        <v>-599.99999999999432</v>
      </c>
      <c r="M136" s="31">
        <v>74.900000000000006</v>
      </c>
      <c r="N136" s="32">
        <f t="shared" ref="N136:N139" si="73">IF(ISNUMBER(M136), (M136 - $B136) / $B136, "")</f>
        <v>-1.3333333333332576E-3</v>
      </c>
      <c r="O136" s="18">
        <f>IF(ISNUMBER(M136), $B145 * N136, "")</f>
        <v>-199.99999999998863</v>
      </c>
      <c r="Q136" s="176"/>
      <c r="R136" s="177"/>
      <c r="S136" s="178"/>
    </row>
    <row r="137" spans="1:19" ht="17.25" thickBot="1">
      <c r="A137" s="109" t="s">
        <v>336</v>
      </c>
      <c r="B137" s="110">
        <v>81.900000000000006</v>
      </c>
      <c r="C137" s="70">
        <v>-8.4745762999999998E-3</v>
      </c>
      <c r="D137" s="15">
        <v>81.900000000000006</v>
      </c>
      <c r="E137" s="32">
        <f t="shared" si="70"/>
        <v>0</v>
      </c>
      <c r="F137" s="18">
        <f>IF(ISNUMBER(D137), $B145 * E137, "")</f>
        <v>0</v>
      </c>
      <c r="G137" s="31">
        <v>81.7</v>
      </c>
      <c r="H137" s="32">
        <f t="shared" si="71"/>
        <v>-2.4420024420024767E-3</v>
      </c>
      <c r="I137" s="91">
        <f>IF(ISNUMBER(G137), $B145 * H137, "")</f>
        <v>-366.30036630037148</v>
      </c>
      <c r="J137" s="15">
        <v>81.7</v>
      </c>
      <c r="K137" s="32">
        <f t="shared" si="72"/>
        <v>-2.4420024420024767E-3</v>
      </c>
      <c r="L137" s="18">
        <f>IF(ISNUMBER(J137), $B145 * K137, "")</f>
        <v>-366.30036630037148</v>
      </c>
      <c r="M137" s="31">
        <v>82.3</v>
      </c>
      <c r="N137" s="32">
        <f t="shared" si="73"/>
        <v>4.8840048840047799E-3</v>
      </c>
      <c r="O137" s="18">
        <f>IF(ISNUMBER(M137), $B145 * N137, "")</f>
        <v>732.60073260071704</v>
      </c>
      <c r="Q137" s="161"/>
      <c r="R137" s="161"/>
      <c r="S137" s="161"/>
    </row>
    <row r="138" spans="1:19" ht="17.25" thickBot="1">
      <c r="A138" s="109" t="s">
        <v>64</v>
      </c>
      <c r="B138" s="110">
        <v>10.8</v>
      </c>
      <c r="C138" s="70">
        <v>-9.1743119000000008E-3</v>
      </c>
      <c r="D138" s="15">
        <v>11</v>
      </c>
      <c r="E138" s="32">
        <f t="shared" si="70"/>
        <v>1.8518518518518452E-2</v>
      </c>
      <c r="F138" s="18">
        <f>IF(ISNUMBER(D138), $B145 * E138, "")</f>
        <v>2777.7777777777678</v>
      </c>
      <c r="G138" s="31">
        <v>11</v>
      </c>
      <c r="H138" s="32">
        <f t="shared" si="71"/>
        <v>1.8518518518518452E-2</v>
      </c>
      <c r="I138" s="91">
        <f>IF(ISNUMBER(G138), $B145 * H138, "")</f>
        <v>2777.7777777777678</v>
      </c>
      <c r="J138" s="15">
        <v>11</v>
      </c>
      <c r="K138" s="32">
        <f t="shared" si="72"/>
        <v>1.8518518518518452E-2</v>
      </c>
      <c r="L138" s="18">
        <f>IF(ISNUMBER(J138), $B145 * K138, "")</f>
        <v>2777.7777777777678</v>
      </c>
      <c r="M138" s="31">
        <v>11</v>
      </c>
      <c r="N138" s="32">
        <f t="shared" si="73"/>
        <v>1.8518518518518452E-2</v>
      </c>
      <c r="O138" s="18">
        <f>IF(ISNUMBER(M138), $B145 * N138, "")</f>
        <v>2777.7777777777678</v>
      </c>
      <c r="Q138" s="156"/>
      <c r="R138" s="156"/>
      <c r="S138" s="156"/>
    </row>
    <row r="139" spans="1:19" ht="17.25" thickBot="1">
      <c r="A139" s="111" t="s">
        <v>107</v>
      </c>
      <c r="B139" s="112">
        <v>39.700000000000003</v>
      </c>
      <c r="C139" s="71">
        <v>-9.9750623000000004E-3</v>
      </c>
      <c r="D139" s="20">
        <v>39.299999999999997</v>
      </c>
      <c r="E139" s="21">
        <f t="shared" si="70"/>
        <v>-1.0075566750629865E-2</v>
      </c>
      <c r="F139" s="22">
        <f>IF(ISNUMBER(D139), $B145 * E139, "")</f>
        <v>-1511.3350125944796</v>
      </c>
      <c r="G139" s="30">
        <v>39.6</v>
      </c>
      <c r="H139" s="21">
        <f t="shared" si="71"/>
        <v>-2.5188916876574662E-3</v>
      </c>
      <c r="I139" s="95">
        <f>IF(ISNUMBER(G139), $B145 * H139, "")</f>
        <v>-377.83375314861991</v>
      </c>
      <c r="J139" s="20">
        <v>39.6</v>
      </c>
      <c r="K139" s="21">
        <f t="shared" si="72"/>
        <v>-2.5188916876574662E-3</v>
      </c>
      <c r="L139" s="22">
        <f>IF(ISNUMBER(J139), $B145 * K139, "")</f>
        <v>-377.83375314861991</v>
      </c>
      <c r="M139" s="30">
        <v>39.4</v>
      </c>
      <c r="N139" s="21">
        <f t="shared" si="73"/>
        <v>-7.5566750629723987E-3</v>
      </c>
      <c r="O139" s="22">
        <f>IF(ISNUMBER(M139), $B145 * N139, "")</f>
        <v>-1133.5012594458599</v>
      </c>
      <c r="Q139" s="156"/>
      <c r="R139" s="156"/>
      <c r="S139" s="156"/>
    </row>
    <row r="140" spans="1:19" ht="17.25" thickBot="1">
      <c r="A140" s="109" t="s">
        <v>56</v>
      </c>
      <c r="B140" s="113">
        <v>44.2</v>
      </c>
      <c r="C140" s="73">
        <v>-1.3392857100000001E-2</v>
      </c>
      <c r="D140" s="96">
        <v>43.9</v>
      </c>
      <c r="E140" s="97">
        <f>IF(ISNUMBER(D140), (D140 - $B140) / $B140, "")</f>
        <v>-6.7873303167421779E-3</v>
      </c>
      <c r="F140" s="98">
        <f>IF(ISNUMBER(D140), $B145 * E140, "")</f>
        <v>-1018.0995475113267</v>
      </c>
      <c r="G140" s="99">
        <v>43.8</v>
      </c>
      <c r="H140" s="97">
        <f>IF(ISNUMBER(G140), (G140 - $B140) / $B140, "")</f>
        <v>-9.049773755656236E-3</v>
      </c>
      <c r="I140" s="100">
        <f>IF(ISNUMBER(G140), $B145 * H140, "")</f>
        <v>-1357.4660633484355</v>
      </c>
      <c r="J140" s="96">
        <v>43.8</v>
      </c>
      <c r="K140" s="97">
        <f>IF(ISNUMBER(J140), (J140 - $B140) / $B140, "")</f>
        <v>-9.049773755656236E-3</v>
      </c>
      <c r="L140" s="98">
        <f>IF(ISNUMBER(J140), $B145 * K140, "")</f>
        <v>-1357.4660633484355</v>
      </c>
      <c r="M140" s="99">
        <v>44.1</v>
      </c>
      <c r="N140" s="97">
        <f>IF(ISNUMBER(M140), (M140 - $B140) / $B140, "")</f>
        <v>-2.262443438914059E-3</v>
      </c>
      <c r="O140" s="98">
        <f>IF(ISNUMBER(M140), $B145 * N140, "")</f>
        <v>-339.36651583710886</v>
      </c>
      <c r="Q140" s="161"/>
      <c r="R140" s="161"/>
      <c r="S140" s="161"/>
    </row>
    <row r="141" spans="1:19" ht="17.25" thickBot="1">
      <c r="A141" s="109" t="s">
        <v>198</v>
      </c>
      <c r="B141" s="110">
        <v>8.7799999999999994</v>
      </c>
      <c r="C141" s="70">
        <v>-2.0089285700000001E-2</v>
      </c>
      <c r="D141" s="15">
        <v>8.65</v>
      </c>
      <c r="E141" s="32">
        <f t="shared" ref="E141:E144" si="74">IF(ISNUMBER(D141), (D141 - $B141) / $B141, "")</f>
        <v>-1.4806378132118339E-2</v>
      </c>
      <c r="F141" s="18">
        <f>IF(ISNUMBER(D141), $B145 * E141, "")</f>
        <v>-2220.956719817751</v>
      </c>
      <c r="G141" s="31">
        <v>8.61</v>
      </c>
      <c r="H141" s="32">
        <f t="shared" ref="H141:H144" si="75">IF(ISNUMBER(G141), (G141 - $B141) / $B141, "")</f>
        <v>-1.9362186788154892E-2</v>
      </c>
      <c r="I141" s="91">
        <f>IF(ISNUMBER(G141), $B145 * H141, "")</f>
        <v>-2904.3280182232338</v>
      </c>
      <c r="J141" s="15">
        <v>8.61</v>
      </c>
      <c r="K141" s="32">
        <f t="shared" ref="K141:K144" si="76">IF(ISNUMBER(J141), (J141 - $B141) / $B141, "")</f>
        <v>-1.9362186788154892E-2</v>
      </c>
      <c r="L141" s="18">
        <f>IF(ISNUMBER(J141), $B145 * K141, "")</f>
        <v>-2904.3280182232338</v>
      </c>
      <c r="M141" s="31">
        <v>8.64</v>
      </c>
      <c r="N141" s="32">
        <f t="shared" ref="N141:N144" si="77">IF(ISNUMBER(M141), (M141 - $B141) / $B141, "")</f>
        <v>-1.5945330296127425E-2</v>
      </c>
      <c r="O141" s="18">
        <f>IF(ISNUMBER(M141), $B145 * N141, "")</f>
        <v>-2391.7995444191138</v>
      </c>
      <c r="Q141" s="161"/>
      <c r="R141" s="161"/>
      <c r="S141" s="161"/>
    </row>
    <row r="142" spans="1:19" ht="17.25" thickBot="1">
      <c r="A142" s="109" t="s">
        <v>350</v>
      </c>
      <c r="B142" s="110">
        <v>7.31</v>
      </c>
      <c r="C142" s="70">
        <v>-2.2727272699999999E-2</v>
      </c>
      <c r="D142" s="15">
        <v>7.23</v>
      </c>
      <c r="E142" s="32">
        <f t="shared" si="74"/>
        <v>-1.0943912448700299E-2</v>
      </c>
      <c r="F142" s="18">
        <f>IF(ISNUMBER(D142), $B145 * E142, "")</f>
        <v>-1641.586867305045</v>
      </c>
      <c r="G142" s="31">
        <v>7.36</v>
      </c>
      <c r="H142" s="32">
        <f t="shared" si="75"/>
        <v>6.8399452804378544E-3</v>
      </c>
      <c r="I142" s="91">
        <f>IF(ISNUMBER(G142), $B145 * H142, "")</f>
        <v>1025.9917920656781</v>
      </c>
      <c r="J142" s="15">
        <v>7.36</v>
      </c>
      <c r="K142" s="32">
        <f t="shared" si="76"/>
        <v>6.8399452804378544E-3</v>
      </c>
      <c r="L142" s="18">
        <f>IF(ISNUMBER(J142), $B145 * K142, "")</f>
        <v>1025.9917920656781</v>
      </c>
      <c r="M142" s="31">
        <v>7.39</v>
      </c>
      <c r="N142" s="32">
        <f t="shared" si="77"/>
        <v>1.0943912448700421E-2</v>
      </c>
      <c r="O142" s="18">
        <f>IF(ISNUMBER(M142), $B145 * N142, "")</f>
        <v>1641.5868673050632</v>
      </c>
      <c r="Q142" s="161"/>
      <c r="R142" s="161"/>
      <c r="S142" s="161"/>
    </row>
    <row r="143" spans="1:19">
      <c r="A143" s="109" t="s">
        <v>181</v>
      </c>
      <c r="B143" s="110">
        <v>4.8</v>
      </c>
      <c r="C143" s="70">
        <v>-2.8340081E-2</v>
      </c>
      <c r="D143" s="15">
        <v>4.7300000000000004</v>
      </c>
      <c r="E143" s="32">
        <f t="shared" si="74"/>
        <v>-1.4583333333333209E-2</v>
      </c>
      <c r="F143" s="18">
        <f>IF(ISNUMBER(D143), $B145 * E143, "")</f>
        <v>-2187.4999999999814</v>
      </c>
      <c r="G143" s="31">
        <v>4.78</v>
      </c>
      <c r="H143" s="32">
        <f t="shared" si="75"/>
        <v>-4.1666666666665781E-3</v>
      </c>
      <c r="I143" s="91">
        <f>IF(ISNUMBER(G143), $B145 * H143, "")</f>
        <v>-624.9999999999867</v>
      </c>
      <c r="J143" s="15">
        <v>4.78</v>
      </c>
      <c r="K143" s="32">
        <f t="shared" si="76"/>
        <v>-4.1666666666665781E-3</v>
      </c>
      <c r="L143" s="18">
        <f>IF(ISNUMBER(J143), $B145 * K143, "")</f>
        <v>-624.9999999999867</v>
      </c>
      <c r="M143" s="31">
        <v>4.78</v>
      </c>
      <c r="N143" s="32">
        <f t="shared" si="77"/>
        <v>-4.1666666666665781E-3</v>
      </c>
      <c r="O143" s="18">
        <f>IF(ISNUMBER(M143), $B145 * N143, "")</f>
        <v>-624.9999999999867</v>
      </c>
      <c r="Q143" s="183"/>
      <c r="R143" s="184"/>
      <c r="S143" s="185"/>
    </row>
    <row r="144" spans="1:19" ht="17.25" thickBot="1">
      <c r="A144" s="114" t="s">
        <v>326</v>
      </c>
      <c r="B144" s="115">
        <v>24.2</v>
      </c>
      <c r="C144" s="72">
        <v>-3.5856573699999998E-2</v>
      </c>
      <c r="D144" s="24">
        <v>23.9</v>
      </c>
      <c r="E144" s="25">
        <f t="shared" si="74"/>
        <v>-1.2396694214876063E-2</v>
      </c>
      <c r="F144" s="94">
        <f>IF(ISNUMBER(D144), $B145 * E144, "")</f>
        <v>-1859.5041322314094</v>
      </c>
      <c r="G144" s="92">
        <v>24.1</v>
      </c>
      <c r="H144" s="25">
        <f t="shared" si="75"/>
        <v>-4.1322314049585893E-3</v>
      </c>
      <c r="I144" s="93">
        <f>IF(ISNUMBER(G144), $B145 * H144, "")</f>
        <v>-619.83471074378838</v>
      </c>
      <c r="J144" s="24">
        <v>24.1</v>
      </c>
      <c r="K144" s="25">
        <f t="shared" si="76"/>
        <v>-4.1322314049585893E-3</v>
      </c>
      <c r="L144" s="94">
        <f>IF(ISNUMBER(J144), $B145 * K144, "")</f>
        <v>-619.83471074378838</v>
      </c>
      <c r="M144" s="92">
        <v>24.1</v>
      </c>
      <c r="N144" s="25">
        <f t="shared" si="77"/>
        <v>-4.1322314049585893E-3</v>
      </c>
      <c r="O144" s="94">
        <f>IF(ISNUMBER(M144), $B145 * N144, "")</f>
        <v>-619.83471074378838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-3.3177529047085119E-3</v>
      </c>
      <c r="F145" s="28">
        <f>SUM(F125:F144)</f>
        <v>-9953.2587141255372</v>
      </c>
      <c r="G145" s="26" t="s">
        <v>261</v>
      </c>
      <c r="H145" s="27">
        <f>IF(COUNT(H125:H144), SUM(H125:H144) / COUNT(H125:H144), 0)</f>
        <v>1.4965842779211171E-3</v>
      </c>
      <c r="I145" s="28">
        <f>SUM(I125:I144)</f>
        <v>4489.7528337633521</v>
      </c>
      <c r="J145" s="26" t="s">
        <v>261</v>
      </c>
      <c r="K145" s="27">
        <f>IF(COUNT(K125:K144), SUM(K125:K144) / COUNT(K125:K144), 0)</f>
        <v>1.4965842779211171E-3</v>
      </c>
      <c r="L145" s="28">
        <f>SUM(L125:L144)</f>
        <v>4489.7528337633521</v>
      </c>
      <c r="M145" s="26" t="s">
        <v>261</v>
      </c>
      <c r="N145" s="27">
        <f>IF(COUNT(N125:N144), SUM(N125:N144) / COUNT(N125:N144), 0)</f>
        <v>4.6455498237191889E-3</v>
      </c>
      <c r="O145" s="28">
        <f>SUM(O125:O144)</f>
        <v>13936.649471157565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2022-12-14(수) 오전 00:00</v>
      </c>
      <c r="C150" s="199"/>
      <c r="D150" s="158" t="str">
        <f>TEXT($G$1, "[$-ko-KR]yyyy-mm-dd(ddd) ") &amp; "오후 14:00"</f>
        <v>2022-12-14(수) 오후 14:00</v>
      </c>
      <c r="E150" s="159"/>
      <c r="F150" s="160"/>
      <c r="G150" s="158" t="str">
        <f>TEXT($G$1, "[$-ko-KR]yyyy-mm-dd(ddd) ") &amp; "오후 19:00"</f>
        <v>2022-12-14(수) 오후 19:00</v>
      </c>
      <c r="H150" s="159"/>
      <c r="I150" s="160"/>
      <c r="J150" s="158" t="str">
        <f>TEXT($G$1, "[$-ko-KR]yyyy-mm-dd(ddd) ") &amp; "오후 21:00"</f>
        <v>2022-12-14(수) 오후 21:00</v>
      </c>
      <c r="K150" s="159"/>
      <c r="L150" s="160"/>
      <c r="M150" s="158" t="str">
        <f>TEXT($G$1+1, "[$-ko-KR]yyyy-mm-dd(ddd) ") &amp; "오전 00:00"</f>
        <v>2022-12-15(목)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202</v>
      </c>
      <c r="B152" s="108">
        <v>343</v>
      </c>
      <c r="C152" s="69">
        <v>-2.9069767000000002E-3</v>
      </c>
      <c r="D152" s="13">
        <v>341</v>
      </c>
      <c r="E152" s="14">
        <f>IF(ISNUMBER(D152), (D152 - $B152) / $B152, "")</f>
        <v>-5.8309037900874635E-3</v>
      </c>
      <c r="F152" s="16">
        <f>IF(ISNUMBER(D152), $B172 * E152, "")</f>
        <v>-874.63556851311955</v>
      </c>
      <c r="G152" s="29">
        <v>343</v>
      </c>
      <c r="H152" s="14">
        <f>IF(ISNUMBER(G152), (G152 - $B152) / $B152, "")</f>
        <v>0</v>
      </c>
      <c r="I152" s="90">
        <f>IF(ISNUMBER(G152), $B172 * H152, "")</f>
        <v>0</v>
      </c>
      <c r="J152" s="13">
        <v>343</v>
      </c>
      <c r="K152" s="14">
        <f>IF(ISNUMBER(J152), (J152 - $B152) / $B152, "")</f>
        <v>0</v>
      </c>
      <c r="L152" s="16">
        <f>IF(ISNUMBER(J152), $B172 * K152, "")</f>
        <v>0</v>
      </c>
      <c r="M152" s="29">
        <v>344</v>
      </c>
      <c r="N152" s="14">
        <f>IF(ISNUMBER(M152), (M152 - $B152) / $B152, "")</f>
        <v>2.9154518950437317E-3</v>
      </c>
      <c r="O152" s="16">
        <f>IF(ISNUMBER(M152), $B172 * N152, "")</f>
        <v>437.31778425655978</v>
      </c>
      <c r="Q152" s="156"/>
      <c r="R152" s="156"/>
      <c r="S152" s="156"/>
    </row>
    <row r="153" spans="1:19" ht="17.25" thickBot="1">
      <c r="A153" s="109" t="s">
        <v>103</v>
      </c>
      <c r="B153" s="110">
        <v>251</v>
      </c>
      <c r="C153" s="70">
        <v>-3.9682540000000001E-3</v>
      </c>
      <c r="D153" s="15">
        <v>252</v>
      </c>
      <c r="E153" s="32">
        <f t="shared" ref="E153:E156" si="78">IF(ISNUMBER(D153), (D153 - $B153) / $B153, "")</f>
        <v>3.9840637450199202E-3</v>
      </c>
      <c r="F153" s="18">
        <f>IF(ISNUMBER(D153), $B172 * E153, "")</f>
        <v>597.60956175298804</v>
      </c>
      <c r="G153" s="31">
        <v>253</v>
      </c>
      <c r="H153" s="32">
        <f t="shared" ref="H153:H156" si="79">IF(ISNUMBER(G153), (G153 - $B153) / $B153, "")</f>
        <v>7.9681274900398405E-3</v>
      </c>
      <c r="I153" s="91">
        <f>IF(ISNUMBER(G153), $B172 * H153, "")</f>
        <v>1195.2191235059761</v>
      </c>
      <c r="J153" s="15">
        <v>253</v>
      </c>
      <c r="K153" s="32">
        <f t="shared" ref="K153:K156" si="80">IF(ISNUMBER(J153), (J153 - $B153) / $B153, "")</f>
        <v>7.9681274900398405E-3</v>
      </c>
      <c r="L153" s="18">
        <f>IF(ISNUMBER(J153), $B172 * K153, "")</f>
        <v>1195.2191235059761</v>
      </c>
      <c r="M153" s="31">
        <v>256</v>
      </c>
      <c r="N153" s="32">
        <f t="shared" ref="N153:N156" si="81">IF(ISNUMBER(M153), (M153 - $B153) / $B153, "")</f>
        <v>1.9920318725099601E-2</v>
      </c>
      <c r="O153" s="18">
        <f>IF(ISNUMBER(M153), $B172 * N153, "")</f>
        <v>2988.0478087649403</v>
      </c>
      <c r="Q153" s="156"/>
      <c r="R153" s="156"/>
      <c r="S153" s="156"/>
    </row>
    <row r="154" spans="1:19" ht="17.25" thickBot="1">
      <c r="A154" s="109" t="s">
        <v>165</v>
      </c>
      <c r="B154" s="110">
        <v>974</v>
      </c>
      <c r="C154" s="70">
        <v>-4.0899795999999999E-3</v>
      </c>
      <c r="D154" s="15">
        <v>996</v>
      </c>
      <c r="E154" s="32">
        <f t="shared" si="78"/>
        <v>2.2587268993839837E-2</v>
      </c>
      <c r="F154" s="18">
        <f>IF(ISNUMBER(D154), $B172 * E154, "")</f>
        <v>3388.0903490759756</v>
      </c>
      <c r="G154" s="31">
        <v>1005</v>
      </c>
      <c r="H154" s="32">
        <f t="shared" si="79"/>
        <v>3.1827515400410678E-2</v>
      </c>
      <c r="I154" s="91">
        <f>IF(ISNUMBER(G154), $B172 * H154, "")</f>
        <v>4774.1273100616017</v>
      </c>
      <c r="J154" s="15">
        <v>1005</v>
      </c>
      <c r="K154" s="32">
        <f t="shared" si="80"/>
        <v>3.1827515400410678E-2</v>
      </c>
      <c r="L154" s="18">
        <f>IF(ISNUMBER(J154), $B172 * K154, "")</f>
        <v>4774.1273100616017</v>
      </c>
      <c r="M154" s="31">
        <v>997</v>
      </c>
      <c r="N154" s="32">
        <f t="shared" si="81"/>
        <v>2.3613963039014373E-2</v>
      </c>
      <c r="O154" s="18">
        <f>IF(ISNUMBER(M154), $B172 * N154, "")</f>
        <v>3542.094455852156</v>
      </c>
      <c r="Q154" s="161"/>
      <c r="R154" s="161"/>
      <c r="S154" s="161"/>
    </row>
    <row r="155" spans="1:19" ht="17.25" thickBot="1">
      <c r="A155" s="109" t="s">
        <v>105</v>
      </c>
      <c r="B155" s="110">
        <v>232</v>
      </c>
      <c r="C155" s="70">
        <v>-4.2918454999999996E-3</v>
      </c>
      <c r="D155" s="15">
        <v>233</v>
      </c>
      <c r="E155" s="32">
        <f t="shared" si="78"/>
        <v>4.3103448275862068E-3</v>
      </c>
      <c r="F155" s="18">
        <f>IF(ISNUMBER(D155), $B172 * E155, "")</f>
        <v>646.55172413793105</v>
      </c>
      <c r="G155" s="31">
        <v>230</v>
      </c>
      <c r="H155" s="32">
        <f t="shared" si="79"/>
        <v>-8.6206896551724137E-3</v>
      </c>
      <c r="I155" s="91">
        <f>IF(ISNUMBER(G155), $B172 * H155, "")</f>
        <v>-1293.1034482758621</v>
      </c>
      <c r="J155" s="15">
        <v>230</v>
      </c>
      <c r="K155" s="32">
        <f t="shared" si="80"/>
        <v>-8.6206896551724137E-3</v>
      </c>
      <c r="L155" s="18">
        <f>IF(ISNUMBER(J155), $B172 * K155, "")</f>
        <v>-1293.1034482758621</v>
      </c>
      <c r="M155" s="31">
        <v>230</v>
      </c>
      <c r="N155" s="32">
        <f t="shared" si="81"/>
        <v>-8.6206896551724137E-3</v>
      </c>
      <c r="O155" s="18">
        <f>IF(ISNUMBER(M155), $B172 * N155, "")</f>
        <v>-1293.1034482758621</v>
      </c>
      <c r="Q155" s="161"/>
      <c r="R155" s="161"/>
      <c r="S155" s="161"/>
    </row>
    <row r="156" spans="1:19" ht="17.25" thickBot="1">
      <c r="A156" s="111" t="s">
        <v>51</v>
      </c>
      <c r="B156" s="112">
        <v>111</v>
      </c>
      <c r="C156" s="71">
        <v>-8.9285713999999999E-3</v>
      </c>
      <c r="D156" s="20">
        <v>109</v>
      </c>
      <c r="E156" s="21">
        <f t="shared" si="78"/>
        <v>-1.8018018018018018E-2</v>
      </c>
      <c r="F156" s="22">
        <f>IF(ISNUMBER(D156), $B172 * E156, "")</f>
        <v>-2702.7027027027025</v>
      </c>
      <c r="G156" s="30">
        <v>109</v>
      </c>
      <c r="H156" s="21">
        <f t="shared" si="79"/>
        <v>-1.8018018018018018E-2</v>
      </c>
      <c r="I156" s="95">
        <f>IF(ISNUMBER(G156), $B172 * H156, "")</f>
        <v>-2702.7027027027025</v>
      </c>
      <c r="J156" s="20">
        <v>109</v>
      </c>
      <c r="K156" s="21">
        <f t="shared" si="80"/>
        <v>-1.8018018018018018E-2</v>
      </c>
      <c r="L156" s="22">
        <f>IF(ISNUMBER(J156), $B172 * K156, "")</f>
        <v>-2702.7027027027025</v>
      </c>
      <c r="M156" s="30">
        <v>109</v>
      </c>
      <c r="N156" s="21">
        <f t="shared" si="81"/>
        <v>-1.8018018018018018E-2</v>
      </c>
      <c r="O156" s="22">
        <f>IF(ISNUMBER(M156), $B172 * N156, "")</f>
        <v>-2702.7027027027025</v>
      </c>
      <c r="Q156" s="161"/>
      <c r="R156" s="161"/>
      <c r="S156" s="161"/>
    </row>
    <row r="157" spans="1:19" ht="17.25" thickBot="1">
      <c r="A157" s="109" t="s">
        <v>187</v>
      </c>
      <c r="B157" s="113">
        <v>803</v>
      </c>
      <c r="C157" s="73">
        <v>-9.8643649999999999E-3</v>
      </c>
      <c r="D157" s="96">
        <v>804</v>
      </c>
      <c r="E157" s="97">
        <f>IF(ISNUMBER(D157), (D157 - $B157) / $B157, "")</f>
        <v>1.2453300124533001E-3</v>
      </c>
      <c r="F157" s="98">
        <f>IF(ISNUMBER(D157), $B172 * E157, "")</f>
        <v>186.79950186799502</v>
      </c>
      <c r="G157" s="99">
        <v>868</v>
      </c>
      <c r="H157" s="97">
        <f>IF(ISNUMBER(G157), (G157 - $B157) / $B157, "")</f>
        <v>8.0946450809464512E-2</v>
      </c>
      <c r="I157" s="100">
        <f>IF(ISNUMBER(G157), $B172 * H157, "")</f>
        <v>12141.967621419677</v>
      </c>
      <c r="J157" s="96">
        <v>868</v>
      </c>
      <c r="K157" s="97">
        <f>IF(ISNUMBER(J157), (J157 - $B157) / $B157, "")</f>
        <v>8.0946450809464512E-2</v>
      </c>
      <c r="L157" s="98">
        <f>IF(ISNUMBER(J157), $B172 * K157, "")</f>
        <v>12141.967621419677</v>
      </c>
      <c r="M157" s="99">
        <v>849</v>
      </c>
      <c r="N157" s="97">
        <f>IF(ISNUMBER(M157), (M157 - $B157) / $B157, "")</f>
        <v>5.7285180572851806E-2</v>
      </c>
      <c r="O157" s="98">
        <f>IF(ISNUMBER(M157), $B172 * N157, "")</f>
        <v>8592.7770859277716</v>
      </c>
      <c r="Q157" s="161"/>
      <c r="R157" s="161"/>
      <c r="S157" s="161"/>
    </row>
    <row r="158" spans="1:19" ht="17.25" thickBot="1">
      <c r="A158" s="109" t="s">
        <v>149</v>
      </c>
      <c r="B158" s="110">
        <v>395</v>
      </c>
      <c r="C158" s="70">
        <v>-1.00250627E-2</v>
      </c>
      <c r="D158" s="15">
        <v>402</v>
      </c>
      <c r="E158" s="32">
        <f t="shared" ref="E158:E161" si="82">IF(ISNUMBER(D158), (D158 - $B158) / $B158, "")</f>
        <v>1.7721518987341773E-2</v>
      </c>
      <c r="F158" s="18">
        <f>IF(ISNUMBER(D158), $B172 * E158, "")</f>
        <v>2658.2278481012659</v>
      </c>
      <c r="G158" s="31">
        <v>399</v>
      </c>
      <c r="H158" s="32">
        <f t="shared" ref="H158:H161" si="83">IF(ISNUMBER(G158), (G158 - $B158) / $B158, "")</f>
        <v>1.0126582278481013E-2</v>
      </c>
      <c r="I158" s="91">
        <f>IF(ISNUMBER(G158), $B172 * H158, "")</f>
        <v>1518.9873417721519</v>
      </c>
      <c r="J158" s="15">
        <v>399</v>
      </c>
      <c r="K158" s="32">
        <f t="shared" ref="K158:K161" si="84">IF(ISNUMBER(J158), (J158 - $B158) / $B158, "")</f>
        <v>1.0126582278481013E-2</v>
      </c>
      <c r="L158" s="18">
        <f>IF(ISNUMBER(J158), $B172 * K158, "")</f>
        <v>1518.9873417721519</v>
      </c>
      <c r="M158" s="31">
        <v>401</v>
      </c>
      <c r="N158" s="32">
        <f t="shared" ref="N158:N161" si="85">IF(ISNUMBER(M158), (M158 - $B158) / $B158, "")</f>
        <v>1.5189873417721518E-2</v>
      </c>
      <c r="O158" s="18">
        <f>IF(ISNUMBER(M158), $B172 * N158, "")</f>
        <v>2278.4810126582279</v>
      </c>
      <c r="Q158" s="161"/>
      <c r="R158" s="161"/>
      <c r="S158" s="161"/>
    </row>
    <row r="159" spans="1:19" ht="17.25" thickBot="1">
      <c r="A159" s="109" t="s">
        <v>222</v>
      </c>
      <c r="B159" s="110">
        <v>450</v>
      </c>
      <c r="C159" s="70">
        <v>-1.0989011E-2</v>
      </c>
      <c r="D159" s="15">
        <v>451</v>
      </c>
      <c r="E159" s="32">
        <f t="shared" si="82"/>
        <v>2.2222222222222222E-3</v>
      </c>
      <c r="F159" s="18">
        <f>IF(ISNUMBER(D159), $B172 * E159, "")</f>
        <v>333.33333333333331</v>
      </c>
      <c r="G159" s="31">
        <v>456</v>
      </c>
      <c r="H159" s="32">
        <f t="shared" si="83"/>
        <v>1.3333333333333334E-2</v>
      </c>
      <c r="I159" s="91">
        <f>IF(ISNUMBER(G159), $B172 * H159, "")</f>
        <v>2000.0000000000002</v>
      </c>
      <c r="J159" s="15">
        <v>456</v>
      </c>
      <c r="K159" s="32">
        <f t="shared" si="84"/>
        <v>1.3333333333333334E-2</v>
      </c>
      <c r="L159" s="18">
        <f>IF(ISNUMBER(J159), $B172 * K159, "")</f>
        <v>2000.0000000000002</v>
      </c>
      <c r="M159" s="31">
        <v>458</v>
      </c>
      <c r="N159" s="32">
        <f t="shared" si="85"/>
        <v>1.7777777777777778E-2</v>
      </c>
      <c r="O159" s="18">
        <f>IF(ISNUMBER(M159), $B172 * N159, "")</f>
        <v>2666.6666666666665</v>
      </c>
      <c r="Q159" s="161"/>
      <c r="R159" s="161"/>
      <c r="S159" s="161"/>
    </row>
    <row r="160" spans="1:19" ht="17.25" thickBot="1">
      <c r="A160" s="109" t="s">
        <v>169</v>
      </c>
      <c r="B160" s="110">
        <v>266</v>
      </c>
      <c r="C160" s="70">
        <v>-1.11524164E-2</v>
      </c>
      <c r="D160" s="15">
        <v>263</v>
      </c>
      <c r="E160" s="32">
        <f t="shared" si="82"/>
        <v>-1.1278195488721804E-2</v>
      </c>
      <c r="F160" s="18">
        <f>IF(ISNUMBER(D160), $B172 * E160, "")</f>
        <v>-1691.7293233082705</v>
      </c>
      <c r="G160" s="31">
        <v>263</v>
      </c>
      <c r="H160" s="32">
        <f t="shared" si="83"/>
        <v>-1.1278195488721804E-2</v>
      </c>
      <c r="I160" s="91">
        <f>IF(ISNUMBER(G160), $B172 * H160, "")</f>
        <v>-1691.7293233082705</v>
      </c>
      <c r="J160" s="15">
        <v>263</v>
      </c>
      <c r="K160" s="32">
        <f t="shared" si="84"/>
        <v>-1.1278195488721804E-2</v>
      </c>
      <c r="L160" s="18">
        <f>IF(ISNUMBER(J160), $B172 * K160, "")</f>
        <v>-1691.7293233082705</v>
      </c>
      <c r="M160" s="31">
        <v>262</v>
      </c>
      <c r="N160" s="32">
        <f t="shared" si="85"/>
        <v>-1.5037593984962405E-2</v>
      </c>
      <c r="O160" s="18">
        <f>IF(ISNUMBER(M160), $B172 * N160, "")</f>
        <v>-2255.6390977443607</v>
      </c>
      <c r="Q160" s="33"/>
      <c r="R160" s="33"/>
    </row>
    <row r="161" spans="1:19" ht="17.25" thickBot="1">
      <c r="A161" s="114" t="s">
        <v>216</v>
      </c>
      <c r="B161" s="115">
        <v>519</v>
      </c>
      <c r="C161" s="72">
        <v>-1.14285714E-2</v>
      </c>
      <c r="D161" s="24">
        <v>522</v>
      </c>
      <c r="E161" s="25">
        <f t="shared" si="82"/>
        <v>5.7803468208092483E-3</v>
      </c>
      <c r="F161" s="94">
        <f>IF(ISNUMBER(D161), $B172 * E161, "")</f>
        <v>867.05202312138726</v>
      </c>
      <c r="G161" s="92">
        <v>533</v>
      </c>
      <c r="H161" s="25">
        <f t="shared" si="83"/>
        <v>2.6974951830443159E-2</v>
      </c>
      <c r="I161" s="93">
        <f>IF(ISNUMBER(G161), $B172 * H161, "")</f>
        <v>4046.2427745664741</v>
      </c>
      <c r="J161" s="24">
        <v>533</v>
      </c>
      <c r="K161" s="25">
        <f t="shared" si="84"/>
        <v>2.6974951830443159E-2</v>
      </c>
      <c r="L161" s="94">
        <f>IF(ISNUMBER(J161), $B172 * K161, "")</f>
        <v>4046.2427745664741</v>
      </c>
      <c r="M161" s="92">
        <v>531</v>
      </c>
      <c r="N161" s="25">
        <f t="shared" si="85"/>
        <v>2.3121387283236993E-2</v>
      </c>
      <c r="O161" s="94">
        <f>IF(ISNUMBER(M161), $B172 * N161, "")</f>
        <v>3468.2080924855491</v>
      </c>
      <c r="Q161" s="170"/>
      <c r="R161" s="171"/>
      <c r="S161" s="172"/>
    </row>
    <row r="162" spans="1:19">
      <c r="A162" s="107" t="s">
        <v>349</v>
      </c>
      <c r="B162" s="108">
        <v>735</v>
      </c>
      <c r="C162" s="69">
        <v>-1.34228188E-2</v>
      </c>
      <c r="D162" s="13">
        <v>725</v>
      </c>
      <c r="E162" s="14">
        <f>IF(ISNUMBER(D162), (D162 - $B162) / $B162, "")</f>
        <v>-1.3605442176870748E-2</v>
      </c>
      <c r="F162" s="16">
        <f>IF(ISNUMBER(D162), $B172 * E162, "")</f>
        <v>-2040.8163265306121</v>
      </c>
      <c r="G162" s="29">
        <v>720</v>
      </c>
      <c r="H162" s="14">
        <f>IF(ISNUMBER(G162), (G162 - $B162) / $B162, "")</f>
        <v>-2.0408163265306121E-2</v>
      </c>
      <c r="I162" s="90">
        <f>IF(ISNUMBER(G162), $B172 * H162, "")</f>
        <v>-3061.2244897959181</v>
      </c>
      <c r="J162" s="13">
        <v>720</v>
      </c>
      <c r="K162" s="14">
        <f>IF(ISNUMBER(J162), (J162 - $B162) / $B162, "")</f>
        <v>-2.0408163265306121E-2</v>
      </c>
      <c r="L162" s="16">
        <f>IF(ISNUMBER(J162), $B172 * K162, "")</f>
        <v>-3061.2244897959181</v>
      </c>
      <c r="M162" s="29">
        <v>719</v>
      </c>
      <c r="N162" s="14">
        <f>IF(ISNUMBER(M162), (M162 - $B162) / $B162, "")</f>
        <v>-2.1768707482993196E-2</v>
      </c>
      <c r="O162" s="16">
        <f>IF(ISNUMBER(M162), $B172 * N162, "")</f>
        <v>-3265.3061224489793</v>
      </c>
      <c r="Q162" s="173"/>
      <c r="R162" s="174"/>
      <c r="S162" s="175"/>
    </row>
    <row r="163" spans="1:19" ht="17.25" thickBot="1">
      <c r="A163" s="109" t="s">
        <v>342</v>
      </c>
      <c r="B163" s="110">
        <v>136</v>
      </c>
      <c r="C163" s="70">
        <v>-1.44927536E-2</v>
      </c>
      <c r="D163" s="15">
        <v>135</v>
      </c>
      <c r="E163" s="32">
        <f t="shared" ref="E163:E166" si="86">IF(ISNUMBER(D163), (D163 - $B163) / $B163, "")</f>
        <v>-7.3529411764705881E-3</v>
      </c>
      <c r="F163" s="18">
        <f>IF(ISNUMBER(D163), $B172 * E163, "")</f>
        <v>-1102.9411764705883</v>
      </c>
      <c r="G163" s="31">
        <v>136</v>
      </c>
      <c r="H163" s="32">
        <f t="shared" ref="H163:H166" si="87">IF(ISNUMBER(G163), (G163 - $B163) / $B163, "")</f>
        <v>0</v>
      </c>
      <c r="I163" s="91">
        <f>IF(ISNUMBER(G163), $B172 * H163, "")</f>
        <v>0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176"/>
      <c r="R163" s="177"/>
      <c r="S163" s="178"/>
    </row>
    <row r="164" spans="1:19" ht="17.25" thickBot="1">
      <c r="A164" s="109" t="s">
        <v>159</v>
      </c>
      <c r="B164" s="110">
        <v>195</v>
      </c>
      <c r="C164" s="70">
        <v>-1.51515152E-2</v>
      </c>
      <c r="D164" s="15">
        <v>195</v>
      </c>
      <c r="E164" s="32">
        <f t="shared" si="86"/>
        <v>0</v>
      </c>
      <c r="F164" s="18">
        <f>IF(ISNUMBER(D164), $B172 * E164, "")</f>
        <v>0</v>
      </c>
      <c r="G164" s="31">
        <v>195</v>
      </c>
      <c r="H164" s="32">
        <f t="shared" si="87"/>
        <v>0</v>
      </c>
      <c r="I164" s="91">
        <f>IF(ISNUMBER(G164), $B172 * H164, "")</f>
        <v>0</v>
      </c>
      <c r="J164" s="15">
        <v>195</v>
      </c>
      <c r="K164" s="32">
        <f t="shared" si="88"/>
        <v>0</v>
      </c>
      <c r="L164" s="18">
        <f>IF(ISNUMBER(J164), $B172 * K164, "")</f>
        <v>0</v>
      </c>
      <c r="M164" s="31">
        <v>195</v>
      </c>
      <c r="N164" s="32">
        <f t="shared" si="89"/>
        <v>0</v>
      </c>
      <c r="O164" s="18">
        <f>IF(ISNUMBER(M164), $B172 * N164, "")</f>
        <v>0</v>
      </c>
      <c r="Q164" s="161"/>
      <c r="R164" s="161"/>
      <c r="S164" s="161"/>
    </row>
    <row r="165" spans="1:19" ht="17.25" thickBot="1">
      <c r="A165" s="109" t="s">
        <v>66</v>
      </c>
      <c r="B165" s="110">
        <v>740</v>
      </c>
      <c r="C165" s="70">
        <v>-1.7264276200000001E-2</v>
      </c>
      <c r="D165" s="15">
        <v>742</v>
      </c>
      <c r="E165" s="32">
        <f t="shared" si="86"/>
        <v>2.7027027027027029E-3</v>
      </c>
      <c r="F165" s="18">
        <f>IF(ISNUMBER(D165), $B172 * E165, "")</f>
        <v>405.40540540540542</v>
      </c>
      <c r="G165" s="31">
        <v>747</v>
      </c>
      <c r="H165" s="32">
        <f t="shared" si="87"/>
        <v>9.45945945945946E-3</v>
      </c>
      <c r="I165" s="91">
        <f>IF(ISNUMBER(G165), $B172 * H165, "")</f>
        <v>1418.918918918919</v>
      </c>
      <c r="J165" s="15">
        <v>747</v>
      </c>
      <c r="K165" s="32">
        <f t="shared" si="88"/>
        <v>9.45945945945946E-3</v>
      </c>
      <c r="L165" s="18">
        <f>IF(ISNUMBER(J165), $B172 * K165, "")</f>
        <v>1418.918918918919</v>
      </c>
      <c r="M165" s="31">
        <v>751</v>
      </c>
      <c r="N165" s="32">
        <f t="shared" si="89"/>
        <v>1.4864864864864866E-2</v>
      </c>
      <c r="O165" s="18">
        <f>IF(ISNUMBER(M165), $B172 * N165, "")</f>
        <v>2229.72972972973</v>
      </c>
      <c r="Q165" s="156"/>
      <c r="R165" s="156"/>
      <c r="S165" s="156"/>
    </row>
    <row r="166" spans="1:19" ht="17.25" thickBot="1">
      <c r="A166" s="111" t="s">
        <v>68</v>
      </c>
      <c r="B166" s="112">
        <v>327</v>
      </c>
      <c r="C166" s="71">
        <v>-2.3880597E-2</v>
      </c>
      <c r="D166" s="20">
        <v>325</v>
      </c>
      <c r="E166" s="21">
        <f t="shared" si="86"/>
        <v>-6.1162079510703364E-3</v>
      </c>
      <c r="F166" s="22">
        <f>IF(ISNUMBER(D166), $B172 * E166, "")</f>
        <v>-917.43119266055044</v>
      </c>
      <c r="G166" s="30">
        <v>326</v>
      </c>
      <c r="H166" s="21">
        <f t="shared" si="87"/>
        <v>-3.0581039755351682E-3</v>
      </c>
      <c r="I166" s="95">
        <f>IF(ISNUMBER(G166), $B172 * H166, "")</f>
        <v>-458.71559633027522</v>
      </c>
      <c r="J166" s="20">
        <v>326</v>
      </c>
      <c r="K166" s="21">
        <f t="shared" si="88"/>
        <v>-3.0581039755351682E-3</v>
      </c>
      <c r="L166" s="22">
        <f>IF(ISNUMBER(J166), $B172 * K166, "")</f>
        <v>-458.71559633027522</v>
      </c>
      <c r="M166" s="30">
        <v>328</v>
      </c>
      <c r="N166" s="21">
        <f t="shared" si="89"/>
        <v>3.0581039755351682E-3</v>
      </c>
      <c r="O166" s="22">
        <f>IF(ISNUMBER(M166), $B172 * N166, "")</f>
        <v>458.71559633027522</v>
      </c>
      <c r="Q166" s="156"/>
      <c r="R166" s="156"/>
      <c r="S166" s="156"/>
    </row>
    <row r="167" spans="1:19" ht="17.25" thickBot="1">
      <c r="A167" s="109" t="s">
        <v>352</v>
      </c>
      <c r="B167" s="113">
        <v>245</v>
      </c>
      <c r="C167" s="73">
        <v>-2.3904382500000002E-2</v>
      </c>
      <c r="D167" s="96">
        <v>244</v>
      </c>
      <c r="E167" s="97">
        <f>IF(ISNUMBER(D167), (D167 - $B167) / $B167, "")</f>
        <v>-4.0816326530612249E-3</v>
      </c>
      <c r="F167" s="98">
        <f>IF(ISNUMBER(D167), $B172 * E167, "")</f>
        <v>-612.24489795918373</v>
      </c>
      <c r="G167" s="99">
        <v>243</v>
      </c>
      <c r="H167" s="97">
        <f>IF(ISNUMBER(G167), (G167 - $B167) / $B167, "")</f>
        <v>-8.1632653061224497E-3</v>
      </c>
      <c r="I167" s="100">
        <f>IF(ISNUMBER(G167), $B172 * H167, "")</f>
        <v>-1224.4897959183675</v>
      </c>
      <c r="J167" s="96">
        <v>243</v>
      </c>
      <c r="K167" s="97">
        <f>IF(ISNUMBER(J167), (J167 - $B167) / $B167, "")</f>
        <v>-8.1632653061224497E-3</v>
      </c>
      <c r="L167" s="98">
        <f>IF(ISNUMBER(J167), $B172 * K167, "")</f>
        <v>-1224.4897959183675</v>
      </c>
      <c r="M167" s="99">
        <v>242</v>
      </c>
      <c r="N167" s="97">
        <f>IF(ISNUMBER(M167), (M167 - $B167) / $B167, "")</f>
        <v>-1.2244897959183673E-2</v>
      </c>
      <c r="O167" s="98">
        <f>IF(ISNUMBER(M167), $B172 * N167, "")</f>
        <v>-1836.7346938775509</v>
      </c>
      <c r="Q167" s="161"/>
      <c r="R167" s="161"/>
      <c r="S167" s="161"/>
    </row>
    <row r="168" spans="1:19" ht="17.25" thickBot="1">
      <c r="A168" s="109" t="s">
        <v>346</v>
      </c>
      <c r="B168" s="110">
        <v>520</v>
      </c>
      <c r="C168" s="70">
        <v>-3.1657355700000001E-2</v>
      </c>
      <c r="D168" s="15">
        <v>518</v>
      </c>
      <c r="E168" s="32">
        <f t="shared" ref="E168:E171" si="90">IF(ISNUMBER(D168), (D168 - $B168) / $B168, "")</f>
        <v>-3.8461538461538464E-3</v>
      </c>
      <c r="F168" s="18">
        <f>IF(ISNUMBER(D168), $B172 * E168, "")</f>
        <v>-576.92307692307691</v>
      </c>
      <c r="G168" s="31">
        <v>519</v>
      </c>
      <c r="H168" s="32">
        <f t="shared" ref="H168:H171" si="91">IF(ISNUMBER(G168), (G168 - $B168) / $B168, "")</f>
        <v>-1.9230769230769232E-3</v>
      </c>
      <c r="I168" s="91">
        <f>IF(ISNUMBER(G168), $B172 * H168, "")</f>
        <v>-288.46153846153845</v>
      </c>
      <c r="J168" s="15">
        <v>519</v>
      </c>
      <c r="K168" s="32">
        <f t="shared" ref="K168:K171" si="92">IF(ISNUMBER(J168), (J168 - $B168) / $B168, "")</f>
        <v>-1.9230769230769232E-3</v>
      </c>
      <c r="L168" s="18">
        <f>IF(ISNUMBER(J168), $B172 * K168, "")</f>
        <v>-288.46153846153845</v>
      </c>
      <c r="M168" s="31">
        <v>518</v>
      </c>
      <c r="N168" s="32">
        <f t="shared" ref="N168:N171" si="93">IF(ISNUMBER(M168), (M168 - $B168) / $B168, "")</f>
        <v>-3.8461538461538464E-3</v>
      </c>
      <c r="O168" s="18">
        <f>IF(ISNUMBER(M168), $B172 * N168, "")</f>
        <v>-576.92307692307691</v>
      </c>
      <c r="Q168" s="161"/>
      <c r="R168" s="161"/>
      <c r="S168" s="161"/>
    </row>
    <row r="169" spans="1:19" ht="17.25" thickBot="1">
      <c r="A169" s="109" t="s">
        <v>161</v>
      </c>
      <c r="B169" s="110">
        <v>389</v>
      </c>
      <c r="C169" s="70">
        <v>-4.1871921200000002E-2</v>
      </c>
      <c r="D169" s="15">
        <v>376</v>
      </c>
      <c r="E169" s="32">
        <f t="shared" si="90"/>
        <v>-3.3419023136246784E-2</v>
      </c>
      <c r="F169" s="18">
        <f>IF(ISNUMBER(D169), $B172 * E169, "")</f>
        <v>-5012.8534704370177</v>
      </c>
      <c r="G169" s="31">
        <v>373</v>
      </c>
      <c r="H169" s="32">
        <f t="shared" si="91"/>
        <v>-4.1131105398457581E-2</v>
      </c>
      <c r="I169" s="91">
        <f>IF(ISNUMBER(G169), $B172 * H169, "")</f>
        <v>-6169.6658097686368</v>
      </c>
      <c r="J169" s="15">
        <v>373</v>
      </c>
      <c r="K169" s="32">
        <f t="shared" si="92"/>
        <v>-4.1131105398457581E-2</v>
      </c>
      <c r="L169" s="18">
        <f>IF(ISNUMBER(J169), $B172 * K169, "")</f>
        <v>-6169.6658097686368</v>
      </c>
      <c r="M169" s="31">
        <v>369</v>
      </c>
      <c r="N169" s="32">
        <f t="shared" si="93"/>
        <v>-5.1413881748071981E-2</v>
      </c>
      <c r="O169" s="18">
        <f>IF(ISNUMBER(M169), $B172 * N169, "")</f>
        <v>-7712.0822622107971</v>
      </c>
      <c r="Q169" s="161"/>
      <c r="R169" s="161"/>
      <c r="S169" s="161"/>
    </row>
    <row r="170" spans="1:19">
      <c r="A170" s="109" t="s">
        <v>204</v>
      </c>
      <c r="B170" s="110">
        <v>277</v>
      </c>
      <c r="C170" s="70">
        <v>-4.8109965599999999E-2</v>
      </c>
      <c r="D170" s="15">
        <v>273</v>
      </c>
      <c r="E170" s="32">
        <f t="shared" si="90"/>
        <v>-1.444043321299639E-2</v>
      </c>
      <c r="F170" s="18">
        <f>IF(ISNUMBER(D170), $B172 * E170, "")</f>
        <v>-2166.0649819494583</v>
      </c>
      <c r="G170" s="31">
        <v>272</v>
      </c>
      <c r="H170" s="32">
        <f t="shared" si="91"/>
        <v>-1.8050541516245487E-2</v>
      </c>
      <c r="I170" s="91">
        <f>IF(ISNUMBER(G170), $B172 * H170, "")</f>
        <v>-2707.5812274368232</v>
      </c>
      <c r="J170" s="15">
        <v>272</v>
      </c>
      <c r="K170" s="32">
        <f t="shared" si="92"/>
        <v>-1.8050541516245487E-2</v>
      </c>
      <c r="L170" s="18">
        <f>IF(ISNUMBER(J170), $B172 * K170, "")</f>
        <v>-2707.5812274368232</v>
      </c>
      <c r="M170" s="31">
        <v>272</v>
      </c>
      <c r="N170" s="32">
        <f t="shared" si="93"/>
        <v>-1.8050541516245487E-2</v>
      </c>
      <c r="O170" s="18">
        <f>IF(ISNUMBER(M170), $B172 * N170, "")</f>
        <v>-2707.5812274368232</v>
      </c>
      <c r="Q170" s="183"/>
      <c r="R170" s="184"/>
      <c r="S170" s="185"/>
    </row>
    <row r="171" spans="1:19" ht="17.25" thickBot="1">
      <c r="A171" s="114" t="s">
        <v>234</v>
      </c>
      <c r="B171" s="115">
        <v>412</v>
      </c>
      <c r="C171" s="72">
        <v>-7.2072072099999995E-2</v>
      </c>
      <c r="D171" s="24">
        <v>416</v>
      </c>
      <c r="E171" s="25">
        <f t="shared" si="90"/>
        <v>9.7087378640776691E-3</v>
      </c>
      <c r="F171" s="94">
        <f>IF(ISNUMBER(D171), $B172 * E171, "")</f>
        <v>1456.3106796116504</v>
      </c>
      <c r="G171" s="92">
        <v>410</v>
      </c>
      <c r="H171" s="25">
        <f t="shared" si="91"/>
        <v>-4.8543689320388345E-3</v>
      </c>
      <c r="I171" s="93">
        <f>IF(ISNUMBER(G171), $B172 * H171, "")</f>
        <v>-728.15533980582518</v>
      </c>
      <c r="J171" s="24">
        <v>410</v>
      </c>
      <c r="K171" s="25">
        <f t="shared" si="92"/>
        <v>-4.8543689320388345E-3</v>
      </c>
      <c r="L171" s="94">
        <f>IF(ISNUMBER(J171), $B172 * K171, "")</f>
        <v>-728.15533980582518</v>
      </c>
      <c r="M171" s="92">
        <v>412</v>
      </c>
      <c r="N171" s="25">
        <f t="shared" si="93"/>
        <v>0</v>
      </c>
      <c r="O171" s="94">
        <f>IF(ISNUMBER(M171), $B172 * N171, "")</f>
        <v>0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-2.3863207636822164E-3</v>
      </c>
      <c r="F172" s="28">
        <f>SUM(F152:F171)</f>
        <v>-7158.9622910466478</v>
      </c>
      <c r="G172" s="26" t="s">
        <v>261</v>
      </c>
      <c r="H172" s="27">
        <f>IF(COUNT(H152:H171), SUM(H152:H171) / COUNT(H152:H171), 0)</f>
        <v>2.2565446061468602E-3</v>
      </c>
      <c r="I172" s="28">
        <f>SUM(I152:I171)</f>
        <v>6769.6338184405804</v>
      </c>
      <c r="J172" s="26" t="s">
        <v>261</v>
      </c>
      <c r="K172" s="27">
        <f>IF(COUNT(K152:K171), SUM(K152:K171) / COUNT(K152:K171), 0)</f>
        <v>2.2565446061468602E-3</v>
      </c>
      <c r="L172" s="28">
        <f>SUM(L152:L171)</f>
        <v>6769.6338184405804</v>
      </c>
      <c r="M172" s="26" t="s">
        <v>261</v>
      </c>
      <c r="N172" s="27">
        <f>IF(COUNT(N152:N171), SUM(N152:N171) / COUNT(N152:N171), 0)</f>
        <v>1.4373218670172411E-3</v>
      </c>
      <c r="O172" s="28">
        <f>SUM(O152:O171)</f>
        <v>4311.9656010517228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2022-12-14(수) 오전 00:00</v>
      </c>
      <c r="C177" s="199"/>
      <c r="D177" s="158" t="str">
        <f>TEXT($G$1, "[$-ko-KR]yyyy-mm-dd(ddd) ") &amp; "오후 14:00"</f>
        <v>2022-12-14(수) 오후 14:00</v>
      </c>
      <c r="E177" s="159"/>
      <c r="F177" s="160"/>
      <c r="G177" s="158" t="str">
        <f>TEXT($G$1, "[$-ko-KR]yyyy-mm-dd(ddd) ") &amp; "오후 19:00"</f>
        <v>2022-12-14(수) 오후 19:00</v>
      </c>
      <c r="H177" s="159"/>
      <c r="I177" s="160"/>
      <c r="J177" s="158" t="str">
        <f>TEXT($G$1, "[$-ko-KR]yyyy-mm-dd(ddd) ") &amp; "오후 21:00"</f>
        <v>2022-12-14(수) 오후 21:00</v>
      </c>
      <c r="K177" s="159"/>
      <c r="L177" s="160"/>
      <c r="M177" s="158" t="str">
        <f>TEXT($G$1+1, "[$-ko-KR]yyyy-mm-dd(ddd) ") &amp; "오전 00:00"</f>
        <v>2022-12-15(목)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349</v>
      </c>
      <c r="B179" s="108">
        <v>735</v>
      </c>
      <c r="C179" s="69">
        <v>-1.34228188E-2</v>
      </c>
      <c r="D179" s="13">
        <v>725</v>
      </c>
      <c r="E179" s="14">
        <f>IF(ISNUMBER(D179), (D179 - $B179) / $B179, "")</f>
        <v>-1.3605442176870748E-2</v>
      </c>
      <c r="F179" s="16">
        <f>IF(ISNUMBER(D179), $B199 * E179, "")</f>
        <v>-2040.8163265306121</v>
      </c>
      <c r="G179" s="29">
        <v>720</v>
      </c>
      <c r="H179" s="14">
        <f>IF(ISNUMBER(G179), (G179 - $B179) / $B179, "")</f>
        <v>-2.0408163265306121E-2</v>
      </c>
      <c r="I179" s="90">
        <f>IF(ISNUMBER(G179), $B199 * H179, "")</f>
        <v>-3061.2244897959181</v>
      </c>
      <c r="J179" s="13">
        <v>720</v>
      </c>
      <c r="K179" s="14">
        <f>IF(ISNUMBER(J179), (J179 - $B179) / $B179, "")</f>
        <v>-2.0408163265306121E-2</v>
      </c>
      <c r="L179" s="16">
        <f>IF(ISNUMBER(J179), $B199 * K179, "")</f>
        <v>-3061.2244897959181</v>
      </c>
      <c r="M179" s="29">
        <v>719</v>
      </c>
      <c r="N179" s="14">
        <f>IF(ISNUMBER(M179), (M179 - $B179) / $B179, "")</f>
        <v>-2.1768707482993196E-2</v>
      </c>
      <c r="O179" s="16">
        <f>IF(ISNUMBER(M179), $B199 * N179, "")</f>
        <v>-3265.3061224489793</v>
      </c>
      <c r="Q179" s="156"/>
      <c r="R179" s="156"/>
      <c r="S179" s="156"/>
    </row>
    <row r="180" spans="1:19" ht="17.25" thickBot="1">
      <c r="A180" s="109" t="s">
        <v>342</v>
      </c>
      <c r="B180" s="110">
        <v>136</v>
      </c>
      <c r="C180" s="70">
        <v>-1.44927536E-2</v>
      </c>
      <c r="D180" s="15">
        <v>135</v>
      </c>
      <c r="E180" s="32">
        <f t="shared" ref="E180:E183" si="94">IF(ISNUMBER(D180), (D180 - $B180) / $B180, "")</f>
        <v>-7.3529411764705881E-3</v>
      </c>
      <c r="F180" s="18">
        <f>IF(ISNUMBER(D180), $B199 * E180, "")</f>
        <v>-1102.9411764705883</v>
      </c>
      <c r="G180" s="31">
        <v>136</v>
      </c>
      <c r="H180" s="32">
        <f t="shared" ref="H180:H183" si="95">IF(ISNUMBER(G180), (G180 - $B180) / $B180, "")</f>
        <v>0</v>
      </c>
      <c r="I180" s="91">
        <f>IF(ISNUMBER(G180), $B199 * H180, "")</f>
        <v>0</v>
      </c>
      <c r="J180" s="15">
        <v>136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136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56"/>
      <c r="R180" s="156"/>
      <c r="S180" s="156"/>
    </row>
    <row r="181" spans="1:19" ht="17.25" thickBot="1">
      <c r="A181" s="109" t="s">
        <v>159</v>
      </c>
      <c r="B181" s="110">
        <v>195</v>
      </c>
      <c r="C181" s="70">
        <v>-1.51515152E-2</v>
      </c>
      <c r="D181" s="15">
        <v>195</v>
      </c>
      <c r="E181" s="32">
        <f t="shared" si="94"/>
        <v>0</v>
      </c>
      <c r="F181" s="18">
        <f>IF(ISNUMBER(D181), $B199 * E181, "")</f>
        <v>0</v>
      </c>
      <c r="G181" s="31">
        <v>195</v>
      </c>
      <c r="H181" s="32">
        <f t="shared" si="95"/>
        <v>0</v>
      </c>
      <c r="I181" s="91">
        <f>IF(ISNUMBER(G181), $B199 * H181, "")</f>
        <v>0</v>
      </c>
      <c r="J181" s="15">
        <v>195</v>
      </c>
      <c r="K181" s="32">
        <f t="shared" si="96"/>
        <v>0</v>
      </c>
      <c r="L181" s="18">
        <f>IF(ISNUMBER(J181), $B199 * K181, "")</f>
        <v>0</v>
      </c>
      <c r="M181" s="31">
        <v>195</v>
      </c>
      <c r="N181" s="32">
        <f t="shared" si="97"/>
        <v>0</v>
      </c>
      <c r="O181" s="18">
        <f>IF(ISNUMBER(M181), $B199 * N181, "")</f>
        <v>0</v>
      </c>
      <c r="Q181" s="161"/>
      <c r="R181" s="161"/>
      <c r="S181" s="161"/>
    </row>
    <row r="182" spans="1:19" ht="17.25" thickBot="1">
      <c r="A182" s="109" t="s">
        <v>66</v>
      </c>
      <c r="B182" s="110">
        <v>740</v>
      </c>
      <c r="C182" s="70">
        <v>-1.7264276200000001E-2</v>
      </c>
      <c r="D182" s="15">
        <v>742</v>
      </c>
      <c r="E182" s="32">
        <f t="shared" si="94"/>
        <v>2.7027027027027029E-3</v>
      </c>
      <c r="F182" s="18">
        <f>IF(ISNUMBER(D182), $B199 * E182, "")</f>
        <v>405.40540540540542</v>
      </c>
      <c r="G182" s="31">
        <v>747</v>
      </c>
      <c r="H182" s="32">
        <f t="shared" si="95"/>
        <v>9.45945945945946E-3</v>
      </c>
      <c r="I182" s="91">
        <f>IF(ISNUMBER(G182), $B199 * H182, "")</f>
        <v>1418.918918918919</v>
      </c>
      <c r="J182" s="15">
        <v>747</v>
      </c>
      <c r="K182" s="32">
        <f t="shared" si="96"/>
        <v>9.45945945945946E-3</v>
      </c>
      <c r="L182" s="18">
        <f>IF(ISNUMBER(J182), $B199 * K182, "")</f>
        <v>1418.918918918919</v>
      </c>
      <c r="M182" s="31">
        <v>751</v>
      </c>
      <c r="N182" s="32">
        <f t="shared" si="97"/>
        <v>1.4864864864864866E-2</v>
      </c>
      <c r="O182" s="18">
        <f>IF(ISNUMBER(M182), $B199 * N182, "")</f>
        <v>2229.72972972973</v>
      </c>
      <c r="Q182" s="161"/>
      <c r="R182" s="161"/>
      <c r="S182" s="161"/>
    </row>
    <row r="183" spans="1:19" ht="17.25" thickBot="1">
      <c r="A183" s="111" t="s">
        <v>198</v>
      </c>
      <c r="B183" s="112">
        <v>8.7799999999999994</v>
      </c>
      <c r="C183" s="71">
        <v>-2.0089285700000001E-2</v>
      </c>
      <c r="D183" s="20">
        <v>8.65</v>
      </c>
      <c r="E183" s="21">
        <f t="shared" si="94"/>
        <v>-1.4806378132118339E-2</v>
      </c>
      <c r="F183" s="22">
        <f>IF(ISNUMBER(D183), $B199 * E183, "")</f>
        <v>-2220.956719817751</v>
      </c>
      <c r="G183" s="30">
        <v>8.61</v>
      </c>
      <c r="H183" s="21">
        <f t="shared" si="95"/>
        <v>-1.9362186788154892E-2</v>
      </c>
      <c r="I183" s="95">
        <f>IF(ISNUMBER(G183), $B199 * H183, "")</f>
        <v>-2904.3280182232338</v>
      </c>
      <c r="J183" s="20">
        <v>8.61</v>
      </c>
      <c r="K183" s="21">
        <f t="shared" si="96"/>
        <v>-1.9362186788154892E-2</v>
      </c>
      <c r="L183" s="22">
        <f>IF(ISNUMBER(J183), $B199 * K183, "")</f>
        <v>-2904.3280182232338</v>
      </c>
      <c r="M183" s="30">
        <v>8.64</v>
      </c>
      <c r="N183" s="21">
        <f t="shared" si="97"/>
        <v>-1.5945330296127425E-2</v>
      </c>
      <c r="O183" s="22">
        <f>IF(ISNUMBER(M183), $B199 * N183, "")</f>
        <v>-2391.7995444191138</v>
      </c>
      <c r="Q183" s="161"/>
      <c r="R183" s="161"/>
      <c r="S183" s="161"/>
    </row>
    <row r="184" spans="1:19" ht="17.25" thickBot="1">
      <c r="A184" s="109" t="s">
        <v>163</v>
      </c>
      <c r="B184" s="113">
        <v>7240</v>
      </c>
      <c r="C184" s="73">
        <v>-2.02976996E-2</v>
      </c>
      <c r="D184" s="96">
        <v>7285</v>
      </c>
      <c r="E184" s="97">
        <f>IF(ISNUMBER(D184), (D184 - $B184) / $B184, "")</f>
        <v>6.2154696132596682E-3</v>
      </c>
      <c r="F184" s="98">
        <f>IF(ISNUMBER(D184), $B199 * E184, "")</f>
        <v>932.32044198895028</v>
      </c>
      <c r="G184" s="99">
        <v>7335</v>
      </c>
      <c r="H184" s="97">
        <f>IF(ISNUMBER(G184), (G184 - $B184) / $B184, "")</f>
        <v>1.3121546961325966E-2</v>
      </c>
      <c r="I184" s="100">
        <f>IF(ISNUMBER(G184), $B199 * H184, "")</f>
        <v>1968.232044198895</v>
      </c>
      <c r="J184" s="96">
        <v>7335</v>
      </c>
      <c r="K184" s="97">
        <f>IF(ISNUMBER(J184), (J184 - $B184) / $B184, "")</f>
        <v>1.3121546961325966E-2</v>
      </c>
      <c r="L184" s="98">
        <f>IF(ISNUMBER(J184), $B199 * K184, "")</f>
        <v>1968.232044198895</v>
      </c>
      <c r="M184" s="99">
        <v>7355</v>
      </c>
      <c r="N184" s="97">
        <f>IF(ISNUMBER(M184), (M184 - $B184) / $B184, "")</f>
        <v>1.5883977900552487E-2</v>
      </c>
      <c r="O184" s="98">
        <f>IF(ISNUMBER(M184), $B199 * N184, "")</f>
        <v>2382.5966850828731</v>
      </c>
      <c r="Q184" s="161"/>
      <c r="R184" s="161"/>
      <c r="S184" s="161"/>
    </row>
    <row r="185" spans="1:19" ht="17.25" thickBot="1">
      <c r="A185" s="109" t="s">
        <v>350</v>
      </c>
      <c r="B185" s="110">
        <v>7.31</v>
      </c>
      <c r="C185" s="70">
        <v>-2.2727272699999999E-2</v>
      </c>
      <c r="D185" s="15">
        <v>7.23</v>
      </c>
      <c r="E185" s="32">
        <f t="shared" ref="E185:E188" si="98">IF(ISNUMBER(D185), (D185 - $B185) / $B185, "")</f>
        <v>-1.0943912448700299E-2</v>
      </c>
      <c r="F185" s="18">
        <f>IF(ISNUMBER(D185), $B199 * E185, "")</f>
        <v>-1641.586867305045</v>
      </c>
      <c r="G185" s="31">
        <v>7.36</v>
      </c>
      <c r="H185" s="32">
        <f t="shared" ref="H185:H188" si="99">IF(ISNUMBER(G185), (G185 - $B185) / $B185, "")</f>
        <v>6.8399452804378544E-3</v>
      </c>
      <c r="I185" s="91">
        <f>IF(ISNUMBER(G185), $B199 * H185, "")</f>
        <v>1025.9917920656781</v>
      </c>
      <c r="J185" s="15">
        <v>7.36</v>
      </c>
      <c r="K185" s="32">
        <f t="shared" ref="K185:K188" si="100">IF(ISNUMBER(J185), (J185 - $B185) / $B185, "")</f>
        <v>6.8399452804378544E-3</v>
      </c>
      <c r="L185" s="18">
        <f>IF(ISNUMBER(J185), $B199 * K185, "")</f>
        <v>1025.9917920656781</v>
      </c>
      <c r="M185" s="31">
        <v>7.39</v>
      </c>
      <c r="N185" s="32">
        <f t="shared" ref="N185:N188" si="101">IF(ISNUMBER(M185), (M185 - $B185) / $B185, "")</f>
        <v>1.0943912448700421E-2</v>
      </c>
      <c r="O185" s="18">
        <f>IF(ISNUMBER(M185), $B199 * N185, "")</f>
        <v>1641.5868673050632</v>
      </c>
      <c r="Q185" s="161"/>
      <c r="R185" s="161"/>
      <c r="S185" s="161"/>
    </row>
    <row r="186" spans="1:19" ht="17.25" thickBot="1">
      <c r="A186" s="109" t="s">
        <v>147</v>
      </c>
      <c r="B186" s="110">
        <v>10030</v>
      </c>
      <c r="C186" s="70">
        <v>-2.3369035999999999E-2</v>
      </c>
      <c r="D186" s="15">
        <v>9985</v>
      </c>
      <c r="E186" s="32">
        <f t="shared" si="98"/>
        <v>-4.4865403788634101E-3</v>
      </c>
      <c r="F186" s="18">
        <f>IF(ISNUMBER(D186), $B199 * E186, "")</f>
        <v>-672.98105682951154</v>
      </c>
      <c r="G186" s="31">
        <v>10270</v>
      </c>
      <c r="H186" s="32">
        <f t="shared" si="99"/>
        <v>2.3928215353938187E-2</v>
      </c>
      <c r="I186" s="91">
        <f>IF(ISNUMBER(G186), $B199 * H186, "")</f>
        <v>3589.2323030907282</v>
      </c>
      <c r="J186" s="15">
        <v>10270</v>
      </c>
      <c r="K186" s="32">
        <f t="shared" si="100"/>
        <v>2.3928215353938187E-2</v>
      </c>
      <c r="L186" s="18">
        <f>IF(ISNUMBER(J186), $B199 * K186, "")</f>
        <v>3589.2323030907282</v>
      </c>
      <c r="M186" s="31">
        <v>10390</v>
      </c>
      <c r="N186" s="32">
        <f t="shared" si="101"/>
        <v>3.589232303090728E-2</v>
      </c>
      <c r="O186" s="18">
        <f>IF(ISNUMBER(M186), $B199 * N186, "")</f>
        <v>5383.8484546360924</v>
      </c>
      <c r="Q186" s="161"/>
      <c r="R186" s="161"/>
      <c r="S186" s="161"/>
    </row>
    <row r="187" spans="1:19" ht="17.25" thickBot="1">
      <c r="A187" s="109" t="s">
        <v>68</v>
      </c>
      <c r="B187" s="110">
        <v>327</v>
      </c>
      <c r="C187" s="70">
        <v>-2.3880597E-2</v>
      </c>
      <c r="D187" s="15">
        <v>325</v>
      </c>
      <c r="E187" s="32">
        <f t="shared" si="98"/>
        <v>-6.1162079510703364E-3</v>
      </c>
      <c r="F187" s="18">
        <f>IF(ISNUMBER(D187), $B199 * E187, "")</f>
        <v>-917.43119266055044</v>
      </c>
      <c r="G187" s="31">
        <v>326</v>
      </c>
      <c r="H187" s="32">
        <f t="shared" si="99"/>
        <v>-3.0581039755351682E-3</v>
      </c>
      <c r="I187" s="91">
        <f>IF(ISNUMBER(G187), $B199 * H187, "")</f>
        <v>-458.71559633027522</v>
      </c>
      <c r="J187" s="15">
        <v>326</v>
      </c>
      <c r="K187" s="32">
        <f t="shared" si="100"/>
        <v>-3.0581039755351682E-3</v>
      </c>
      <c r="L187" s="18">
        <f>IF(ISNUMBER(J187), $B199 * K187, "")</f>
        <v>-458.71559633027522</v>
      </c>
      <c r="M187" s="31">
        <v>328</v>
      </c>
      <c r="N187" s="32">
        <f t="shared" si="101"/>
        <v>3.0581039755351682E-3</v>
      </c>
      <c r="O187" s="18">
        <f>IF(ISNUMBER(M187), $B199 * N187, "")</f>
        <v>458.71559633027522</v>
      </c>
      <c r="Q187" s="33"/>
      <c r="R187" s="33"/>
    </row>
    <row r="188" spans="1:19" ht="17.25" thickBot="1">
      <c r="A188" s="114" t="s">
        <v>352</v>
      </c>
      <c r="B188" s="115">
        <v>245</v>
      </c>
      <c r="C188" s="72">
        <v>-2.3904382500000002E-2</v>
      </c>
      <c r="D188" s="24">
        <v>244</v>
      </c>
      <c r="E188" s="25">
        <f t="shared" si="98"/>
        <v>-4.0816326530612249E-3</v>
      </c>
      <c r="F188" s="94">
        <f>IF(ISNUMBER(D188), $B199 * E188, "")</f>
        <v>-612.24489795918373</v>
      </c>
      <c r="G188" s="92">
        <v>243</v>
      </c>
      <c r="H188" s="25">
        <f t="shared" si="99"/>
        <v>-8.1632653061224497E-3</v>
      </c>
      <c r="I188" s="93">
        <f>IF(ISNUMBER(G188), $B199 * H188, "")</f>
        <v>-1224.4897959183675</v>
      </c>
      <c r="J188" s="24">
        <v>243</v>
      </c>
      <c r="K188" s="25">
        <f t="shared" si="100"/>
        <v>-8.1632653061224497E-3</v>
      </c>
      <c r="L188" s="94">
        <f>IF(ISNUMBER(J188), $B199 * K188, "")</f>
        <v>-1224.4897959183675</v>
      </c>
      <c r="M188" s="92">
        <v>242</v>
      </c>
      <c r="N188" s="25">
        <f t="shared" si="101"/>
        <v>-1.2244897959183673E-2</v>
      </c>
      <c r="O188" s="94">
        <f>IF(ISNUMBER(M188), $B199 * N188, "")</f>
        <v>-1836.7346938775509</v>
      </c>
      <c r="Q188" s="170"/>
      <c r="R188" s="171"/>
      <c r="S188" s="172"/>
    </row>
    <row r="189" spans="1:19">
      <c r="A189" s="107" t="s">
        <v>181</v>
      </c>
      <c r="B189" s="108">
        <v>4.8</v>
      </c>
      <c r="C189" s="69">
        <v>-2.8340081E-2</v>
      </c>
      <c r="D189" s="13">
        <v>4.7300000000000004</v>
      </c>
      <c r="E189" s="14">
        <f>IF(ISNUMBER(D189), (D189 - $B189) / $B189, "")</f>
        <v>-1.4583333333333209E-2</v>
      </c>
      <c r="F189" s="16">
        <f>IF(ISNUMBER(D189), $B199 * E189, "")</f>
        <v>-2187.4999999999814</v>
      </c>
      <c r="G189" s="29">
        <v>4.78</v>
      </c>
      <c r="H189" s="14">
        <f>IF(ISNUMBER(G189), (G189 - $B189) / $B189, "")</f>
        <v>-4.1666666666665781E-3</v>
      </c>
      <c r="I189" s="90">
        <f>IF(ISNUMBER(G189), $B199 * H189, "")</f>
        <v>-624.9999999999867</v>
      </c>
      <c r="J189" s="13">
        <v>4.78</v>
      </c>
      <c r="K189" s="14">
        <f>IF(ISNUMBER(J189), (J189 - $B189) / $B189, "")</f>
        <v>-4.1666666666665781E-3</v>
      </c>
      <c r="L189" s="16">
        <f>IF(ISNUMBER(J189), $B199 * K189, "")</f>
        <v>-624.9999999999867</v>
      </c>
      <c r="M189" s="29">
        <v>4.78</v>
      </c>
      <c r="N189" s="14">
        <f>IF(ISNUMBER(M189), (M189 - $B189) / $B189, "")</f>
        <v>-4.1666666666665781E-3</v>
      </c>
      <c r="O189" s="16">
        <f>IF(ISNUMBER(M189), $B199 * N189, "")</f>
        <v>-624.9999999999867</v>
      </c>
      <c r="Q189" s="173"/>
      <c r="R189" s="174"/>
      <c r="S189" s="175"/>
    </row>
    <row r="190" spans="1:19" ht="17.25" thickBot="1">
      <c r="A190" s="109" t="s">
        <v>346</v>
      </c>
      <c r="B190" s="110">
        <v>520</v>
      </c>
      <c r="C190" s="70">
        <v>-3.1657355700000001E-2</v>
      </c>
      <c r="D190" s="15">
        <v>518</v>
      </c>
      <c r="E190" s="32">
        <f t="shared" ref="E190:E193" si="102">IF(ISNUMBER(D190), (D190 - $B190) / $B190, "")</f>
        <v>-3.8461538461538464E-3</v>
      </c>
      <c r="F190" s="18">
        <f>IF(ISNUMBER(D190), $B199 * E190, "")</f>
        <v>-576.92307692307691</v>
      </c>
      <c r="G190" s="31">
        <v>519</v>
      </c>
      <c r="H190" s="32">
        <f t="shared" ref="H190:H193" si="103">IF(ISNUMBER(G190), (G190 - $B190) / $B190, "")</f>
        <v>-1.9230769230769232E-3</v>
      </c>
      <c r="I190" s="91">
        <f>IF(ISNUMBER(G190), $B199 * H190, "")</f>
        <v>-288.46153846153845</v>
      </c>
      <c r="J190" s="15">
        <v>519</v>
      </c>
      <c r="K190" s="32">
        <f t="shared" ref="K190:K193" si="104">IF(ISNUMBER(J190), (J190 - $B190) / $B190, "")</f>
        <v>-1.9230769230769232E-3</v>
      </c>
      <c r="L190" s="18">
        <f>IF(ISNUMBER(J190), $B199 * K190, "")</f>
        <v>-288.46153846153845</v>
      </c>
      <c r="M190" s="31">
        <v>518</v>
      </c>
      <c r="N190" s="32">
        <f t="shared" ref="N190:N193" si="105">IF(ISNUMBER(M190), (M190 - $B190) / $B190, "")</f>
        <v>-3.8461538461538464E-3</v>
      </c>
      <c r="O190" s="18">
        <f>IF(ISNUMBER(M190), $B199 * N190, "")</f>
        <v>-576.92307692307691</v>
      </c>
      <c r="Q190" s="176"/>
      <c r="R190" s="177"/>
      <c r="S190" s="178"/>
    </row>
    <row r="191" spans="1:19" ht="17.25" thickBot="1">
      <c r="A191" s="109" t="s">
        <v>62</v>
      </c>
      <c r="B191" s="110">
        <v>10140</v>
      </c>
      <c r="C191" s="70">
        <v>-3.2442748100000002E-2</v>
      </c>
      <c r="D191" s="15">
        <v>10830</v>
      </c>
      <c r="E191" s="32">
        <f t="shared" si="102"/>
        <v>6.8047337278106509E-2</v>
      </c>
      <c r="F191" s="18">
        <f>IF(ISNUMBER(D191), $B199 * E191, "")</f>
        <v>10207.100591715976</v>
      </c>
      <c r="G191" s="31">
        <v>10460</v>
      </c>
      <c r="H191" s="32">
        <f t="shared" si="103"/>
        <v>3.1558185404339252E-2</v>
      </c>
      <c r="I191" s="91">
        <f>IF(ISNUMBER(G191), $B199 * H191, "")</f>
        <v>4733.7278106508875</v>
      </c>
      <c r="J191" s="15">
        <v>10460</v>
      </c>
      <c r="K191" s="32">
        <f t="shared" si="104"/>
        <v>3.1558185404339252E-2</v>
      </c>
      <c r="L191" s="18">
        <f>IF(ISNUMBER(J191), $B199 * K191, "")</f>
        <v>4733.7278106508875</v>
      </c>
      <c r="M191" s="31">
        <v>10390</v>
      </c>
      <c r="N191" s="32">
        <f t="shared" si="105"/>
        <v>2.465483234714004E-2</v>
      </c>
      <c r="O191" s="18">
        <f>IF(ISNUMBER(M191), $B199 * N191, "")</f>
        <v>3698.2248520710059</v>
      </c>
      <c r="Q191" s="161"/>
      <c r="R191" s="161"/>
      <c r="S191" s="161"/>
    </row>
    <row r="192" spans="1:19" ht="17.25" thickBot="1">
      <c r="A192" s="109" t="s">
        <v>87</v>
      </c>
      <c r="B192" s="110">
        <v>61690</v>
      </c>
      <c r="C192" s="70">
        <v>-3.4283030700000001E-2</v>
      </c>
      <c r="D192" s="15">
        <v>60090</v>
      </c>
      <c r="E192" s="32">
        <f t="shared" si="102"/>
        <v>-2.59361322742746E-2</v>
      </c>
      <c r="F192" s="18">
        <f>IF(ISNUMBER(D192), $B199 * E192, "")</f>
        <v>-3890.4198411411899</v>
      </c>
      <c r="G192" s="31">
        <v>60580</v>
      </c>
      <c r="H192" s="32">
        <f t="shared" si="103"/>
        <v>-1.7993191765278003E-2</v>
      </c>
      <c r="I192" s="91">
        <f>IF(ISNUMBER(G192), $B199 * H192, "")</f>
        <v>-2698.9787647917005</v>
      </c>
      <c r="J192" s="15">
        <v>60580</v>
      </c>
      <c r="K192" s="32">
        <f t="shared" si="104"/>
        <v>-1.7993191765278003E-2</v>
      </c>
      <c r="L192" s="18">
        <f>IF(ISNUMBER(J192), $B199 * K192, "")</f>
        <v>-2698.9787647917005</v>
      </c>
      <c r="M192" s="31">
        <v>59890</v>
      </c>
      <c r="N192" s="32">
        <f t="shared" si="105"/>
        <v>-2.9178148808558922E-2</v>
      </c>
      <c r="O192" s="18">
        <f>IF(ISNUMBER(M192), $B199 * N192, "")</f>
        <v>-4376.722321283838</v>
      </c>
      <c r="Q192" s="156"/>
      <c r="R192" s="156"/>
      <c r="S192" s="156"/>
    </row>
    <row r="193" spans="1:19" ht="17.25" thickBot="1">
      <c r="A193" s="111" t="s">
        <v>326</v>
      </c>
      <c r="B193" s="112">
        <v>24.2</v>
      </c>
      <c r="C193" s="71">
        <v>-3.5856573699999998E-2</v>
      </c>
      <c r="D193" s="20">
        <v>23.9</v>
      </c>
      <c r="E193" s="21">
        <f t="shared" si="102"/>
        <v>-1.2396694214876063E-2</v>
      </c>
      <c r="F193" s="22">
        <f>IF(ISNUMBER(D193), $B199 * E193, "")</f>
        <v>-1859.5041322314094</v>
      </c>
      <c r="G193" s="30">
        <v>24.1</v>
      </c>
      <c r="H193" s="21">
        <f t="shared" si="103"/>
        <v>-4.1322314049585893E-3</v>
      </c>
      <c r="I193" s="95">
        <f>IF(ISNUMBER(G193), $B199 * H193, "")</f>
        <v>-619.83471074378838</v>
      </c>
      <c r="J193" s="20">
        <v>24.1</v>
      </c>
      <c r="K193" s="21">
        <f t="shared" si="104"/>
        <v>-4.1322314049585893E-3</v>
      </c>
      <c r="L193" s="22">
        <f>IF(ISNUMBER(J193), $B199 * K193, "")</f>
        <v>-619.83471074378838</v>
      </c>
      <c r="M193" s="30">
        <v>24.1</v>
      </c>
      <c r="N193" s="21">
        <f t="shared" si="105"/>
        <v>-4.1322314049585893E-3</v>
      </c>
      <c r="O193" s="22">
        <f>IF(ISNUMBER(M193), $B199 * N193, "")</f>
        <v>-619.83471074378838</v>
      </c>
      <c r="Q193" s="156"/>
      <c r="R193" s="156"/>
      <c r="S193" s="156"/>
    </row>
    <row r="194" spans="1:19" ht="17.25" thickBot="1">
      <c r="A194" s="109" t="s">
        <v>113</v>
      </c>
      <c r="B194" s="113">
        <v>1400</v>
      </c>
      <c r="C194" s="73">
        <v>-3.7800687299999997E-2</v>
      </c>
      <c r="D194" s="96">
        <v>1395</v>
      </c>
      <c r="E194" s="97">
        <f>IF(ISNUMBER(D194), (D194 - $B194) / $B194, "")</f>
        <v>-3.5714285714285713E-3</v>
      </c>
      <c r="F194" s="98">
        <f>IF(ISNUMBER(D194), $B199 * E194, "")</f>
        <v>-535.71428571428567</v>
      </c>
      <c r="G194" s="99">
        <v>1405</v>
      </c>
      <c r="H194" s="97">
        <f>IF(ISNUMBER(G194), (G194 - $B194) / $B194, "")</f>
        <v>3.5714285714285713E-3</v>
      </c>
      <c r="I194" s="100">
        <f>IF(ISNUMBER(G194), $B199 * H194, "")</f>
        <v>535.71428571428567</v>
      </c>
      <c r="J194" s="96">
        <v>1405</v>
      </c>
      <c r="K194" s="97">
        <f>IF(ISNUMBER(J194), (J194 - $B194) / $B194, "")</f>
        <v>3.5714285714285713E-3</v>
      </c>
      <c r="L194" s="98">
        <f>IF(ISNUMBER(J194), $B199 * K194, "")</f>
        <v>535.71428571428567</v>
      </c>
      <c r="M194" s="99">
        <v>1410</v>
      </c>
      <c r="N194" s="97">
        <f>IF(ISNUMBER(M194), (M194 - $B194) / $B194, "")</f>
        <v>7.1428571428571426E-3</v>
      </c>
      <c r="O194" s="98">
        <f>IF(ISNUMBER(M194), $B199 * N194, "")</f>
        <v>1071.4285714285713</v>
      </c>
      <c r="Q194" s="161"/>
      <c r="R194" s="161"/>
      <c r="S194" s="161"/>
    </row>
    <row r="195" spans="1:19" ht="17.25" thickBot="1">
      <c r="A195" s="109" t="s">
        <v>161</v>
      </c>
      <c r="B195" s="110">
        <v>389</v>
      </c>
      <c r="C195" s="70">
        <v>-4.1871921200000002E-2</v>
      </c>
      <c r="D195" s="15">
        <v>376</v>
      </c>
      <c r="E195" s="32">
        <f t="shared" ref="E195:E198" si="106">IF(ISNUMBER(D195), (D195 - $B195) / $B195, "")</f>
        <v>-3.3419023136246784E-2</v>
      </c>
      <c r="F195" s="18">
        <f>IF(ISNUMBER(D195), $B199 * E195, "")</f>
        <v>-5012.8534704370177</v>
      </c>
      <c r="G195" s="31">
        <v>373</v>
      </c>
      <c r="H195" s="32">
        <f t="shared" ref="H195:H198" si="107">IF(ISNUMBER(G195), (G195 - $B195) / $B195, "")</f>
        <v>-4.1131105398457581E-2</v>
      </c>
      <c r="I195" s="91">
        <f>IF(ISNUMBER(G195), $B199 * H195, "")</f>
        <v>-6169.6658097686368</v>
      </c>
      <c r="J195" s="15">
        <v>373</v>
      </c>
      <c r="K195" s="32">
        <f t="shared" ref="K195:K198" si="108">IF(ISNUMBER(J195), (J195 - $B195) / $B195, "")</f>
        <v>-4.1131105398457581E-2</v>
      </c>
      <c r="L195" s="18">
        <f>IF(ISNUMBER(J195), $B199 * K195, "")</f>
        <v>-6169.6658097686368</v>
      </c>
      <c r="M195" s="31">
        <v>369</v>
      </c>
      <c r="N195" s="32">
        <f t="shared" ref="N195:N198" si="109">IF(ISNUMBER(M195), (M195 - $B195) / $B195, "")</f>
        <v>-5.1413881748071981E-2</v>
      </c>
      <c r="O195" s="18">
        <f>IF(ISNUMBER(M195), $B199 * N195, "")</f>
        <v>-7712.0822622107971</v>
      </c>
      <c r="Q195" s="161"/>
      <c r="R195" s="161"/>
      <c r="S195" s="161"/>
    </row>
    <row r="196" spans="1:19" ht="17.25" thickBot="1">
      <c r="A196" s="109" t="s">
        <v>204</v>
      </c>
      <c r="B196" s="110">
        <v>277</v>
      </c>
      <c r="C196" s="70">
        <v>-4.8109965599999999E-2</v>
      </c>
      <c r="D196" s="15">
        <v>273</v>
      </c>
      <c r="E196" s="32">
        <f t="shared" si="106"/>
        <v>-1.444043321299639E-2</v>
      </c>
      <c r="F196" s="18">
        <f>IF(ISNUMBER(D196), $B199 * E196, "")</f>
        <v>-2166.0649819494583</v>
      </c>
      <c r="G196" s="31">
        <v>272</v>
      </c>
      <c r="H196" s="32">
        <f t="shared" si="107"/>
        <v>-1.8050541516245487E-2</v>
      </c>
      <c r="I196" s="91">
        <f>IF(ISNUMBER(G196), $B199 * H196, "")</f>
        <v>-2707.5812274368232</v>
      </c>
      <c r="J196" s="15">
        <v>272</v>
      </c>
      <c r="K196" s="32">
        <f t="shared" si="108"/>
        <v>-1.8050541516245487E-2</v>
      </c>
      <c r="L196" s="18">
        <f>IF(ISNUMBER(J196), $B199 * K196, "")</f>
        <v>-2707.5812274368232</v>
      </c>
      <c r="M196" s="31">
        <v>272</v>
      </c>
      <c r="N196" s="32">
        <f t="shared" si="109"/>
        <v>-1.8050541516245487E-2</v>
      </c>
      <c r="O196" s="18">
        <f>IF(ISNUMBER(M196), $B199 * N196, "")</f>
        <v>-2707.5812274368232</v>
      </c>
      <c r="Q196" s="161"/>
      <c r="R196" s="161"/>
      <c r="S196" s="161"/>
    </row>
    <row r="197" spans="1:19">
      <c r="A197" s="109" t="s">
        <v>151</v>
      </c>
      <c r="B197" s="110">
        <v>2285</v>
      </c>
      <c r="C197" s="70">
        <v>-6.3524590199999995E-2</v>
      </c>
      <c r="D197" s="15">
        <v>2385</v>
      </c>
      <c r="E197" s="32">
        <f t="shared" si="106"/>
        <v>4.3763676148796497E-2</v>
      </c>
      <c r="F197" s="18">
        <f>IF(ISNUMBER(D197), $B199 * E197, "")</f>
        <v>6564.551422319475</v>
      </c>
      <c r="G197" s="31">
        <v>2430</v>
      </c>
      <c r="H197" s="32">
        <f t="shared" si="107"/>
        <v>6.3457330415754923E-2</v>
      </c>
      <c r="I197" s="91">
        <f>IF(ISNUMBER(G197), $B199 * H197, "")</f>
        <v>9518.5995623632389</v>
      </c>
      <c r="J197" s="15">
        <v>2430</v>
      </c>
      <c r="K197" s="32">
        <f t="shared" si="108"/>
        <v>6.3457330415754923E-2</v>
      </c>
      <c r="L197" s="18">
        <f>IF(ISNUMBER(J197), $B199 * K197, "")</f>
        <v>9518.5995623632389</v>
      </c>
      <c r="M197" s="31">
        <v>2420</v>
      </c>
      <c r="N197" s="32">
        <f t="shared" si="109"/>
        <v>5.9080962800875277E-2</v>
      </c>
      <c r="O197" s="18">
        <f>IF(ISNUMBER(M197), $B199 * N197, "")</f>
        <v>8862.1444201312916</v>
      </c>
      <c r="Q197" s="183"/>
      <c r="R197" s="184"/>
      <c r="S197" s="185"/>
    </row>
    <row r="198" spans="1:19" ht="17.25" thickBot="1">
      <c r="A198" s="114" t="s">
        <v>234</v>
      </c>
      <c r="B198" s="115">
        <v>412</v>
      </c>
      <c r="C198" s="72">
        <v>-7.2072072099999995E-2</v>
      </c>
      <c r="D198" s="24">
        <v>416</v>
      </c>
      <c r="E198" s="25">
        <f t="shared" si="106"/>
        <v>9.7087378640776691E-3</v>
      </c>
      <c r="F198" s="94">
        <f>IF(ISNUMBER(D198), $B199 * E198, "")</f>
        <v>1456.3106796116504</v>
      </c>
      <c r="G198" s="92">
        <v>410</v>
      </c>
      <c r="H198" s="25">
        <f t="shared" si="107"/>
        <v>-4.8543689320388345E-3</v>
      </c>
      <c r="I198" s="93">
        <f>IF(ISNUMBER(G198), $B199 * H198, "")</f>
        <v>-728.15533980582518</v>
      </c>
      <c r="J198" s="24">
        <v>410</v>
      </c>
      <c r="K198" s="25">
        <f t="shared" si="108"/>
        <v>-4.8543689320388345E-3</v>
      </c>
      <c r="L198" s="94">
        <f>IF(ISNUMBER(J198), $B199 * K198, "")</f>
        <v>-728.15533980582518</v>
      </c>
      <c r="M198" s="92">
        <v>412</v>
      </c>
      <c r="N198" s="25">
        <f t="shared" si="109"/>
        <v>0</v>
      </c>
      <c r="O198" s="94">
        <f>IF(ISNUMBER(M198), $B199 * N198, "")</f>
        <v>0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-1.9574164949760684E-3</v>
      </c>
      <c r="F199" s="28">
        <f>SUM(F179:F198)</f>
        <v>-5872.2494849282011</v>
      </c>
      <c r="G199" s="26" t="s">
        <v>261</v>
      </c>
      <c r="H199" s="27">
        <f>IF(COUNT(H179:H198), SUM(H179:H198) / COUNT(H179:H198), 0)</f>
        <v>4.3466047524217912E-4</v>
      </c>
      <c r="I199" s="28">
        <f>SUM(I179:I198)</f>
        <v>1303.9814257265396</v>
      </c>
      <c r="J199" s="26" t="s">
        <v>261</v>
      </c>
      <c r="K199" s="27">
        <f>IF(COUNT(K179:K198), SUM(K179:K198) / COUNT(K179:K198), 0)</f>
        <v>4.3466047524217912E-4</v>
      </c>
      <c r="L199" s="28">
        <f>SUM(L179:L198)</f>
        <v>1303.9814257265396</v>
      </c>
      <c r="M199" s="26" t="s">
        <v>261</v>
      </c>
      <c r="N199" s="27">
        <f>IF(COUNT(N179:N198), SUM(N179:N198) / COUNT(N179:N198), 0)</f>
        <v>5.3876373912364916E-4</v>
      </c>
      <c r="O199" s="28">
        <f>SUM(O179:O198)</f>
        <v>1616.2912173709483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04B5-72F1-4BBE-83AB-D7AFC2DB521C}">
  <sheetPr codeName="Sheet21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44910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-73,942 KRW (-2.46%)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-70,491 KRW (-2.35%)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-73,242 KRW (-2.44%)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-44,607 KRW (-1.49%)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2022-12-15(목) 오전 00:00</v>
      </c>
      <c r="C15" s="202"/>
      <c r="D15" s="158" t="str">
        <f>TEXT($G$1, "[$-ko-KR]yyyy-mm-dd(ddd) ") &amp; "오후 14:00"</f>
        <v>2022-12-15(목) 오후 14:00</v>
      </c>
      <c r="E15" s="159"/>
      <c r="F15" s="160"/>
      <c r="G15" s="158" t="str">
        <f>TEXT($G$1, "[$-ko-KR]yyyy-mm-dd(ddd) ") &amp; "오후 19:00"</f>
        <v>2022-12-15(목) 오후 19:00</v>
      </c>
      <c r="H15" s="159"/>
      <c r="I15" s="160"/>
      <c r="J15" s="158" t="str">
        <f>TEXT($G$1, "[$-ko-KR]yyyy-mm-dd(ddd) ") &amp; "오후 21:00"</f>
        <v>2022-12-15(목) 오후 21:00</v>
      </c>
      <c r="K15" s="159"/>
      <c r="L15" s="160"/>
      <c r="M15" s="158" t="str">
        <f>TEXT($G$1+1, "[$-ko-KR]yyyy-mm-dd(ddd) ") &amp; "오전 00:00"</f>
        <v>2022-12-16(금)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2022-12-15(목) 오전 00:00</v>
      </c>
      <c r="C42" s="199"/>
      <c r="D42" s="158" t="str">
        <f>TEXT($G$1, "[$-ko-KR]yyyy-mm-dd(ddd) ") &amp; "오후 14:00"</f>
        <v>2022-12-15(목) 오후 14:00</v>
      </c>
      <c r="E42" s="159"/>
      <c r="F42" s="160"/>
      <c r="G42" s="158" t="str">
        <f>TEXT($G$1, "[$-ko-KR]yyyy-mm-dd(ddd) ") &amp; "오후 19:00"</f>
        <v>2022-12-15(목) 오후 19:00</v>
      </c>
      <c r="H42" s="159"/>
      <c r="I42" s="160"/>
      <c r="J42" s="158" t="str">
        <f>TEXT($G$1, "[$-ko-KR]yyyy-mm-dd(ddd) ") &amp; "오후 21:00"</f>
        <v>2022-12-15(목) 오후 21:00</v>
      </c>
      <c r="K42" s="159"/>
      <c r="L42" s="160"/>
      <c r="M42" s="158" t="str">
        <f>TEXT($G$1+1, "[$-ko-KR]yyyy-mm-dd(ddd) ") &amp; "오전 00:00"</f>
        <v>2022-12-16(금)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145</v>
      </c>
      <c r="B44" s="108">
        <v>74.400000000000006</v>
      </c>
      <c r="C44" s="69">
        <v>4.6413502099999997E-2</v>
      </c>
      <c r="D44" s="13">
        <v>73.8</v>
      </c>
      <c r="E44" s="14">
        <f>IF(ISNUMBER(D44), (D44 - $B44) / $B44, "")</f>
        <v>-8.0645161290323723E-3</v>
      </c>
      <c r="F44" s="16">
        <f>IF(ISNUMBER(D44), $B64 * E44, "")</f>
        <v>-1209.6774193548558</v>
      </c>
      <c r="G44" s="29">
        <v>73.8</v>
      </c>
      <c r="H44" s="14">
        <f>IF(ISNUMBER(G44), (G44 - $B44) / $B44, "")</f>
        <v>-8.0645161290323723E-3</v>
      </c>
      <c r="I44" s="90">
        <f>IF(ISNUMBER(G44), $B64 * H44, "")</f>
        <v>-1209.6774193548558</v>
      </c>
      <c r="J44" s="13">
        <v>73.8</v>
      </c>
      <c r="K44" s="14">
        <f>IF(ISNUMBER(J44), (J44 - $B44) / $B44, "")</f>
        <v>-8.0645161290323723E-3</v>
      </c>
      <c r="L44" s="16">
        <f>IF(ISNUMBER(J44), $B64 * K44, "")</f>
        <v>-1209.6774193548558</v>
      </c>
      <c r="M44" s="29">
        <v>73.8</v>
      </c>
      <c r="N44" s="14">
        <f>IF(ISNUMBER(M44), (M44 - $B44) / $B44, "")</f>
        <v>-8.0645161290323723E-3</v>
      </c>
      <c r="O44" s="16">
        <f>IF(ISNUMBER(M44), $B64 * N44, "")</f>
        <v>-1209.6774193548558</v>
      </c>
      <c r="Q44" s="156"/>
      <c r="R44" s="156"/>
      <c r="S44" s="156"/>
    </row>
    <row r="45" spans="1:19" ht="17.25" customHeight="1" thickBot="1">
      <c r="A45" s="109" t="s">
        <v>240</v>
      </c>
      <c r="B45" s="110">
        <v>29.9</v>
      </c>
      <c r="C45" s="70">
        <v>3.4602076099999997E-2</v>
      </c>
      <c r="D45" s="15">
        <v>28.9</v>
      </c>
      <c r="E45" s="32">
        <f t="shared" ref="E45:E48" si="14">IF(ISNUMBER(D45), (D45 - $B45) / $B45, "")</f>
        <v>-3.3444816053511704E-2</v>
      </c>
      <c r="F45" s="18">
        <f>IF(ISNUMBER(D45), $B64 * E45, "")</f>
        <v>-5016.7224080267561</v>
      </c>
      <c r="G45" s="31">
        <v>28.9</v>
      </c>
      <c r="H45" s="32">
        <f t="shared" ref="H45:H48" si="15">IF(ISNUMBER(G45), (G45 - $B45) / $B45, "")</f>
        <v>-3.3444816053511704E-2</v>
      </c>
      <c r="I45" s="91">
        <f>IF(ISNUMBER(G45), $B64 * H45, "")</f>
        <v>-5016.7224080267561</v>
      </c>
      <c r="J45" s="15">
        <v>28.9</v>
      </c>
      <c r="K45" s="32">
        <f t="shared" ref="K45:K48" si="16">IF(ISNUMBER(J45), (J45 - $B45) / $B45, "")</f>
        <v>-3.3444816053511704E-2</v>
      </c>
      <c r="L45" s="18">
        <f>IF(ISNUMBER(J45), $B64 * K45, "")</f>
        <v>-5016.7224080267561</v>
      </c>
      <c r="M45" s="31">
        <v>28.9</v>
      </c>
      <c r="N45" s="32">
        <f t="shared" ref="N45:N48" si="17">IF(ISNUMBER(M45), (M45 - $B45) / $B45, "")</f>
        <v>-3.3444816053511704E-2</v>
      </c>
      <c r="O45" s="18">
        <f>IF(ISNUMBER(M45), $B64 * N45, "")</f>
        <v>-5016.7224080267561</v>
      </c>
      <c r="Q45" s="156"/>
      <c r="R45" s="156"/>
      <c r="S45" s="156"/>
    </row>
    <row r="46" spans="1:19" ht="17.25" customHeight="1" thickBot="1">
      <c r="A46" s="109" t="s">
        <v>336</v>
      </c>
      <c r="B46" s="110">
        <v>82.3</v>
      </c>
      <c r="C46" s="70">
        <v>8.5784313999999993E-3</v>
      </c>
      <c r="D46" s="15">
        <v>80.8</v>
      </c>
      <c r="E46" s="32">
        <f t="shared" si="14"/>
        <v>-1.8226002430133659E-2</v>
      </c>
      <c r="F46" s="18">
        <f>IF(ISNUMBER(D46), $B64 * E46, "")</f>
        <v>-2733.9003645200487</v>
      </c>
      <c r="G46" s="31">
        <v>80.8</v>
      </c>
      <c r="H46" s="32">
        <f t="shared" si="15"/>
        <v>-1.8226002430133659E-2</v>
      </c>
      <c r="I46" s="91">
        <f>IF(ISNUMBER(G46), $B64 * H46, "")</f>
        <v>-2733.9003645200487</v>
      </c>
      <c r="J46" s="15">
        <v>80.8</v>
      </c>
      <c r="K46" s="32">
        <f t="shared" si="16"/>
        <v>-1.8226002430133659E-2</v>
      </c>
      <c r="L46" s="18">
        <f>IF(ISNUMBER(J46), $B64 * K46, "")</f>
        <v>-2733.9003645200487</v>
      </c>
      <c r="M46" s="31">
        <v>80.8</v>
      </c>
      <c r="N46" s="32">
        <f t="shared" si="17"/>
        <v>-1.8226002430133659E-2</v>
      </c>
      <c r="O46" s="18">
        <f>IF(ISNUMBER(M46), $B64 * N46, "")</f>
        <v>-2733.9003645200487</v>
      </c>
      <c r="Q46" s="161"/>
      <c r="R46" s="161"/>
      <c r="S46" s="161"/>
    </row>
    <row r="47" spans="1:19" ht="17.25" customHeight="1" thickBot="1">
      <c r="A47" s="109" t="s">
        <v>350</v>
      </c>
      <c r="B47" s="110">
        <v>7.39</v>
      </c>
      <c r="C47" s="70">
        <v>8.1855389000000008E-3</v>
      </c>
      <c r="D47" s="15">
        <v>7.3</v>
      </c>
      <c r="E47" s="32">
        <f t="shared" si="14"/>
        <v>-1.2178619756427585E-2</v>
      </c>
      <c r="F47" s="18">
        <f>IF(ISNUMBER(D47), $B64 * E47, "")</f>
        <v>-1826.7929634641378</v>
      </c>
      <c r="G47" s="31">
        <v>7.3</v>
      </c>
      <c r="H47" s="32">
        <f t="shared" si="15"/>
        <v>-1.2178619756427585E-2</v>
      </c>
      <c r="I47" s="91">
        <f>IF(ISNUMBER(G47), $B64 * H47, "")</f>
        <v>-1826.7929634641378</v>
      </c>
      <c r="J47" s="15">
        <v>7.3</v>
      </c>
      <c r="K47" s="32">
        <f t="shared" si="16"/>
        <v>-1.2178619756427585E-2</v>
      </c>
      <c r="L47" s="18">
        <f>IF(ISNUMBER(J47), $B64 * K47, "")</f>
        <v>-1826.7929634641378</v>
      </c>
      <c r="M47" s="31">
        <v>7.3</v>
      </c>
      <c r="N47" s="32">
        <f t="shared" si="17"/>
        <v>-1.2178619756427585E-2</v>
      </c>
      <c r="O47" s="18">
        <f>IF(ISNUMBER(M47), $B64 * N47, "")</f>
        <v>-1826.7929634641378</v>
      </c>
      <c r="Q47" s="161"/>
      <c r="R47" s="161"/>
      <c r="S47" s="161"/>
    </row>
    <row r="48" spans="1:19" ht="17.25" customHeight="1" thickBot="1">
      <c r="A48" s="111" t="s">
        <v>138</v>
      </c>
      <c r="B48" s="112">
        <v>27.8</v>
      </c>
      <c r="C48" s="71">
        <v>7.2463768E-3</v>
      </c>
      <c r="D48" s="20">
        <v>27</v>
      </c>
      <c r="E48" s="21">
        <f t="shared" si="14"/>
        <v>-2.8776978417266213E-2</v>
      </c>
      <c r="F48" s="22">
        <f>IF(ISNUMBER(D48), $B64 * E48, "")</f>
        <v>-4316.5467625899319</v>
      </c>
      <c r="G48" s="30">
        <v>27</v>
      </c>
      <c r="H48" s="21">
        <f t="shared" si="15"/>
        <v>-2.8776978417266213E-2</v>
      </c>
      <c r="I48" s="95">
        <f>IF(ISNUMBER(G48), $B64 * H48, "")</f>
        <v>-4316.5467625899319</v>
      </c>
      <c r="J48" s="20">
        <v>27</v>
      </c>
      <c r="K48" s="21">
        <f t="shared" si="16"/>
        <v>-2.8776978417266213E-2</v>
      </c>
      <c r="L48" s="22">
        <f>IF(ISNUMBER(J48), $B64 * K48, "")</f>
        <v>-4316.5467625899319</v>
      </c>
      <c r="M48" s="30">
        <v>27</v>
      </c>
      <c r="N48" s="21">
        <f t="shared" si="17"/>
        <v>-2.8776978417266213E-2</v>
      </c>
      <c r="O48" s="22">
        <f>IF(ISNUMBER(M48), $B64 * N48, "")</f>
        <v>-4316.5467625899319</v>
      </c>
      <c r="Q48" s="161"/>
      <c r="R48" s="161"/>
      <c r="S48" s="161"/>
    </row>
    <row r="49" spans="1:19" ht="17.25" customHeight="1" thickBot="1">
      <c r="A49" s="109" t="s">
        <v>200</v>
      </c>
      <c r="B49" s="113">
        <v>6.99</v>
      </c>
      <c r="C49" s="73">
        <v>5.7553956999999998E-3</v>
      </c>
      <c r="D49" s="96">
        <v>6.76</v>
      </c>
      <c r="E49" s="97">
        <f>IF(ISNUMBER(D49), (D49 - $B49) / $B49, "")</f>
        <v>-3.2904148783977169E-2</v>
      </c>
      <c r="F49" s="98">
        <f>IF(ISNUMBER(D49), $B64 * E49, "")</f>
        <v>-4935.6223175965752</v>
      </c>
      <c r="G49" s="99">
        <v>6.76</v>
      </c>
      <c r="H49" s="97">
        <f>IF(ISNUMBER(G49), (G49 - $B49) / $B49, "")</f>
        <v>-3.2904148783977169E-2</v>
      </c>
      <c r="I49" s="100">
        <f>IF(ISNUMBER(G49), $B64 * H49, "")</f>
        <v>-4935.6223175965752</v>
      </c>
      <c r="J49" s="96">
        <v>6.76</v>
      </c>
      <c r="K49" s="97">
        <f>IF(ISNUMBER(J49), (J49 - $B49) / $B49, "")</f>
        <v>-3.2904148783977169E-2</v>
      </c>
      <c r="L49" s="98">
        <f>IF(ISNUMBER(J49), $B64 * K49, "")</f>
        <v>-4935.6223175965752</v>
      </c>
      <c r="M49" s="99">
        <v>6.76</v>
      </c>
      <c r="N49" s="97">
        <f>IF(ISNUMBER(M49), (M49 - $B49) / $B49, "")</f>
        <v>-3.2904148783977169E-2</v>
      </c>
      <c r="O49" s="98">
        <f>IF(ISNUMBER(M49), $B64 * N49, "")</f>
        <v>-4935.6223175965752</v>
      </c>
      <c r="Q49" s="161"/>
      <c r="R49" s="161"/>
      <c r="S49" s="161"/>
    </row>
    <row r="50" spans="1:19" ht="17.25" customHeight="1" thickBot="1">
      <c r="A50" s="109" t="s">
        <v>210</v>
      </c>
      <c r="B50" s="110">
        <v>67.2</v>
      </c>
      <c r="C50" s="70">
        <v>4.4843048999999996E-3</v>
      </c>
      <c r="D50" s="15">
        <v>66.599999999999994</v>
      </c>
      <c r="E50" s="32">
        <f t="shared" ref="E50:E53" si="18">IF(ISNUMBER(D50), (D50 - $B50) / $B50, "")</f>
        <v>-8.9285714285715547E-3</v>
      </c>
      <c r="F50" s="18">
        <f>IF(ISNUMBER(D50), $B64 * E50, "")</f>
        <v>-1339.2857142857333</v>
      </c>
      <c r="G50" s="31">
        <v>66.599999999999994</v>
      </c>
      <c r="H50" s="32">
        <f t="shared" ref="H50:H53" si="19">IF(ISNUMBER(G50), (G50 - $B50) / $B50, "")</f>
        <v>-8.9285714285715547E-3</v>
      </c>
      <c r="I50" s="91">
        <f>IF(ISNUMBER(G50), $B64 * H50, "")</f>
        <v>-1339.2857142857333</v>
      </c>
      <c r="J50" s="15">
        <v>66.599999999999994</v>
      </c>
      <c r="K50" s="32">
        <f t="shared" ref="K50:K53" si="20">IF(ISNUMBER(J50), (J50 - $B50) / $B50, "")</f>
        <v>-8.9285714285715547E-3</v>
      </c>
      <c r="L50" s="18">
        <f>IF(ISNUMBER(J50), $B64 * K50, "")</f>
        <v>-1339.2857142857333</v>
      </c>
      <c r="M50" s="31">
        <v>66.599999999999994</v>
      </c>
      <c r="N50" s="32">
        <f t="shared" ref="N50:N53" si="21">IF(ISNUMBER(M50), (M50 - $B50) / $B50, "")</f>
        <v>-8.9285714285715547E-3</v>
      </c>
      <c r="O50" s="18">
        <f>IF(ISNUMBER(M50), $B64 * N50, "")</f>
        <v>-1339.2857142857333</v>
      </c>
      <c r="Q50" s="161"/>
      <c r="R50" s="161"/>
      <c r="S50" s="161"/>
    </row>
    <row r="51" spans="1:19" ht="17.25" customHeight="1" thickBot="1">
      <c r="A51" s="109" t="s">
        <v>191</v>
      </c>
      <c r="B51" s="110">
        <v>54.2</v>
      </c>
      <c r="C51" s="70">
        <v>3.7037036999999998E-3</v>
      </c>
      <c r="D51" s="15">
        <v>53.7</v>
      </c>
      <c r="E51" s="32">
        <f t="shared" si="18"/>
        <v>-9.2250922509225092E-3</v>
      </c>
      <c r="F51" s="18">
        <f>IF(ISNUMBER(D51), $B64 * E51, "")</f>
        <v>-1383.7638376383763</v>
      </c>
      <c r="G51" s="31">
        <v>53.7</v>
      </c>
      <c r="H51" s="32">
        <f t="shared" si="19"/>
        <v>-9.2250922509225092E-3</v>
      </c>
      <c r="I51" s="91">
        <f>IF(ISNUMBER(G51), $B64 * H51, "")</f>
        <v>-1383.7638376383763</v>
      </c>
      <c r="J51" s="15">
        <v>53.7</v>
      </c>
      <c r="K51" s="32">
        <f t="shared" si="20"/>
        <v>-9.2250922509225092E-3</v>
      </c>
      <c r="L51" s="18">
        <f>IF(ISNUMBER(J51), $B64 * K51, "")</f>
        <v>-1383.7638376383763</v>
      </c>
      <c r="M51" s="31">
        <v>53.7</v>
      </c>
      <c r="N51" s="32">
        <f t="shared" si="21"/>
        <v>-9.2250922509225092E-3</v>
      </c>
      <c r="O51" s="18">
        <f>IF(ISNUMBER(M51), $B64 * N51, "")</f>
        <v>-1383.7638376383763</v>
      </c>
      <c r="Q51" s="161"/>
      <c r="R51" s="161"/>
      <c r="S51" s="161"/>
    </row>
    <row r="52" spans="1:19" ht="17.25" customHeight="1" thickBot="1">
      <c r="A52" s="109" t="s">
        <v>244</v>
      </c>
      <c r="B52" s="110">
        <v>98.6</v>
      </c>
      <c r="C52" s="70">
        <v>0</v>
      </c>
      <c r="D52" s="15">
        <v>96.7</v>
      </c>
      <c r="E52" s="32">
        <f t="shared" si="18"/>
        <v>-1.9269776876267661E-2</v>
      </c>
      <c r="F52" s="18">
        <f>IF(ISNUMBER(D52), $B64 * E52, "")</f>
        <v>-2890.4665314401491</v>
      </c>
      <c r="G52" s="31">
        <v>96.7</v>
      </c>
      <c r="H52" s="32">
        <f t="shared" si="19"/>
        <v>-1.9269776876267661E-2</v>
      </c>
      <c r="I52" s="91">
        <f>IF(ISNUMBER(G52), $B64 * H52, "")</f>
        <v>-2890.4665314401491</v>
      </c>
      <c r="J52" s="15">
        <v>96.7</v>
      </c>
      <c r="K52" s="32">
        <f t="shared" si="20"/>
        <v>-1.9269776876267661E-2</v>
      </c>
      <c r="L52" s="18">
        <f>IF(ISNUMBER(J52), $B64 * K52, "")</f>
        <v>-2890.4665314401491</v>
      </c>
      <c r="M52" s="31">
        <v>96.7</v>
      </c>
      <c r="N52" s="32">
        <f t="shared" si="21"/>
        <v>-1.9269776876267661E-2</v>
      </c>
      <c r="O52" s="18">
        <f>IF(ISNUMBER(M52), $B64 * N52, "")</f>
        <v>-2890.4665314401491</v>
      </c>
      <c r="Q52" s="33"/>
      <c r="R52" s="33"/>
    </row>
    <row r="53" spans="1:19" ht="17.25" customHeight="1" thickBot="1">
      <c r="A53" s="114" t="s">
        <v>64</v>
      </c>
      <c r="B53" s="115">
        <v>11</v>
      </c>
      <c r="C53" s="72">
        <v>0</v>
      </c>
      <c r="D53" s="24">
        <v>10.9</v>
      </c>
      <c r="E53" s="25">
        <f t="shared" si="18"/>
        <v>-9.0909090909090592E-3</v>
      </c>
      <c r="F53" s="94">
        <f>IF(ISNUMBER(D53), $B64 * E53, "")</f>
        <v>-1363.636363636359</v>
      </c>
      <c r="G53" s="92">
        <v>10.9</v>
      </c>
      <c r="H53" s="25">
        <f t="shared" si="19"/>
        <v>-9.0909090909090592E-3</v>
      </c>
      <c r="I53" s="93">
        <f>IF(ISNUMBER(G53), $B64 * H53, "")</f>
        <v>-1363.636363636359</v>
      </c>
      <c r="J53" s="24">
        <v>10.9</v>
      </c>
      <c r="K53" s="25">
        <f t="shared" si="20"/>
        <v>-9.0909090909090592E-3</v>
      </c>
      <c r="L53" s="94">
        <f>IF(ISNUMBER(J53), $B64 * K53, "")</f>
        <v>-1363.636363636359</v>
      </c>
      <c r="M53" s="92">
        <v>10.9</v>
      </c>
      <c r="N53" s="25">
        <f t="shared" si="21"/>
        <v>-9.0909090909090592E-3</v>
      </c>
      <c r="O53" s="94">
        <f>IF(ISNUMBER(M53), $B64 * N53, "")</f>
        <v>-1363.636363636359</v>
      </c>
      <c r="Q53" s="170"/>
      <c r="R53" s="171"/>
      <c r="S53" s="172"/>
    </row>
    <row r="54" spans="1:19" ht="17.25" customHeight="1">
      <c r="A54" s="107" t="s">
        <v>195</v>
      </c>
      <c r="B54" s="108">
        <v>6.74</v>
      </c>
      <c r="C54" s="69">
        <v>0</v>
      </c>
      <c r="D54" s="13">
        <v>6.62</v>
      </c>
      <c r="E54" s="14">
        <f>IF(ISNUMBER(D54), (D54 - $B54) / $B54, "")</f>
        <v>-1.7804154302670638E-2</v>
      </c>
      <c r="F54" s="16">
        <f>IF(ISNUMBER(D54), $B64 * E54, "")</f>
        <v>-2670.6231454005956</v>
      </c>
      <c r="G54" s="29">
        <v>6.62</v>
      </c>
      <c r="H54" s="14">
        <f>IF(ISNUMBER(G54), (G54 - $B54) / $B54, "")</f>
        <v>-1.7804154302670638E-2</v>
      </c>
      <c r="I54" s="90">
        <f>IF(ISNUMBER(G54), $B64 * H54, "")</f>
        <v>-2670.6231454005956</v>
      </c>
      <c r="J54" s="13">
        <v>6.62</v>
      </c>
      <c r="K54" s="14">
        <f>IF(ISNUMBER(J54), (J54 - $B54) / $B54, "")</f>
        <v>-1.7804154302670638E-2</v>
      </c>
      <c r="L54" s="16">
        <f>IF(ISNUMBER(J54), $B64 * K54, "")</f>
        <v>-2670.6231454005956</v>
      </c>
      <c r="M54" s="29">
        <v>6.62</v>
      </c>
      <c r="N54" s="14">
        <f>IF(ISNUMBER(M54), (M54 - $B54) / $B54, "")</f>
        <v>-1.7804154302670638E-2</v>
      </c>
      <c r="O54" s="16">
        <f>IF(ISNUMBER(M54), $B64 * N54, "")</f>
        <v>-2670.6231454005956</v>
      </c>
      <c r="Q54" s="173"/>
      <c r="R54" s="174"/>
      <c r="S54" s="175"/>
    </row>
    <row r="55" spans="1:19" ht="17.25" customHeight="1" thickBot="1">
      <c r="A55" s="109" t="s">
        <v>97</v>
      </c>
      <c r="B55" s="110">
        <v>8.9999999999999998E-4</v>
      </c>
      <c r="C55" s="70">
        <v>0</v>
      </c>
      <c r="D55" s="15">
        <v>8.0000000000000004E-4</v>
      </c>
      <c r="E55" s="32">
        <f t="shared" ref="E55:E58" si="22">IF(ISNUMBER(D55), (D55 - $B55) / $B55, "")</f>
        <v>-0.11111111111111105</v>
      </c>
      <c r="F55" s="18">
        <f>IF(ISNUMBER(D55), $B64 * E55, "")</f>
        <v>-16666.666666666657</v>
      </c>
      <c r="G55" s="31">
        <v>8.0000000000000004E-4</v>
      </c>
      <c r="H55" s="32">
        <f t="shared" ref="H55:H58" si="23">IF(ISNUMBER(G55), (G55 - $B55) / $B55, "")</f>
        <v>-0.11111111111111105</v>
      </c>
      <c r="I55" s="91">
        <f>IF(ISNUMBER(G55), $B64 * H55, "")</f>
        <v>-16666.666666666657</v>
      </c>
      <c r="J55" s="15">
        <v>8.0000000000000004E-4</v>
      </c>
      <c r="K55" s="32">
        <f t="shared" ref="K55:K58" si="24">IF(ISNUMBER(J55), (J55 - $B55) / $B55, "")</f>
        <v>-0.11111111111111105</v>
      </c>
      <c r="L55" s="18">
        <f>IF(ISNUMBER(J55), $B64 * K55, "")</f>
        <v>-16666.666666666657</v>
      </c>
      <c r="M55" s="31">
        <v>8.0000000000000004E-4</v>
      </c>
      <c r="N55" s="32">
        <f t="shared" ref="N55:N58" si="25">IF(ISNUMBER(M55), (M55 - $B55) / $B55, "")</f>
        <v>-0.11111111111111105</v>
      </c>
      <c r="O55" s="18">
        <f>IF(ISNUMBER(M55), $B64 * N55, "")</f>
        <v>-16666.666666666657</v>
      </c>
      <c r="Q55" s="176"/>
      <c r="R55" s="177"/>
      <c r="S55" s="178"/>
    </row>
    <row r="56" spans="1:19" ht="17.25" customHeight="1" thickBot="1">
      <c r="A56" s="109" t="s">
        <v>220</v>
      </c>
      <c r="B56" s="110">
        <v>74.900000000000006</v>
      </c>
      <c r="C56" s="70">
        <v>-2.6631158E-3</v>
      </c>
      <c r="D56" s="15">
        <v>73.2</v>
      </c>
      <c r="E56" s="32">
        <f t="shared" si="22"/>
        <v>-2.269692923898535E-2</v>
      </c>
      <c r="F56" s="18">
        <f>IF(ISNUMBER(D56), $B64 * E56, "")</f>
        <v>-3404.5393858478024</v>
      </c>
      <c r="G56" s="31">
        <v>73.2</v>
      </c>
      <c r="H56" s="32">
        <f t="shared" si="23"/>
        <v>-2.269692923898535E-2</v>
      </c>
      <c r="I56" s="91">
        <f>IF(ISNUMBER(G56), $B64 * H56, "")</f>
        <v>-3404.5393858478024</v>
      </c>
      <c r="J56" s="15">
        <v>73.2</v>
      </c>
      <c r="K56" s="32">
        <f t="shared" si="24"/>
        <v>-2.269692923898535E-2</v>
      </c>
      <c r="L56" s="18">
        <f>IF(ISNUMBER(J56), $B64 * K56, "")</f>
        <v>-3404.5393858478024</v>
      </c>
      <c r="M56" s="31">
        <v>73.2</v>
      </c>
      <c r="N56" s="32">
        <f t="shared" si="25"/>
        <v>-2.269692923898535E-2</v>
      </c>
      <c r="O56" s="18">
        <f>IF(ISNUMBER(M56), $B64 * N56, "")</f>
        <v>-3404.5393858478024</v>
      </c>
      <c r="Q56" s="161"/>
      <c r="R56" s="161"/>
      <c r="S56" s="161"/>
    </row>
    <row r="57" spans="1:19" ht="17.25" customHeight="1" thickBot="1">
      <c r="A57" s="109" t="s">
        <v>185</v>
      </c>
      <c r="B57" s="110">
        <v>31.4</v>
      </c>
      <c r="C57" s="70">
        <v>-3.1746031999999999E-3</v>
      </c>
      <c r="D57" s="15">
        <v>30.9</v>
      </c>
      <c r="E57" s="32">
        <f t="shared" si="22"/>
        <v>-1.5923566878980892E-2</v>
      </c>
      <c r="F57" s="18">
        <f>IF(ISNUMBER(D57), $B64 * E57, "")</f>
        <v>-2388.5350318471337</v>
      </c>
      <c r="G57" s="31">
        <v>30.9</v>
      </c>
      <c r="H57" s="32">
        <f t="shared" si="23"/>
        <v>-1.5923566878980892E-2</v>
      </c>
      <c r="I57" s="91">
        <f>IF(ISNUMBER(G57), $B64 * H57, "")</f>
        <v>-2388.5350318471337</v>
      </c>
      <c r="J57" s="15">
        <v>30.9</v>
      </c>
      <c r="K57" s="32">
        <f t="shared" si="24"/>
        <v>-1.5923566878980892E-2</v>
      </c>
      <c r="L57" s="18">
        <f>IF(ISNUMBER(J57), $B64 * K57, "")</f>
        <v>-2388.5350318471337</v>
      </c>
      <c r="M57" s="31">
        <v>30.9</v>
      </c>
      <c r="N57" s="32">
        <f t="shared" si="25"/>
        <v>-1.5923566878980892E-2</v>
      </c>
      <c r="O57" s="18">
        <f>IF(ISNUMBER(M57), $B64 * N57, "")</f>
        <v>-2388.5350318471337</v>
      </c>
      <c r="Q57" s="156"/>
      <c r="R57" s="156"/>
      <c r="S57" s="156"/>
    </row>
    <row r="58" spans="1:19" ht="17.25" customHeight="1" thickBot="1">
      <c r="A58" s="111" t="s">
        <v>333</v>
      </c>
      <c r="B58" s="112">
        <v>62.3</v>
      </c>
      <c r="C58" s="71">
        <v>-3.2000000000000002E-3</v>
      </c>
      <c r="D58" s="20">
        <v>60.5</v>
      </c>
      <c r="E58" s="21">
        <f t="shared" si="22"/>
        <v>-2.8892455858747949E-2</v>
      </c>
      <c r="F58" s="22">
        <f>IF(ISNUMBER(D58), $B64 * E58, "")</f>
        <v>-4333.8683788121925</v>
      </c>
      <c r="G58" s="30">
        <v>60.5</v>
      </c>
      <c r="H58" s="21">
        <f t="shared" si="23"/>
        <v>-2.8892455858747949E-2</v>
      </c>
      <c r="I58" s="95">
        <f>IF(ISNUMBER(G58), $B64 * H58, "")</f>
        <v>-4333.8683788121925</v>
      </c>
      <c r="J58" s="20">
        <v>60.5</v>
      </c>
      <c r="K58" s="21">
        <f t="shared" si="24"/>
        <v>-2.8892455858747949E-2</v>
      </c>
      <c r="L58" s="22">
        <f>IF(ISNUMBER(J58), $B64 * K58, "")</f>
        <v>-4333.8683788121925</v>
      </c>
      <c r="M58" s="30">
        <v>60.5</v>
      </c>
      <c r="N58" s="21">
        <f t="shared" si="25"/>
        <v>-2.8892455858747949E-2</v>
      </c>
      <c r="O58" s="22">
        <f>IF(ISNUMBER(M58), $B64 * N58, "")</f>
        <v>-4333.8683788121925</v>
      </c>
      <c r="Q58" s="156"/>
      <c r="R58" s="156"/>
      <c r="S58" s="156"/>
    </row>
    <row r="59" spans="1:19" ht="17.25" customHeight="1" thickBot="1">
      <c r="A59" s="109" t="s">
        <v>126</v>
      </c>
      <c r="B59" s="113">
        <v>28.9</v>
      </c>
      <c r="C59" s="73">
        <v>-3.4482759000000001E-3</v>
      </c>
      <c r="D59" s="96">
        <v>28.2</v>
      </c>
      <c r="E59" s="97">
        <f>IF(ISNUMBER(D59), (D59 - $B59) / $B59, "")</f>
        <v>-2.4221453287197207E-2</v>
      </c>
      <c r="F59" s="98">
        <f>IF(ISNUMBER(D59), $B64 * E59, "")</f>
        <v>-3633.217993079581</v>
      </c>
      <c r="G59" s="99">
        <v>28.2</v>
      </c>
      <c r="H59" s="97">
        <f>IF(ISNUMBER(G59), (G59 - $B59) / $B59, "")</f>
        <v>-2.4221453287197207E-2</v>
      </c>
      <c r="I59" s="100">
        <f>IF(ISNUMBER(G59), $B64 * H59, "")</f>
        <v>-3633.217993079581</v>
      </c>
      <c r="J59" s="96">
        <v>28.2</v>
      </c>
      <c r="K59" s="97">
        <f>IF(ISNUMBER(J59), (J59 - $B59) / $B59, "")</f>
        <v>-2.4221453287197207E-2</v>
      </c>
      <c r="L59" s="98">
        <f>IF(ISNUMBER(J59), $B64 * K59, "")</f>
        <v>-3633.217993079581</v>
      </c>
      <c r="M59" s="99">
        <v>28.2</v>
      </c>
      <c r="N59" s="97">
        <f>IF(ISNUMBER(M59), (M59 - $B59) / $B59, "")</f>
        <v>-2.4221453287197207E-2</v>
      </c>
      <c r="O59" s="98">
        <f>IF(ISNUMBER(M59), $B64 * N59, "")</f>
        <v>-3633.217993079581</v>
      </c>
      <c r="Q59" s="161"/>
      <c r="R59" s="161"/>
      <c r="S59" s="161"/>
    </row>
    <row r="60" spans="1:19" ht="17.25" customHeight="1" thickBot="1">
      <c r="A60" s="109" t="s">
        <v>122</v>
      </c>
      <c r="B60" s="110">
        <v>24.8</v>
      </c>
      <c r="C60" s="70">
        <v>-4.0160643000000003E-3</v>
      </c>
      <c r="D60" s="15">
        <v>24.2</v>
      </c>
      <c r="E60" s="32">
        <f t="shared" ref="E60:E63" si="26">IF(ISNUMBER(D60), (D60 - $B60) / $B60, "")</f>
        <v>-2.4193548387096833E-2</v>
      </c>
      <c r="F60" s="18">
        <f>IF(ISNUMBER(D60), $B64 * E60, "")</f>
        <v>-3629.0322580645247</v>
      </c>
      <c r="G60" s="31">
        <v>24.2</v>
      </c>
      <c r="H60" s="32">
        <f t="shared" ref="H60:H63" si="27">IF(ISNUMBER(G60), (G60 - $B60) / $B60, "")</f>
        <v>-2.4193548387096833E-2</v>
      </c>
      <c r="I60" s="91">
        <f>IF(ISNUMBER(G60), $B64 * H60, "")</f>
        <v>-3629.0322580645247</v>
      </c>
      <c r="J60" s="15">
        <v>24.2</v>
      </c>
      <c r="K60" s="32">
        <f t="shared" ref="K60:K63" si="28">IF(ISNUMBER(J60), (J60 - $B60) / $B60, "")</f>
        <v>-2.4193548387096833E-2</v>
      </c>
      <c r="L60" s="18">
        <f>IF(ISNUMBER(J60), $B64 * K60, "")</f>
        <v>-3629.0322580645247</v>
      </c>
      <c r="M60" s="31">
        <v>24.2</v>
      </c>
      <c r="N60" s="32">
        <f t="shared" ref="N60:N63" si="29">IF(ISNUMBER(M60), (M60 - $B60) / $B60, "")</f>
        <v>-2.4193548387096833E-2</v>
      </c>
      <c r="O60" s="18">
        <f>IF(ISNUMBER(M60), $B64 * N60, "")</f>
        <v>-3629.0322580645247</v>
      </c>
      <c r="Q60" s="161"/>
      <c r="R60" s="161"/>
      <c r="S60" s="161"/>
    </row>
    <row r="61" spans="1:19" ht="17.25" customHeight="1" thickBot="1">
      <c r="A61" s="109" t="s">
        <v>228</v>
      </c>
      <c r="B61" s="110">
        <v>63.8</v>
      </c>
      <c r="C61" s="70">
        <v>-4.6801871999999998E-3</v>
      </c>
      <c r="D61" s="15">
        <v>64</v>
      </c>
      <c r="E61" s="32">
        <f t="shared" si="26"/>
        <v>3.1347962382445587E-3</v>
      </c>
      <c r="F61" s="18">
        <f>IF(ISNUMBER(D61), $B64 * E61, "")</f>
        <v>470.21943573668381</v>
      </c>
      <c r="G61" s="31">
        <v>64</v>
      </c>
      <c r="H61" s="32">
        <f t="shared" si="27"/>
        <v>3.1347962382445587E-3</v>
      </c>
      <c r="I61" s="91">
        <f>IF(ISNUMBER(G61), $B64 * H61, "")</f>
        <v>470.21943573668381</v>
      </c>
      <c r="J61" s="15">
        <v>64</v>
      </c>
      <c r="K61" s="32">
        <f t="shared" si="28"/>
        <v>3.1347962382445587E-3</v>
      </c>
      <c r="L61" s="18">
        <f>IF(ISNUMBER(J61), $B64 * K61, "")</f>
        <v>470.21943573668381</v>
      </c>
      <c r="M61" s="31">
        <v>64</v>
      </c>
      <c r="N61" s="32">
        <f t="shared" si="29"/>
        <v>3.1347962382445587E-3</v>
      </c>
      <c r="O61" s="18">
        <f>IF(ISNUMBER(M61), $B64 * N61, "")</f>
        <v>470.21943573668381</v>
      </c>
      <c r="Q61" s="161"/>
      <c r="R61" s="161"/>
      <c r="S61" s="161"/>
    </row>
    <row r="62" spans="1:19" ht="17.25" customHeight="1">
      <c r="A62" s="109" t="s">
        <v>224</v>
      </c>
      <c r="B62" s="110">
        <v>20.9</v>
      </c>
      <c r="C62" s="70">
        <v>-4.7619048000000002E-3</v>
      </c>
      <c r="D62" s="15">
        <v>20.5</v>
      </c>
      <c r="E62" s="32">
        <f t="shared" si="26"/>
        <v>-1.9138755980861177E-2</v>
      </c>
      <c r="F62" s="18">
        <f>IF(ISNUMBER(D62), $B64 * E62, "")</f>
        <v>-2870.8133971291768</v>
      </c>
      <c r="G62" s="31">
        <v>20.5</v>
      </c>
      <c r="H62" s="32">
        <f t="shared" si="27"/>
        <v>-1.9138755980861177E-2</v>
      </c>
      <c r="I62" s="91">
        <f>IF(ISNUMBER(G62), $B64 * H62, "")</f>
        <v>-2870.8133971291768</v>
      </c>
      <c r="J62" s="15">
        <v>20.5</v>
      </c>
      <c r="K62" s="32">
        <f t="shared" si="28"/>
        <v>-1.9138755980861177E-2</v>
      </c>
      <c r="L62" s="18">
        <f>IF(ISNUMBER(J62), $B64 * K62, "")</f>
        <v>-2870.8133971291768</v>
      </c>
      <c r="M62" s="31">
        <v>20.5</v>
      </c>
      <c r="N62" s="32">
        <f t="shared" si="29"/>
        <v>-1.9138755980861177E-2</v>
      </c>
      <c r="O62" s="18">
        <f>IF(ISNUMBER(M62), $B64 * N62, "")</f>
        <v>-2870.8133971291768</v>
      </c>
      <c r="Q62" s="183"/>
      <c r="R62" s="184"/>
      <c r="S62" s="185"/>
    </row>
    <row r="63" spans="1:19" ht="17.25" customHeight="1" thickBot="1">
      <c r="A63" s="114" t="s">
        <v>230</v>
      </c>
      <c r="B63" s="115">
        <v>41.4</v>
      </c>
      <c r="C63" s="72">
        <v>-4.8076923000000002E-3</v>
      </c>
      <c r="D63" s="24">
        <v>40.200000000000003</v>
      </c>
      <c r="E63" s="25">
        <f t="shared" si="26"/>
        <v>-2.8985507246376711E-2</v>
      </c>
      <c r="F63" s="94">
        <f>IF(ISNUMBER(D63), $B64 * E63, "")</f>
        <v>-4347.8260869565065</v>
      </c>
      <c r="G63" s="92">
        <v>40.200000000000003</v>
      </c>
      <c r="H63" s="25">
        <f t="shared" si="27"/>
        <v>-2.8985507246376711E-2</v>
      </c>
      <c r="I63" s="93">
        <f>IF(ISNUMBER(G63), $B64 * H63, "")</f>
        <v>-4347.8260869565065</v>
      </c>
      <c r="J63" s="24">
        <v>40.200000000000003</v>
      </c>
      <c r="K63" s="25">
        <f t="shared" si="28"/>
        <v>-2.8985507246376711E-2</v>
      </c>
      <c r="L63" s="94">
        <f>IF(ISNUMBER(J63), $B64 * K63, "")</f>
        <v>-4347.8260869565065</v>
      </c>
      <c r="M63" s="92">
        <v>40.200000000000003</v>
      </c>
      <c r="N63" s="25">
        <f t="shared" si="29"/>
        <v>-2.8985507246376711E-2</v>
      </c>
      <c r="O63" s="94">
        <f>IF(ISNUMBER(M63), $B64 * N63, "")</f>
        <v>-4347.8260869565065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-2.3497105863540136E-2</v>
      </c>
      <c r="F64" s="28">
        <f>SUM(F44:F63)</f>
        <v>-70491.317590620427</v>
      </c>
      <c r="G64" s="26" t="s">
        <v>261</v>
      </c>
      <c r="H64" s="27">
        <f>IF(COUNT(H44:H63), SUM(H44:H63) / COUNT(H44:H63), 0)</f>
        <v>-2.3497105863540136E-2</v>
      </c>
      <c r="I64" s="28">
        <f>SUM(I44:I63)</f>
        <v>-70491.317590620427</v>
      </c>
      <c r="J64" s="26" t="s">
        <v>261</v>
      </c>
      <c r="K64" s="27">
        <f>IF(COUNT(K44:K63), SUM(K44:K63) / COUNT(K44:K63), 0)</f>
        <v>-2.3497105863540136E-2</v>
      </c>
      <c r="L64" s="28">
        <f>SUM(L44:L63)</f>
        <v>-70491.317590620427</v>
      </c>
      <c r="M64" s="26" t="s">
        <v>261</v>
      </c>
      <c r="N64" s="27">
        <f>IF(COUNT(N44:N63), SUM(N44:N63) / COUNT(N44:N63), 0)</f>
        <v>-2.3497105863540136E-2</v>
      </c>
      <c r="O64" s="28">
        <f>SUM(O44:O63)</f>
        <v>-70491.317590620427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2022-12-15(목) 오전 00:00</v>
      </c>
      <c r="C69" s="199"/>
      <c r="D69" s="158" t="str">
        <f>TEXT($G$1, "[$-ko-KR]yyyy-mm-dd(ddd) ") &amp; "오후 14:00"</f>
        <v>2022-12-15(목) 오후 14:00</v>
      </c>
      <c r="E69" s="159"/>
      <c r="F69" s="160"/>
      <c r="G69" s="158" t="str">
        <f>TEXT($G$1, "[$-ko-KR]yyyy-mm-dd(ddd) ") &amp; "오후 19:00"</f>
        <v>2022-12-15(목) 오후 19:00</v>
      </c>
      <c r="H69" s="159"/>
      <c r="I69" s="160"/>
      <c r="J69" s="158" t="str">
        <f>TEXT($G$1, "[$-ko-KR]yyyy-mm-dd(ddd) ") &amp; "오후 21:00"</f>
        <v>2022-12-15(목) 오후 21:00</v>
      </c>
      <c r="K69" s="159"/>
      <c r="L69" s="160"/>
      <c r="M69" s="158" t="str">
        <f>TEXT($G$1+1, "[$-ko-KR]yyyy-mm-dd(ddd) ") &amp; "오전 00:00"</f>
        <v>2022-12-16(금)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153</v>
      </c>
      <c r="B71" s="108">
        <v>447</v>
      </c>
      <c r="C71" s="69">
        <v>5.9241706200000001E-2</v>
      </c>
      <c r="D71" s="13">
        <v>426</v>
      </c>
      <c r="E71" s="14">
        <f>IF(ISNUMBER(D71), (D71 - $B71) / $B71, "")</f>
        <v>-4.6979865771812082E-2</v>
      </c>
      <c r="F71" s="16">
        <f>IF(ISNUMBER(D71), $B91 * E71, "")</f>
        <v>-7046.979865771812</v>
      </c>
      <c r="G71" s="29">
        <v>426</v>
      </c>
      <c r="H71" s="14">
        <f>IF(ISNUMBER(G71), (G71 - $B71) / $B71, "")</f>
        <v>-4.6979865771812082E-2</v>
      </c>
      <c r="I71" s="90">
        <f>IF(ISNUMBER(G71), $B91 * H71, "")</f>
        <v>-7046.979865771812</v>
      </c>
      <c r="J71" s="13">
        <v>426</v>
      </c>
      <c r="K71" s="14">
        <f>IF(ISNUMBER(J71), (J71 - $B71) / $B71, "")</f>
        <v>-4.6979865771812082E-2</v>
      </c>
      <c r="L71" s="16">
        <f>IF(ISNUMBER(J71), $B91 * K71, "")</f>
        <v>-7046.979865771812</v>
      </c>
      <c r="M71" s="29">
        <v>426</v>
      </c>
      <c r="N71" s="14">
        <f>IF(ISNUMBER(M71), (M71 - $B71) / $B71, "")</f>
        <v>-4.6979865771812082E-2</v>
      </c>
      <c r="O71" s="16">
        <f>IF(ISNUMBER(M71), $B91 * N71, "")</f>
        <v>-7046.979865771812</v>
      </c>
      <c r="Q71" s="156"/>
      <c r="R71" s="156"/>
      <c r="S71" s="156"/>
    </row>
    <row r="72" spans="1:19" ht="17.25" thickBot="1">
      <c r="A72" s="109" t="s">
        <v>187</v>
      </c>
      <c r="B72" s="110">
        <v>849</v>
      </c>
      <c r="C72" s="70">
        <v>3.9167686700000003E-2</v>
      </c>
      <c r="D72" s="15">
        <v>826</v>
      </c>
      <c r="E72" s="32">
        <f t="shared" ref="E72:E75" si="30">IF(ISNUMBER(D72), (D72 - $B72) / $B72, "")</f>
        <v>-2.7090694935217905E-2</v>
      </c>
      <c r="F72" s="18">
        <f>IF(ISNUMBER(D72), $B91 * E72, "")</f>
        <v>-4063.6042402826856</v>
      </c>
      <c r="G72" s="31">
        <v>826</v>
      </c>
      <c r="H72" s="32">
        <f t="shared" ref="H72:H75" si="31">IF(ISNUMBER(G72), (G72 - $B72) / $B72, "")</f>
        <v>-2.7090694935217905E-2</v>
      </c>
      <c r="I72" s="91">
        <f>IF(ISNUMBER(G72), $B91 * H72, "")</f>
        <v>-4063.6042402826856</v>
      </c>
      <c r="J72" s="15">
        <v>826</v>
      </c>
      <c r="K72" s="32">
        <f t="shared" ref="K72:K75" si="32">IF(ISNUMBER(J72), (J72 - $B72) / $B72, "")</f>
        <v>-2.7090694935217905E-2</v>
      </c>
      <c r="L72" s="18">
        <f>IF(ISNUMBER(J72), $B91 * K72, "")</f>
        <v>-4063.6042402826856</v>
      </c>
      <c r="M72" s="31">
        <v>826</v>
      </c>
      <c r="N72" s="32">
        <f t="shared" ref="N72:N75" si="33">IF(ISNUMBER(M72), (M72 - $B72) / $B72, "")</f>
        <v>-2.7090694935217905E-2</v>
      </c>
      <c r="O72" s="18">
        <f>IF(ISNUMBER(M72), $B91 * N72, "")</f>
        <v>-4063.6042402826856</v>
      </c>
      <c r="Q72" s="156"/>
      <c r="R72" s="156"/>
      <c r="S72" s="156"/>
    </row>
    <row r="73" spans="1:19" ht="17.25" thickBot="1">
      <c r="A73" s="109" t="s">
        <v>216</v>
      </c>
      <c r="B73" s="110">
        <v>531</v>
      </c>
      <c r="C73" s="70">
        <v>1.7241379300000002E-2</v>
      </c>
      <c r="D73" s="15">
        <v>518</v>
      </c>
      <c r="E73" s="32">
        <f t="shared" si="30"/>
        <v>-2.4482109227871938E-2</v>
      </c>
      <c r="F73" s="18">
        <f>IF(ISNUMBER(D73), $B91 * E73, "")</f>
        <v>-3672.3163841807909</v>
      </c>
      <c r="G73" s="31">
        <v>518</v>
      </c>
      <c r="H73" s="32">
        <f t="shared" si="31"/>
        <v>-2.4482109227871938E-2</v>
      </c>
      <c r="I73" s="91">
        <f>IF(ISNUMBER(G73), $B91 * H73, "")</f>
        <v>-3672.3163841807909</v>
      </c>
      <c r="J73" s="15">
        <v>518</v>
      </c>
      <c r="K73" s="32">
        <f t="shared" si="32"/>
        <v>-2.4482109227871938E-2</v>
      </c>
      <c r="L73" s="18">
        <f>IF(ISNUMBER(J73), $B91 * K73, "")</f>
        <v>-3672.3163841807909</v>
      </c>
      <c r="M73" s="31">
        <v>518</v>
      </c>
      <c r="N73" s="32">
        <f t="shared" si="33"/>
        <v>-2.4482109227871938E-2</v>
      </c>
      <c r="O73" s="18">
        <f>IF(ISNUMBER(M73), $B91 * N73, "")</f>
        <v>-3672.3163841807909</v>
      </c>
      <c r="Q73" s="161"/>
      <c r="R73" s="161"/>
      <c r="S73" s="161"/>
    </row>
    <row r="74" spans="1:19" ht="17.25" thickBot="1">
      <c r="A74" s="109" t="s">
        <v>165</v>
      </c>
      <c r="B74" s="110">
        <v>997</v>
      </c>
      <c r="C74" s="70">
        <v>1.63098879E-2</v>
      </c>
      <c r="D74" s="15">
        <v>975</v>
      </c>
      <c r="E74" s="32">
        <f t="shared" si="30"/>
        <v>-2.2066198595787363E-2</v>
      </c>
      <c r="F74" s="18">
        <f>IF(ISNUMBER(D74), $B91 * E74, "")</f>
        <v>-3309.9297893681046</v>
      </c>
      <c r="G74" s="31">
        <v>975</v>
      </c>
      <c r="H74" s="32">
        <f t="shared" si="31"/>
        <v>-2.2066198595787363E-2</v>
      </c>
      <c r="I74" s="91">
        <f>IF(ISNUMBER(G74), $B91 * H74, "")</f>
        <v>-3309.9297893681046</v>
      </c>
      <c r="J74" s="15">
        <v>975</v>
      </c>
      <c r="K74" s="32">
        <f t="shared" si="32"/>
        <v>-2.2066198595787363E-2</v>
      </c>
      <c r="L74" s="18">
        <f>IF(ISNUMBER(J74), $B91 * K74, "")</f>
        <v>-3309.9297893681046</v>
      </c>
      <c r="M74" s="31">
        <v>975</v>
      </c>
      <c r="N74" s="32">
        <f t="shared" si="33"/>
        <v>-2.2066198595787363E-2</v>
      </c>
      <c r="O74" s="18">
        <f>IF(ISNUMBER(M74), $B91 * N74, "")</f>
        <v>-3309.9297893681046</v>
      </c>
      <c r="Q74" s="161"/>
      <c r="R74" s="161"/>
      <c r="S74" s="161"/>
    </row>
    <row r="75" spans="1:19" ht="17.25" thickBot="1">
      <c r="A75" s="111" t="s">
        <v>103</v>
      </c>
      <c r="B75" s="112">
        <v>256</v>
      </c>
      <c r="C75" s="71">
        <v>1.5873015899999999E-2</v>
      </c>
      <c r="D75" s="20">
        <v>251</v>
      </c>
      <c r="E75" s="21">
        <f t="shared" si="30"/>
        <v>-1.953125E-2</v>
      </c>
      <c r="F75" s="22">
        <f>IF(ISNUMBER(D75), $B91 * E75, "")</f>
        <v>-2929.6875</v>
      </c>
      <c r="G75" s="30">
        <v>251</v>
      </c>
      <c r="H75" s="21">
        <f t="shared" si="31"/>
        <v>-1.953125E-2</v>
      </c>
      <c r="I75" s="95">
        <f>IF(ISNUMBER(G75), $B91 * H75, "")</f>
        <v>-2929.6875</v>
      </c>
      <c r="J75" s="20">
        <v>251</v>
      </c>
      <c r="K75" s="21">
        <f t="shared" si="32"/>
        <v>-1.953125E-2</v>
      </c>
      <c r="L75" s="22">
        <f>IF(ISNUMBER(J75), $B91 * K75, "")</f>
        <v>-2929.6875</v>
      </c>
      <c r="M75" s="30">
        <v>251</v>
      </c>
      <c r="N75" s="21">
        <f t="shared" si="33"/>
        <v>-1.953125E-2</v>
      </c>
      <c r="O75" s="22">
        <f>IF(ISNUMBER(M75), $B91 * N75, "")</f>
        <v>-2929.6875</v>
      </c>
      <c r="Q75" s="161"/>
      <c r="R75" s="161"/>
      <c r="S75" s="161"/>
    </row>
    <row r="76" spans="1:19" ht="17.25" thickBot="1">
      <c r="A76" s="109" t="s">
        <v>226</v>
      </c>
      <c r="B76" s="113">
        <v>236</v>
      </c>
      <c r="C76" s="73">
        <v>1.28755365E-2</v>
      </c>
      <c r="D76" s="96">
        <v>228</v>
      </c>
      <c r="E76" s="97">
        <f>IF(ISNUMBER(D76), (D76 - $B76) / $B76, "")</f>
        <v>-3.3898305084745763E-2</v>
      </c>
      <c r="F76" s="98">
        <f>IF(ISNUMBER(D76), $B91 * E76, "")</f>
        <v>-5084.7457627118647</v>
      </c>
      <c r="G76" s="99">
        <v>228</v>
      </c>
      <c r="H76" s="97">
        <f>IF(ISNUMBER(G76), (G76 - $B76) / $B76, "")</f>
        <v>-3.3898305084745763E-2</v>
      </c>
      <c r="I76" s="100">
        <f>IF(ISNUMBER(G76), $B91 * H76, "")</f>
        <v>-5084.7457627118647</v>
      </c>
      <c r="J76" s="96">
        <v>228</v>
      </c>
      <c r="K76" s="97">
        <f>IF(ISNUMBER(J76), (J76 - $B76) / $B76, "")</f>
        <v>-3.3898305084745763E-2</v>
      </c>
      <c r="L76" s="98">
        <f>IF(ISNUMBER(J76), $B91 * K76, "")</f>
        <v>-5084.7457627118647</v>
      </c>
      <c r="M76" s="99">
        <v>228</v>
      </c>
      <c r="N76" s="97">
        <f>IF(ISNUMBER(M76), (M76 - $B76) / $B76, "")</f>
        <v>-3.3898305084745763E-2</v>
      </c>
      <c r="O76" s="98">
        <f>IF(ISNUMBER(M76), $B91 * N76, "")</f>
        <v>-5084.7457627118647</v>
      </c>
      <c r="Q76" s="161"/>
      <c r="R76" s="161"/>
      <c r="S76" s="161"/>
    </row>
    <row r="77" spans="1:19" ht="17.25" thickBot="1">
      <c r="A77" s="109" t="s">
        <v>332</v>
      </c>
      <c r="B77" s="110">
        <v>294</v>
      </c>
      <c r="C77" s="70">
        <v>1.03092784E-2</v>
      </c>
      <c r="D77" s="15">
        <v>290</v>
      </c>
      <c r="E77" s="32">
        <f t="shared" ref="E77:E80" si="34">IF(ISNUMBER(D77), (D77 - $B77) / $B77, "")</f>
        <v>-1.3605442176870748E-2</v>
      </c>
      <c r="F77" s="18">
        <f>IF(ISNUMBER(D77), $B91 * E77, "")</f>
        <v>-2040.8163265306121</v>
      </c>
      <c r="G77" s="31">
        <v>290</v>
      </c>
      <c r="H77" s="32">
        <f t="shared" ref="H77:H80" si="35">IF(ISNUMBER(G77), (G77 - $B77) / $B77, "")</f>
        <v>-1.3605442176870748E-2</v>
      </c>
      <c r="I77" s="91">
        <f>IF(ISNUMBER(G77), $B91 * H77, "")</f>
        <v>-2040.8163265306121</v>
      </c>
      <c r="J77" s="15">
        <v>290</v>
      </c>
      <c r="K77" s="32">
        <f t="shared" ref="K77:K80" si="36">IF(ISNUMBER(J77), (J77 - $B77) / $B77, "")</f>
        <v>-1.3605442176870748E-2</v>
      </c>
      <c r="L77" s="18">
        <f>IF(ISNUMBER(J77), $B91 * K77, "")</f>
        <v>-2040.8163265306121</v>
      </c>
      <c r="M77" s="31">
        <v>290</v>
      </c>
      <c r="N77" s="32">
        <f t="shared" ref="N77:N80" si="37">IF(ISNUMBER(M77), (M77 - $B77) / $B77, "")</f>
        <v>-1.3605442176870748E-2</v>
      </c>
      <c r="O77" s="18">
        <f>IF(ISNUMBER(M77), $B91 * N77, "")</f>
        <v>-2040.8163265306121</v>
      </c>
      <c r="Q77" s="161"/>
      <c r="R77" s="161"/>
      <c r="S77" s="161"/>
    </row>
    <row r="78" spans="1:19" ht="17.25" thickBot="1">
      <c r="A78" s="109" t="s">
        <v>149</v>
      </c>
      <c r="B78" s="110">
        <v>401</v>
      </c>
      <c r="C78" s="70">
        <v>1.00755668E-2</v>
      </c>
      <c r="D78" s="15">
        <v>391</v>
      </c>
      <c r="E78" s="32">
        <f t="shared" si="34"/>
        <v>-2.4937655860349128E-2</v>
      </c>
      <c r="F78" s="18">
        <f>IF(ISNUMBER(D78), $B91 * E78, "")</f>
        <v>-3740.6483790523694</v>
      </c>
      <c r="G78" s="31">
        <v>391</v>
      </c>
      <c r="H78" s="32">
        <f t="shared" si="35"/>
        <v>-2.4937655860349128E-2</v>
      </c>
      <c r="I78" s="91">
        <f>IF(ISNUMBER(G78), $B91 * H78, "")</f>
        <v>-3740.6483790523694</v>
      </c>
      <c r="J78" s="15">
        <v>391</v>
      </c>
      <c r="K78" s="32">
        <f t="shared" si="36"/>
        <v>-2.4937655860349128E-2</v>
      </c>
      <c r="L78" s="18">
        <f>IF(ISNUMBER(J78), $B91 * K78, "")</f>
        <v>-3740.6483790523694</v>
      </c>
      <c r="M78" s="31">
        <v>391</v>
      </c>
      <c r="N78" s="32">
        <f t="shared" si="37"/>
        <v>-2.4937655860349128E-2</v>
      </c>
      <c r="O78" s="18">
        <f>IF(ISNUMBER(M78), $B91 * N78, "")</f>
        <v>-3740.6483790523694</v>
      </c>
      <c r="Q78" s="161"/>
      <c r="R78" s="161"/>
      <c r="S78" s="161"/>
    </row>
    <row r="79" spans="1:19" ht="17.25" thickBot="1">
      <c r="A79" s="109" t="s">
        <v>222</v>
      </c>
      <c r="B79" s="110">
        <v>458</v>
      </c>
      <c r="C79" s="70">
        <v>8.8105726999999998E-3</v>
      </c>
      <c r="D79" s="15">
        <v>444</v>
      </c>
      <c r="E79" s="32">
        <f t="shared" si="34"/>
        <v>-3.0567685589519649E-2</v>
      </c>
      <c r="F79" s="18">
        <f>IF(ISNUMBER(D79), $B91 * E79, "")</f>
        <v>-4585.1528384279472</v>
      </c>
      <c r="G79" s="31">
        <v>444</v>
      </c>
      <c r="H79" s="32">
        <f t="shared" si="35"/>
        <v>-3.0567685589519649E-2</v>
      </c>
      <c r="I79" s="91">
        <f>IF(ISNUMBER(G79), $B91 * H79, "")</f>
        <v>-4585.1528384279472</v>
      </c>
      <c r="J79" s="15">
        <v>444</v>
      </c>
      <c r="K79" s="32">
        <f t="shared" si="36"/>
        <v>-3.0567685589519649E-2</v>
      </c>
      <c r="L79" s="18">
        <f>IF(ISNUMBER(J79), $B91 * K79, "")</f>
        <v>-4585.1528384279472</v>
      </c>
      <c r="M79" s="31">
        <v>444</v>
      </c>
      <c r="N79" s="32">
        <f t="shared" si="37"/>
        <v>-3.0567685589519649E-2</v>
      </c>
      <c r="O79" s="18">
        <f>IF(ISNUMBER(M79), $B91 * N79, "")</f>
        <v>-4585.1528384279472</v>
      </c>
      <c r="Q79" s="33"/>
      <c r="R79" s="33"/>
    </row>
    <row r="80" spans="1:19" ht="17.25" thickBot="1">
      <c r="A80" s="114" t="s">
        <v>256</v>
      </c>
      <c r="B80" s="115">
        <v>120</v>
      </c>
      <c r="C80" s="72">
        <v>8.4033613000000004E-3</v>
      </c>
      <c r="D80" s="24">
        <v>115</v>
      </c>
      <c r="E80" s="25">
        <f t="shared" si="34"/>
        <v>-4.1666666666666664E-2</v>
      </c>
      <c r="F80" s="94">
        <f>IF(ISNUMBER(D80), $B91 * E80, "")</f>
        <v>-6250</v>
      </c>
      <c r="G80" s="92">
        <v>115</v>
      </c>
      <c r="H80" s="25">
        <f t="shared" si="35"/>
        <v>-4.1666666666666664E-2</v>
      </c>
      <c r="I80" s="93">
        <f>IF(ISNUMBER(G80), $B91 * H80, "")</f>
        <v>-6250</v>
      </c>
      <c r="J80" s="24">
        <v>115</v>
      </c>
      <c r="K80" s="25">
        <f t="shared" si="36"/>
        <v>-4.1666666666666664E-2</v>
      </c>
      <c r="L80" s="94">
        <f>IF(ISNUMBER(J80), $B91 * K80, "")</f>
        <v>-6250</v>
      </c>
      <c r="M80" s="92">
        <v>115</v>
      </c>
      <c r="N80" s="25">
        <f t="shared" si="37"/>
        <v>-4.1666666666666664E-2</v>
      </c>
      <c r="O80" s="94">
        <f>IF(ISNUMBER(M80), $B91 * N80, "")</f>
        <v>-6250</v>
      </c>
      <c r="Q80" s="170"/>
      <c r="R80" s="171"/>
      <c r="S80" s="172"/>
    </row>
    <row r="81" spans="1:19">
      <c r="A81" s="107" t="s">
        <v>120</v>
      </c>
      <c r="B81" s="108">
        <v>129</v>
      </c>
      <c r="C81" s="69">
        <v>7.8125E-3</v>
      </c>
      <c r="D81" s="13">
        <v>128</v>
      </c>
      <c r="E81" s="14">
        <f>IF(ISNUMBER(D81), (D81 - $B81) / $B81, "")</f>
        <v>-7.7519379844961239E-3</v>
      </c>
      <c r="F81" s="16">
        <f>IF(ISNUMBER(D81), $B91 * E81, "")</f>
        <v>-1162.7906976744187</v>
      </c>
      <c r="G81" s="29">
        <v>128</v>
      </c>
      <c r="H81" s="14">
        <f>IF(ISNUMBER(G81), (G81 - $B81) / $B81, "")</f>
        <v>-7.7519379844961239E-3</v>
      </c>
      <c r="I81" s="90">
        <f>IF(ISNUMBER(G81), $B91 * H81, "")</f>
        <v>-1162.7906976744187</v>
      </c>
      <c r="J81" s="13">
        <v>128</v>
      </c>
      <c r="K81" s="14">
        <f>IF(ISNUMBER(J81), (J81 - $B81) / $B81, "")</f>
        <v>-7.7519379844961239E-3</v>
      </c>
      <c r="L81" s="16">
        <f>IF(ISNUMBER(J81), $B91 * K81, "")</f>
        <v>-1162.7906976744187</v>
      </c>
      <c r="M81" s="29">
        <v>128</v>
      </c>
      <c r="N81" s="14">
        <f>IF(ISNUMBER(M81), (M81 - $B81) / $B81, "")</f>
        <v>-7.7519379844961239E-3</v>
      </c>
      <c r="O81" s="16">
        <f>IF(ISNUMBER(M81), $B91 * N81, "")</f>
        <v>-1162.7906976744187</v>
      </c>
      <c r="Q81" s="173"/>
      <c r="R81" s="174"/>
      <c r="S81" s="175"/>
    </row>
    <row r="82" spans="1:19" ht="17.25" thickBot="1">
      <c r="A82" s="109" t="s">
        <v>79</v>
      </c>
      <c r="B82" s="110">
        <v>297</v>
      </c>
      <c r="C82" s="70">
        <v>6.7796610000000002E-3</v>
      </c>
      <c r="D82" s="15">
        <v>289</v>
      </c>
      <c r="E82" s="32">
        <f t="shared" ref="E82:E85" si="38">IF(ISNUMBER(D82), (D82 - $B82) / $B82, "")</f>
        <v>-2.6936026936026935E-2</v>
      </c>
      <c r="F82" s="18">
        <f>IF(ISNUMBER(D82), $B91 * E82, "")</f>
        <v>-4040.4040404040402</v>
      </c>
      <c r="G82" s="31">
        <v>289</v>
      </c>
      <c r="H82" s="32">
        <f t="shared" ref="H82:H85" si="39">IF(ISNUMBER(G82), (G82 - $B82) / $B82, "")</f>
        <v>-2.6936026936026935E-2</v>
      </c>
      <c r="I82" s="91">
        <f>IF(ISNUMBER(G82), $B91 * H82, "")</f>
        <v>-4040.4040404040402</v>
      </c>
      <c r="J82" s="15">
        <v>289</v>
      </c>
      <c r="K82" s="32">
        <f t="shared" ref="K82:K85" si="40">IF(ISNUMBER(J82), (J82 - $B82) / $B82, "")</f>
        <v>-2.6936026936026935E-2</v>
      </c>
      <c r="L82" s="18">
        <f>IF(ISNUMBER(J82), $B91 * K82, "")</f>
        <v>-4040.4040404040402</v>
      </c>
      <c r="M82" s="31">
        <v>289</v>
      </c>
      <c r="N82" s="32">
        <f t="shared" ref="N82:N85" si="41">IF(ISNUMBER(M82), (M82 - $B82) / $B82, "")</f>
        <v>-2.6936026936026935E-2</v>
      </c>
      <c r="O82" s="18">
        <f>IF(ISNUMBER(M82), $B91 * N82, "")</f>
        <v>-4040.4040404040402</v>
      </c>
      <c r="Q82" s="176"/>
      <c r="R82" s="177"/>
      <c r="S82" s="178"/>
    </row>
    <row r="83" spans="1:19" ht="17.25" thickBot="1">
      <c r="A83" s="109" t="s">
        <v>111</v>
      </c>
      <c r="B83" s="110">
        <v>747</v>
      </c>
      <c r="C83" s="70">
        <v>6.7385444999999997E-3</v>
      </c>
      <c r="D83" s="15">
        <v>720</v>
      </c>
      <c r="E83" s="32">
        <f t="shared" si="38"/>
        <v>-3.614457831325301E-2</v>
      </c>
      <c r="F83" s="18">
        <f>IF(ISNUMBER(D83), $B91 * E83, "")</f>
        <v>-5421.6867469879517</v>
      </c>
      <c r="G83" s="31">
        <v>720</v>
      </c>
      <c r="H83" s="32">
        <f t="shared" si="39"/>
        <v>-3.614457831325301E-2</v>
      </c>
      <c r="I83" s="91">
        <f>IF(ISNUMBER(G83), $B91 * H83, "")</f>
        <v>-5421.6867469879517</v>
      </c>
      <c r="J83" s="15">
        <v>720</v>
      </c>
      <c r="K83" s="32">
        <f t="shared" si="40"/>
        <v>-3.614457831325301E-2</v>
      </c>
      <c r="L83" s="18">
        <f>IF(ISNUMBER(J83), $B91 * K83, "")</f>
        <v>-5421.6867469879517</v>
      </c>
      <c r="M83" s="31">
        <v>720</v>
      </c>
      <c r="N83" s="32">
        <f t="shared" si="41"/>
        <v>-3.614457831325301E-2</v>
      </c>
      <c r="O83" s="18">
        <f>IF(ISNUMBER(M83), $B91 * N83, "")</f>
        <v>-5421.6867469879517</v>
      </c>
      <c r="Q83" s="161"/>
      <c r="R83" s="161"/>
      <c r="S83" s="161"/>
    </row>
    <row r="84" spans="1:19" ht="17.25" thickBot="1">
      <c r="A84" s="109" t="s">
        <v>159</v>
      </c>
      <c r="B84" s="110">
        <v>195</v>
      </c>
      <c r="C84" s="70">
        <v>5.1546392E-3</v>
      </c>
      <c r="D84" s="15">
        <v>189</v>
      </c>
      <c r="E84" s="32">
        <f t="shared" si="38"/>
        <v>-3.0769230769230771E-2</v>
      </c>
      <c r="F84" s="18">
        <f>IF(ISNUMBER(D84), $B91 * E84, "")</f>
        <v>-4615.3846153846152</v>
      </c>
      <c r="G84" s="31">
        <v>189</v>
      </c>
      <c r="H84" s="32">
        <f t="shared" si="39"/>
        <v>-3.0769230769230771E-2</v>
      </c>
      <c r="I84" s="91">
        <f>IF(ISNUMBER(G84), $B91 * H84, "")</f>
        <v>-4615.3846153846152</v>
      </c>
      <c r="J84" s="15">
        <v>189</v>
      </c>
      <c r="K84" s="32">
        <f t="shared" si="40"/>
        <v>-3.0769230769230771E-2</v>
      </c>
      <c r="L84" s="18">
        <f>IF(ISNUMBER(J84), $B91 * K84, "")</f>
        <v>-4615.3846153846152</v>
      </c>
      <c r="M84" s="31">
        <v>189</v>
      </c>
      <c r="N84" s="32">
        <f t="shared" si="41"/>
        <v>-3.0769230769230771E-2</v>
      </c>
      <c r="O84" s="18">
        <f>IF(ISNUMBER(M84), $B91 * N84, "")</f>
        <v>-4615.3846153846152</v>
      </c>
      <c r="Q84" s="156"/>
      <c r="R84" s="156"/>
      <c r="S84" s="156"/>
    </row>
    <row r="85" spans="1:19" ht="17.25" thickBot="1">
      <c r="A85" s="111" t="s">
        <v>232</v>
      </c>
      <c r="B85" s="112">
        <v>301</v>
      </c>
      <c r="C85" s="71">
        <v>3.3333333000000001E-3</v>
      </c>
      <c r="D85" s="20">
        <v>293</v>
      </c>
      <c r="E85" s="21">
        <f t="shared" si="38"/>
        <v>-2.6578073089700997E-2</v>
      </c>
      <c r="F85" s="22">
        <f>IF(ISNUMBER(D85), $B91 * E85, "")</f>
        <v>-3986.7109634551498</v>
      </c>
      <c r="G85" s="30">
        <v>293</v>
      </c>
      <c r="H85" s="21">
        <f t="shared" si="39"/>
        <v>-2.6578073089700997E-2</v>
      </c>
      <c r="I85" s="95">
        <f>IF(ISNUMBER(G85), $B91 * H85, "")</f>
        <v>-3986.7109634551498</v>
      </c>
      <c r="J85" s="20">
        <v>293</v>
      </c>
      <c r="K85" s="21">
        <f t="shared" si="40"/>
        <v>-2.6578073089700997E-2</v>
      </c>
      <c r="L85" s="22">
        <f>IF(ISNUMBER(J85), $B91 * K85, "")</f>
        <v>-3986.7109634551498</v>
      </c>
      <c r="M85" s="30">
        <v>293</v>
      </c>
      <c r="N85" s="21">
        <f t="shared" si="41"/>
        <v>-2.6578073089700997E-2</v>
      </c>
      <c r="O85" s="22">
        <f>IF(ISNUMBER(M85), $B91 * N85, "")</f>
        <v>-3986.7109634551498</v>
      </c>
      <c r="Q85" s="156"/>
      <c r="R85" s="156"/>
      <c r="S85" s="156"/>
    </row>
    <row r="86" spans="1:19" ht="17.25" thickBot="1">
      <c r="A86" s="109" t="s">
        <v>238</v>
      </c>
      <c r="B86" s="113">
        <v>631</v>
      </c>
      <c r="C86" s="73">
        <v>3.1796502000000001E-3</v>
      </c>
      <c r="D86" s="96">
        <v>615</v>
      </c>
      <c r="E86" s="97">
        <f>IF(ISNUMBER(D86), (D86 - $B86) / $B86, "")</f>
        <v>-2.5356576862123614E-2</v>
      </c>
      <c r="F86" s="98">
        <f>IF(ISNUMBER(D86), $B91 * E86, "")</f>
        <v>-3803.4865293185421</v>
      </c>
      <c r="G86" s="99">
        <v>615</v>
      </c>
      <c r="H86" s="97">
        <f>IF(ISNUMBER(G86), (G86 - $B86) / $B86, "")</f>
        <v>-2.5356576862123614E-2</v>
      </c>
      <c r="I86" s="100">
        <f>IF(ISNUMBER(G86), $B91 * H86, "")</f>
        <v>-3803.4865293185421</v>
      </c>
      <c r="J86" s="96">
        <v>615</v>
      </c>
      <c r="K86" s="97">
        <f>IF(ISNUMBER(J86), (J86 - $B86) / $B86, "")</f>
        <v>-2.5356576862123614E-2</v>
      </c>
      <c r="L86" s="98">
        <f>IF(ISNUMBER(J86), $B91 * K86, "")</f>
        <v>-3803.4865293185421</v>
      </c>
      <c r="M86" s="99">
        <v>615</v>
      </c>
      <c r="N86" s="97">
        <f>IF(ISNUMBER(M86), (M86 - $B86) / $B86, "")</f>
        <v>-2.5356576862123614E-2</v>
      </c>
      <c r="O86" s="98">
        <f>IF(ISNUMBER(M86), $B91 * N86, "")</f>
        <v>-3803.4865293185421</v>
      </c>
      <c r="Q86" s="161"/>
      <c r="R86" s="161"/>
      <c r="S86" s="161"/>
    </row>
    <row r="87" spans="1:19" ht="17.25" thickBot="1">
      <c r="A87" s="109" t="s">
        <v>337</v>
      </c>
      <c r="B87" s="110">
        <v>323</v>
      </c>
      <c r="C87" s="70">
        <v>3.1055901000000001E-3</v>
      </c>
      <c r="D87" s="15">
        <v>315</v>
      </c>
      <c r="E87" s="32">
        <f t="shared" ref="E87:E90" si="42">IF(ISNUMBER(D87), (D87 - $B87) / $B87, "")</f>
        <v>-2.4767801857585141E-2</v>
      </c>
      <c r="F87" s="18">
        <f>IF(ISNUMBER(D87), $B91 * E87, "")</f>
        <v>-3715.1702786377709</v>
      </c>
      <c r="G87" s="31">
        <v>315</v>
      </c>
      <c r="H87" s="32">
        <f t="shared" ref="H87:H90" si="43">IF(ISNUMBER(G87), (G87 - $B87) / $B87, "")</f>
        <v>-2.4767801857585141E-2</v>
      </c>
      <c r="I87" s="91">
        <f>IF(ISNUMBER(G87), $B91 * H87, "")</f>
        <v>-3715.1702786377709</v>
      </c>
      <c r="J87" s="15">
        <v>315</v>
      </c>
      <c r="K87" s="32">
        <f t="shared" ref="K87:K90" si="44">IF(ISNUMBER(J87), (J87 - $B87) / $B87, "")</f>
        <v>-2.4767801857585141E-2</v>
      </c>
      <c r="L87" s="18">
        <f>IF(ISNUMBER(J87), $B91 * K87, "")</f>
        <v>-3715.1702786377709</v>
      </c>
      <c r="M87" s="31">
        <v>315</v>
      </c>
      <c r="N87" s="32">
        <f t="shared" ref="N87:N90" si="45">IF(ISNUMBER(M87), (M87 - $B87) / $B87, "")</f>
        <v>-2.4767801857585141E-2</v>
      </c>
      <c r="O87" s="18">
        <f>IF(ISNUMBER(M87), $B91 * N87, "")</f>
        <v>-3715.1702786377709</v>
      </c>
      <c r="Q87" s="161"/>
      <c r="R87" s="161"/>
      <c r="S87" s="161"/>
    </row>
    <row r="88" spans="1:19" ht="17.25" thickBot="1">
      <c r="A88" s="109" t="s">
        <v>81</v>
      </c>
      <c r="B88" s="110">
        <v>410</v>
      </c>
      <c r="C88" s="70">
        <v>2.4449877999999999E-3</v>
      </c>
      <c r="D88" s="15">
        <v>399</v>
      </c>
      <c r="E88" s="32">
        <f t="shared" si="42"/>
        <v>-2.6829268292682926E-2</v>
      </c>
      <c r="F88" s="18">
        <f>IF(ISNUMBER(D88), $B91 * E88, "")</f>
        <v>-4024.3902439024391</v>
      </c>
      <c r="G88" s="31">
        <v>399</v>
      </c>
      <c r="H88" s="32">
        <f t="shared" si="43"/>
        <v>-2.6829268292682926E-2</v>
      </c>
      <c r="I88" s="91">
        <f>IF(ISNUMBER(G88), $B91 * H88, "")</f>
        <v>-4024.3902439024391</v>
      </c>
      <c r="J88" s="15">
        <v>399</v>
      </c>
      <c r="K88" s="32">
        <f t="shared" si="44"/>
        <v>-2.6829268292682926E-2</v>
      </c>
      <c r="L88" s="18">
        <f>IF(ISNUMBER(J88), $B91 * K88, "")</f>
        <v>-4024.3902439024391</v>
      </c>
      <c r="M88" s="31">
        <v>399</v>
      </c>
      <c r="N88" s="32">
        <f t="shared" si="45"/>
        <v>-2.6829268292682926E-2</v>
      </c>
      <c r="O88" s="18">
        <f>IF(ISNUMBER(M88), $B91 * N88, "")</f>
        <v>-4024.3902439024391</v>
      </c>
      <c r="Q88" s="161"/>
      <c r="R88" s="161"/>
      <c r="S88" s="161"/>
    </row>
    <row r="89" spans="1:19">
      <c r="A89" s="109" t="s">
        <v>101</v>
      </c>
      <c r="B89" s="110">
        <v>246</v>
      </c>
      <c r="C89" s="70">
        <v>0</v>
      </c>
      <c r="D89" s="15">
        <v>245</v>
      </c>
      <c r="E89" s="32">
        <f t="shared" si="42"/>
        <v>-4.0650406504065045E-3</v>
      </c>
      <c r="F89" s="18">
        <f>IF(ISNUMBER(D89), $B91 * E89, "")</f>
        <v>-609.75609756097572</v>
      </c>
      <c r="G89" s="31">
        <v>245</v>
      </c>
      <c r="H89" s="32">
        <f t="shared" si="43"/>
        <v>-4.0650406504065045E-3</v>
      </c>
      <c r="I89" s="91">
        <f>IF(ISNUMBER(G89), $B91 * H89, "")</f>
        <v>-609.75609756097572</v>
      </c>
      <c r="J89" s="15">
        <v>245</v>
      </c>
      <c r="K89" s="32">
        <f t="shared" si="44"/>
        <v>-4.0650406504065045E-3</v>
      </c>
      <c r="L89" s="18">
        <f>IF(ISNUMBER(J89), $B91 * K89, "")</f>
        <v>-609.75609756097572</v>
      </c>
      <c r="M89" s="31">
        <v>245</v>
      </c>
      <c r="N89" s="32">
        <f t="shared" si="45"/>
        <v>-4.0650406504065045E-3</v>
      </c>
      <c r="O89" s="18">
        <f>IF(ISNUMBER(M89), $B91 * N89, "")</f>
        <v>-609.75609756097572</v>
      </c>
      <c r="Q89" s="183"/>
      <c r="R89" s="184"/>
      <c r="S89" s="185"/>
    </row>
    <row r="90" spans="1:19" ht="17.25" thickBot="1">
      <c r="A90" s="114" t="s">
        <v>157</v>
      </c>
      <c r="B90" s="115">
        <v>174</v>
      </c>
      <c r="C90" s="72">
        <v>0</v>
      </c>
      <c r="D90" s="24">
        <v>175</v>
      </c>
      <c r="E90" s="25">
        <f t="shared" si="42"/>
        <v>5.7471264367816091E-3</v>
      </c>
      <c r="F90" s="94">
        <f>IF(ISNUMBER(D90), $B91 * E90, "")</f>
        <v>862.06896551724139</v>
      </c>
      <c r="G90" s="92">
        <v>175</v>
      </c>
      <c r="H90" s="25">
        <f t="shared" si="43"/>
        <v>5.7471264367816091E-3</v>
      </c>
      <c r="I90" s="93">
        <f>IF(ISNUMBER(G90), $B91 * H90, "")</f>
        <v>862.06896551724139</v>
      </c>
      <c r="J90" s="24">
        <v>175</v>
      </c>
      <c r="K90" s="25">
        <f t="shared" si="44"/>
        <v>5.7471264367816091E-3</v>
      </c>
      <c r="L90" s="94">
        <f>IF(ISNUMBER(J90), $B91 * K90, "")</f>
        <v>862.06896551724139</v>
      </c>
      <c r="M90" s="92">
        <v>175</v>
      </c>
      <c r="N90" s="25">
        <f t="shared" si="45"/>
        <v>5.7471264367816091E-3</v>
      </c>
      <c r="O90" s="94">
        <f>IF(ISNUMBER(M90), $B91 * N90, "")</f>
        <v>862.06896551724139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-2.4413864111378282E-2</v>
      </c>
      <c r="F91" s="28">
        <f>SUM(F71:F90)</f>
        <v>-73241.592334134853</v>
      </c>
      <c r="G91" s="26" t="s">
        <v>261</v>
      </c>
      <c r="H91" s="27">
        <f>IF(COUNT(H71:H90), SUM(H71:H90) / COUNT(H71:H90), 0)</f>
        <v>-2.4413864111378282E-2</v>
      </c>
      <c r="I91" s="28">
        <f>SUM(I71:I90)</f>
        <v>-73241.592334134853</v>
      </c>
      <c r="J91" s="26" t="s">
        <v>261</v>
      </c>
      <c r="K91" s="27">
        <f>IF(COUNT(K71:K90), SUM(K71:K90) / COUNT(K71:K90), 0)</f>
        <v>-2.4413864111378282E-2</v>
      </c>
      <c r="L91" s="28">
        <f>SUM(L71:L90)</f>
        <v>-73241.592334134853</v>
      </c>
      <c r="M91" s="26" t="s">
        <v>261</v>
      </c>
      <c r="N91" s="27">
        <f>IF(COUNT(N71:N90), SUM(N71:N90) / COUNT(N71:N90), 0)</f>
        <v>-2.4413864111378282E-2</v>
      </c>
      <c r="O91" s="28">
        <f>SUM(O71:O90)</f>
        <v>-73241.592334134853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2022-12-15(목) 오전 00:00</v>
      </c>
      <c r="C96" s="199"/>
      <c r="D96" s="158" t="str">
        <f>TEXT($G$1, "[$-ko-KR]yyyy-mm-dd(ddd) ") &amp; "오후 14:00"</f>
        <v>2022-12-15(목) 오후 14:00</v>
      </c>
      <c r="E96" s="159"/>
      <c r="F96" s="160"/>
      <c r="G96" s="158" t="str">
        <f>TEXT($G$1, "[$-ko-KR]yyyy-mm-dd(ddd) ") &amp; "오후 19:00"</f>
        <v>2022-12-15(목) 오후 19:00</v>
      </c>
      <c r="H96" s="159"/>
      <c r="I96" s="160"/>
      <c r="J96" s="158" t="str">
        <f>TEXT($G$1, "[$-ko-KR]yyyy-mm-dd(ddd) ") &amp; "오후 21:00"</f>
        <v>2022-12-15(목) 오후 21:00</v>
      </c>
      <c r="K96" s="159"/>
      <c r="L96" s="160"/>
      <c r="M96" s="158" t="str">
        <f>TEXT($G$1+1, "[$-ko-KR]yyyy-mm-dd(ddd) ") &amp; "오전 00:00"</f>
        <v>2022-12-16(금)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330</v>
      </c>
      <c r="B98" s="108">
        <v>19320</v>
      </c>
      <c r="C98" s="69">
        <v>6.7993366499999999E-2</v>
      </c>
      <c r="D98" s="13">
        <v>18460</v>
      </c>
      <c r="E98" s="14">
        <f>IF(ISNUMBER(D98), (D98 - $B98) / $B98, "")</f>
        <v>-4.4513457556935816E-2</v>
      </c>
      <c r="F98" s="16">
        <f>IF(ISNUMBER(D98), $B118 * E98, "")</f>
        <v>-6677.0186335403723</v>
      </c>
      <c r="G98" s="29">
        <v>18460</v>
      </c>
      <c r="H98" s="14">
        <f>IF(ISNUMBER(G98), (G98 - $B98) / $B98, "")</f>
        <v>-4.4513457556935816E-2</v>
      </c>
      <c r="I98" s="90">
        <f>IF(ISNUMBER(G98), $B118 * H98, "")</f>
        <v>-6677.0186335403723</v>
      </c>
      <c r="J98" s="13">
        <v>18460</v>
      </c>
      <c r="K98" s="14">
        <f>IF(ISNUMBER(J98), (J98 - $B98) / $B98, "")</f>
        <v>-4.4513457556935816E-2</v>
      </c>
      <c r="L98" s="16">
        <f>IF(ISNUMBER(J98), $B118 * K98, "")</f>
        <v>-6677.0186335403723</v>
      </c>
      <c r="M98" s="29">
        <v>18460</v>
      </c>
      <c r="N98" s="14">
        <f>IF(ISNUMBER(M98), (M98 - $B98) / $B98, "")</f>
        <v>-4.4513457556935816E-2</v>
      </c>
      <c r="O98" s="16">
        <f>IF(ISNUMBER(M98), $B118 * N98, "")</f>
        <v>-6677.0186335403723</v>
      </c>
      <c r="Q98" s="156"/>
      <c r="R98" s="156"/>
      <c r="S98" s="156"/>
    </row>
    <row r="99" spans="1:19" ht="17.25" thickBot="1">
      <c r="A99" s="109" t="s">
        <v>153</v>
      </c>
      <c r="B99" s="110">
        <v>447</v>
      </c>
      <c r="C99" s="70">
        <v>5.9241706200000001E-2</v>
      </c>
      <c r="D99" s="15">
        <v>426</v>
      </c>
      <c r="E99" s="32">
        <f t="shared" ref="E99:E102" si="46">IF(ISNUMBER(D99), (D99 - $B99) / $B99, "")</f>
        <v>-4.6979865771812082E-2</v>
      </c>
      <c r="F99" s="18">
        <f>IF(ISNUMBER(D99), $B118 * E99, "")</f>
        <v>-7046.979865771812</v>
      </c>
      <c r="G99" s="31">
        <v>426</v>
      </c>
      <c r="H99" s="32">
        <f t="shared" ref="H99:H102" si="47">IF(ISNUMBER(G99), (G99 - $B99) / $B99, "")</f>
        <v>-4.6979865771812082E-2</v>
      </c>
      <c r="I99" s="91">
        <f>IF(ISNUMBER(G99), $B118 * H99, "")</f>
        <v>-7046.979865771812</v>
      </c>
      <c r="J99" s="15">
        <v>426</v>
      </c>
      <c r="K99" s="32">
        <f t="shared" ref="K99:K102" si="48">IF(ISNUMBER(J99), (J99 - $B99) / $B99, "")</f>
        <v>-4.6979865771812082E-2</v>
      </c>
      <c r="L99" s="18">
        <f>IF(ISNUMBER(J99), $B118 * K99, "")</f>
        <v>-7046.979865771812</v>
      </c>
      <c r="M99" s="31">
        <v>426</v>
      </c>
      <c r="N99" s="32">
        <f t="shared" ref="N99:N102" si="49">IF(ISNUMBER(M99), (M99 - $B99) / $B99, "")</f>
        <v>-4.6979865771812082E-2</v>
      </c>
      <c r="O99" s="18">
        <f>IF(ISNUMBER(M99), $B118 * N99, "")</f>
        <v>-7046.979865771812</v>
      </c>
      <c r="Q99" s="156"/>
      <c r="R99" s="156"/>
      <c r="S99" s="156"/>
    </row>
    <row r="100" spans="1:19" ht="17.25" thickBot="1">
      <c r="A100" s="109" t="s">
        <v>145</v>
      </c>
      <c r="B100" s="110">
        <v>74.400000000000006</v>
      </c>
      <c r="C100" s="70">
        <v>4.6413502099999997E-2</v>
      </c>
      <c r="D100" s="15">
        <v>73.8</v>
      </c>
      <c r="E100" s="32">
        <f t="shared" si="46"/>
        <v>-8.0645161290323723E-3</v>
      </c>
      <c r="F100" s="18">
        <f>IF(ISNUMBER(D100), $B118 * E100, "")</f>
        <v>-1209.6774193548558</v>
      </c>
      <c r="G100" s="31">
        <v>73.8</v>
      </c>
      <c r="H100" s="32">
        <f t="shared" si="47"/>
        <v>-8.0645161290323723E-3</v>
      </c>
      <c r="I100" s="91">
        <f>IF(ISNUMBER(G100), $B118 * H100, "")</f>
        <v>-1209.6774193548558</v>
      </c>
      <c r="J100" s="15">
        <v>73.8</v>
      </c>
      <c r="K100" s="32">
        <f t="shared" si="48"/>
        <v>-8.0645161290323723E-3</v>
      </c>
      <c r="L100" s="18">
        <f>IF(ISNUMBER(J100), $B118 * K100, "")</f>
        <v>-1209.6774193548558</v>
      </c>
      <c r="M100" s="31">
        <v>73.8</v>
      </c>
      <c r="N100" s="32">
        <f t="shared" si="49"/>
        <v>-8.0645161290323723E-3</v>
      </c>
      <c r="O100" s="18">
        <f>IF(ISNUMBER(M100), $B118 * N100, "")</f>
        <v>-1209.6774193548558</v>
      </c>
      <c r="Q100" s="161"/>
      <c r="R100" s="161"/>
      <c r="S100" s="161"/>
    </row>
    <row r="101" spans="1:19" ht="17.25" thickBot="1">
      <c r="A101" s="109" t="s">
        <v>187</v>
      </c>
      <c r="B101" s="110">
        <v>849</v>
      </c>
      <c r="C101" s="70">
        <v>3.9167686700000003E-2</v>
      </c>
      <c r="D101" s="15">
        <v>826</v>
      </c>
      <c r="E101" s="32">
        <f t="shared" si="46"/>
        <v>-2.7090694935217905E-2</v>
      </c>
      <c r="F101" s="18">
        <f>IF(ISNUMBER(D101), $B118 * E101, "")</f>
        <v>-4063.6042402826856</v>
      </c>
      <c r="G101" s="31">
        <v>826</v>
      </c>
      <c r="H101" s="32">
        <f t="shared" si="47"/>
        <v>-2.7090694935217905E-2</v>
      </c>
      <c r="I101" s="91">
        <f>IF(ISNUMBER(G101), $B118 * H101, "")</f>
        <v>-4063.6042402826856</v>
      </c>
      <c r="J101" s="15">
        <v>826</v>
      </c>
      <c r="K101" s="32">
        <f t="shared" si="48"/>
        <v>-2.7090694935217905E-2</v>
      </c>
      <c r="L101" s="18">
        <f>IF(ISNUMBER(J101), $B118 * K101, "")</f>
        <v>-4063.6042402826856</v>
      </c>
      <c r="M101" s="31">
        <v>826</v>
      </c>
      <c r="N101" s="32">
        <f t="shared" si="49"/>
        <v>-2.7090694935217905E-2</v>
      </c>
      <c r="O101" s="18">
        <f>IF(ISNUMBER(M101), $B118 * N101, "")</f>
        <v>-4063.6042402826856</v>
      </c>
      <c r="Q101" s="161"/>
      <c r="R101" s="161"/>
      <c r="S101" s="161"/>
    </row>
    <row r="102" spans="1:19" ht="17.25" thickBot="1">
      <c r="A102" s="111" t="s">
        <v>240</v>
      </c>
      <c r="B102" s="112">
        <v>29.9</v>
      </c>
      <c r="C102" s="71">
        <v>3.4602076099999997E-2</v>
      </c>
      <c r="D102" s="20">
        <v>28.9</v>
      </c>
      <c r="E102" s="21">
        <f t="shared" si="46"/>
        <v>-3.3444816053511704E-2</v>
      </c>
      <c r="F102" s="22">
        <f>IF(ISNUMBER(D102), $B118 * E102, "")</f>
        <v>-5016.7224080267561</v>
      </c>
      <c r="G102" s="30">
        <v>28.9</v>
      </c>
      <c r="H102" s="21">
        <f t="shared" si="47"/>
        <v>-3.3444816053511704E-2</v>
      </c>
      <c r="I102" s="95">
        <f>IF(ISNUMBER(G102), $B118 * H102, "")</f>
        <v>-5016.7224080267561</v>
      </c>
      <c r="J102" s="20">
        <v>28.9</v>
      </c>
      <c r="K102" s="21">
        <f t="shared" si="48"/>
        <v>-3.3444816053511704E-2</v>
      </c>
      <c r="L102" s="22">
        <f>IF(ISNUMBER(J102), $B118 * K102, "")</f>
        <v>-5016.7224080267561</v>
      </c>
      <c r="M102" s="30">
        <v>28.9</v>
      </c>
      <c r="N102" s="21">
        <f t="shared" si="49"/>
        <v>-3.3444816053511704E-2</v>
      </c>
      <c r="O102" s="22">
        <f>IF(ISNUMBER(M102), $B118 * N102, "")</f>
        <v>-5016.7224080267561</v>
      </c>
      <c r="Q102" s="161"/>
      <c r="R102" s="161"/>
      <c r="S102" s="161"/>
    </row>
    <row r="103" spans="1:19" ht="17.25" thickBot="1">
      <c r="A103" s="109" t="s">
        <v>147</v>
      </c>
      <c r="B103" s="113">
        <v>10390</v>
      </c>
      <c r="C103" s="73">
        <v>3.3830845800000002E-2</v>
      </c>
      <c r="D103" s="96">
        <v>9980</v>
      </c>
      <c r="E103" s="97">
        <f>IF(ISNUMBER(D103), (D103 - $B103) / $B103, "")</f>
        <v>-3.9461020211742061E-2</v>
      </c>
      <c r="F103" s="98">
        <f>IF(ISNUMBER(D103), $B118 * E103, "")</f>
        <v>-5919.1530317613087</v>
      </c>
      <c r="G103" s="99">
        <v>9980</v>
      </c>
      <c r="H103" s="97">
        <f>IF(ISNUMBER(G103), (G103 - $B103) / $B103, "")</f>
        <v>-3.9461020211742061E-2</v>
      </c>
      <c r="I103" s="100">
        <f>IF(ISNUMBER(G103), $B118 * H103, "")</f>
        <v>-5919.1530317613087</v>
      </c>
      <c r="J103" s="96">
        <v>9980</v>
      </c>
      <c r="K103" s="97">
        <f>IF(ISNUMBER(J103), (J103 - $B103) / $B103, "")</f>
        <v>-3.9461020211742061E-2</v>
      </c>
      <c r="L103" s="98">
        <f>IF(ISNUMBER(J103), $B118 * K103, "")</f>
        <v>-5919.1530317613087</v>
      </c>
      <c r="M103" s="99">
        <v>9980</v>
      </c>
      <c r="N103" s="97">
        <f>IF(ISNUMBER(M103), (M103 - $B103) / $B103, "")</f>
        <v>-3.9461020211742061E-2</v>
      </c>
      <c r="O103" s="98">
        <f>IF(ISNUMBER(M103), $B118 * N103, "")</f>
        <v>-5919.1530317613087</v>
      </c>
      <c r="Q103" s="161"/>
      <c r="R103" s="161"/>
      <c r="S103" s="161"/>
    </row>
    <row r="104" spans="1:19" ht="17.25" thickBot="1">
      <c r="A104" s="109" t="s">
        <v>49</v>
      </c>
      <c r="B104" s="110">
        <v>23770000</v>
      </c>
      <c r="C104" s="70">
        <v>2.6294201499999999E-2</v>
      </c>
      <c r="D104" s="15">
        <v>23023000</v>
      </c>
      <c r="E104" s="32">
        <f t="shared" ref="E104:E107" si="50">IF(ISNUMBER(D104), (D104 - $B104) / $B104, "")</f>
        <v>-3.1426167437946989E-2</v>
      </c>
      <c r="F104" s="18">
        <f>IF(ISNUMBER(D104), $B118 * E104, "")</f>
        <v>-4713.9251156920482</v>
      </c>
      <c r="G104" s="31">
        <v>23023000</v>
      </c>
      <c r="H104" s="32">
        <f t="shared" ref="H104:H107" si="51">IF(ISNUMBER(G104), (G104 - $B104) / $B104, "")</f>
        <v>-3.1426167437946989E-2</v>
      </c>
      <c r="I104" s="91">
        <f>IF(ISNUMBER(G104), $B118 * H104, "")</f>
        <v>-4713.9251156920482</v>
      </c>
      <c r="J104" s="15">
        <v>23023000</v>
      </c>
      <c r="K104" s="32">
        <f t="shared" ref="K104:K107" si="52">IF(ISNUMBER(J104), (J104 - $B104) / $B104, "")</f>
        <v>-3.1426167437946989E-2</v>
      </c>
      <c r="L104" s="18">
        <f>IF(ISNUMBER(J104), $B118 * K104, "")</f>
        <v>-4713.9251156920482</v>
      </c>
      <c r="M104" s="31">
        <v>23023000</v>
      </c>
      <c r="N104" s="32">
        <f t="shared" ref="N104:N107" si="53">IF(ISNUMBER(M104), (M104 - $B104) / $B104, "")</f>
        <v>-3.1426167437946989E-2</v>
      </c>
      <c r="O104" s="18">
        <f>IF(ISNUMBER(M104), $B118 * N104, "")</f>
        <v>-4713.9251156920482</v>
      </c>
      <c r="Q104" s="161"/>
      <c r="R104" s="161"/>
      <c r="S104" s="161"/>
    </row>
    <row r="105" spans="1:19" ht="17.25" thickBot="1">
      <c r="A105" s="109" t="s">
        <v>172</v>
      </c>
      <c r="B105" s="110">
        <v>3095</v>
      </c>
      <c r="C105" s="70">
        <v>2.4834437099999999E-2</v>
      </c>
      <c r="D105" s="15">
        <v>3140</v>
      </c>
      <c r="E105" s="32">
        <f t="shared" si="50"/>
        <v>1.4539579967689823E-2</v>
      </c>
      <c r="F105" s="18">
        <f>IF(ISNUMBER(D105), $B118 * E105, "")</f>
        <v>2180.9369951534736</v>
      </c>
      <c r="G105" s="31">
        <v>3140</v>
      </c>
      <c r="H105" s="32">
        <f t="shared" si="51"/>
        <v>1.4539579967689823E-2</v>
      </c>
      <c r="I105" s="91">
        <f>IF(ISNUMBER(G105), $B118 * H105, "")</f>
        <v>2180.9369951534736</v>
      </c>
      <c r="J105" s="15">
        <v>3140</v>
      </c>
      <c r="K105" s="32">
        <f t="shared" si="52"/>
        <v>1.4539579967689823E-2</v>
      </c>
      <c r="L105" s="18">
        <f>IF(ISNUMBER(J105), $B118 * K105, "")</f>
        <v>2180.9369951534736</v>
      </c>
      <c r="M105" s="31">
        <v>3140</v>
      </c>
      <c r="N105" s="32">
        <f t="shared" si="53"/>
        <v>1.4539579967689823E-2</v>
      </c>
      <c r="O105" s="18">
        <f>IF(ISNUMBER(M105), $B118 * N105, "")</f>
        <v>2180.9369951534736</v>
      </c>
      <c r="Q105" s="161"/>
      <c r="R105" s="161"/>
      <c r="S105" s="161"/>
    </row>
    <row r="106" spans="1:19" ht="17.25" thickBot="1">
      <c r="A106" s="109" t="s">
        <v>328</v>
      </c>
      <c r="B106" s="110">
        <v>18380</v>
      </c>
      <c r="C106" s="70">
        <v>2.2246940999999999E-2</v>
      </c>
      <c r="D106" s="15">
        <v>17650</v>
      </c>
      <c r="E106" s="32">
        <f t="shared" si="50"/>
        <v>-3.97170837867247E-2</v>
      </c>
      <c r="F106" s="18">
        <f>IF(ISNUMBER(D106), $B118 * E106, "")</f>
        <v>-5957.5625680087051</v>
      </c>
      <c r="G106" s="31">
        <v>17650</v>
      </c>
      <c r="H106" s="32">
        <f t="shared" si="51"/>
        <v>-3.97170837867247E-2</v>
      </c>
      <c r="I106" s="91">
        <f>IF(ISNUMBER(G106), $B118 * H106, "")</f>
        <v>-5957.5625680087051</v>
      </c>
      <c r="J106" s="15">
        <v>17650</v>
      </c>
      <c r="K106" s="32">
        <f t="shared" si="52"/>
        <v>-3.97170837867247E-2</v>
      </c>
      <c r="L106" s="18">
        <f>IF(ISNUMBER(J106), $B118 * K106, "")</f>
        <v>-5957.5625680087051</v>
      </c>
      <c r="M106" s="31">
        <v>17650</v>
      </c>
      <c r="N106" s="32">
        <f t="shared" si="53"/>
        <v>-3.97170837867247E-2</v>
      </c>
      <c r="O106" s="18">
        <f>IF(ISNUMBER(M106), $B118 * N106, "")</f>
        <v>-5957.5625680087051</v>
      </c>
      <c r="Q106" s="33"/>
      <c r="R106" s="33"/>
    </row>
    <row r="107" spans="1:19" ht="17.25" thickBot="1">
      <c r="A107" s="114" t="s">
        <v>322</v>
      </c>
      <c r="B107" s="115">
        <v>82460</v>
      </c>
      <c r="C107" s="72">
        <v>1.9283065499999998E-2</v>
      </c>
      <c r="D107" s="24">
        <v>80990</v>
      </c>
      <c r="E107" s="25">
        <f t="shared" si="50"/>
        <v>-1.7826825127334467E-2</v>
      </c>
      <c r="F107" s="94">
        <f>IF(ISNUMBER(D107), $B118 * E107, "")</f>
        <v>-2674.0237691001698</v>
      </c>
      <c r="G107" s="92">
        <v>80990</v>
      </c>
      <c r="H107" s="25">
        <f t="shared" si="51"/>
        <v>-1.7826825127334467E-2</v>
      </c>
      <c r="I107" s="93">
        <f>IF(ISNUMBER(G107), $B118 * H107, "")</f>
        <v>-2674.0237691001698</v>
      </c>
      <c r="J107" s="24">
        <v>80990</v>
      </c>
      <c r="K107" s="25">
        <f t="shared" si="52"/>
        <v>-1.7826825127334467E-2</v>
      </c>
      <c r="L107" s="94">
        <f>IF(ISNUMBER(J107), $B118 * K107, "")</f>
        <v>-2674.0237691001698</v>
      </c>
      <c r="M107" s="92">
        <v>80990</v>
      </c>
      <c r="N107" s="25">
        <f t="shared" si="53"/>
        <v>-1.7826825127334467E-2</v>
      </c>
      <c r="O107" s="94">
        <f>IF(ISNUMBER(M107), $B118 * N107, "")</f>
        <v>-2674.0237691001698</v>
      </c>
      <c r="Q107" s="170"/>
      <c r="R107" s="171"/>
      <c r="S107" s="172"/>
    </row>
    <row r="108" spans="1:19">
      <c r="A108" s="107" t="s">
        <v>216</v>
      </c>
      <c r="B108" s="108">
        <v>531</v>
      </c>
      <c r="C108" s="69">
        <v>1.7241379300000002E-2</v>
      </c>
      <c r="D108" s="13">
        <v>518</v>
      </c>
      <c r="E108" s="14">
        <f>IF(ISNUMBER(D108), (D108 - $B108) / $B108, "")</f>
        <v>-2.4482109227871938E-2</v>
      </c>
      <c r="F108" s="16">
        <f>IF(ISNUMBER(D108), $B118 * E108, "")</f>
        <v>-3672.3163841807909</v>
      </c>
      <c r="G108" s="29">
        <v>518</v>
      </c>
      <c r="H108" s="14">
        <f>IF(ISNUMBER(G108), (G108 - $B108) / $B108, "")</f>
        <v>-2.4482109227871938E-2</v>
      </c>
      <c r="I108" s="90">
        <f>IF(ISNUMBER(G108), $B118 * H108, "")</f>
        <v>-3672.3163841807909</v>
      </c>
      <c r="J108" s="13">
        <v>518</v>
      </c>
      <c r="K108" s="14">
        <f>IF(ISNUMBER(J108), (J108 - $B108) / $B108, "")</f>
        <v>-2.4482109227871938E-2</v>
      </c>
      <c r="L108" s="16">
        <f>IF(ISNUMBER(J108), $B118 * K108, "")</f>
        <v>-3672.3163841807909</v>
      </c>
      <c r="M108" s="29">
        <v>518</v>
      </c>
      <c r="N108" s="14">
        <f>IF(ISNUMBER(M108), (M108 - $B108) / $B108, "")</f>
        <v>-2.4482109227871938E-2</v>
      </c>
      <c r="O108" s="16">
        <f>IF(ISNUMBER(M108), $B118 * N108, "")</f>
        <v>-3672.3163841807909</v>
      </c>
      <c r="Q108" s="173"/>
      <c r="R108" s="174"/>
      <c r="S108" s="175"/>
    </row>
    <row r="109" spans="1:19" ht="17.25" thickBot="1">
      <c r="A109" s="109" t="s">
        <v>93</v>
      </c>
      <c r="B109" s="110">
        <v>1750500</v>
      </c>
      <c r="C109" s="70">
        <v>1.6845774000000001E-2</v>
      </c>
      <c r="D109" s="15">
        <v>1682000</v>
      </c>
      <c r="E109" s="32">
        <f t="shared" ref="E109:E112" si="54">IF(ISNUMBER(D109), (D109 - $B109) / $B109, "")</f>
        <v>-3.9131676663810337E-2</v>
      </c>
      <c r="F109" s="18">
        <f>IF(ISNUMBER(D109), $B118 * E109, "")</f>
        <v>-5869.751499571551</v>
      </c>
      <c r="G109" s="31">
        <v>1682000</v>
      </c>
      <c r="H109" s="32">
        <f t="shared" ref="H109:H112" si="55">IF(ISNUMBER(G109), (G109 - $B109) / $B109, "")</f>
        <v>-3.9131676663810337E-2</v>
      </c>
      <c r="I109" s="91">
        <f>IF(ISNUMBER(G109), $B118 * H109, "")</f>
        <v>-5869.751499571551</v>
      </c>
      <c r="J109" s="15">
        <v>1682000</v>
      </c>
      <c r="K109" s="32">
        <f t="shared" ref="K109:K112" si="56">IF(ISNUMBER(J109), (J109 - $B109) / $B109, "")</f>
        <v>-3.9131676663810337E-2</v>
      </c>
      <c r="L109" s="18">
        <f>IF(ISNUMBER(J109), $B118 * K109, "")</f>
        <v>-5869.751499571551</v>
      </c>
      <c r="M109" s="31">
        <v>1682000</v>
      </c>
      <c r="N109" s="32">
        <f t="shared" ref="N109:N112" si="57">IF(ISNUMBER(M109), (M109 - $B109) / $B109, "")</f>
        <v>-3.9131676663810337E-2</v>
      </c>
      <c r="O109" s="18">
        <f>IF(ISNUMBER(M109), $B118 * N109, "")</f>
        <v>-5869.751499571551</v>
      </c>
      <c r="Q109" s="176"/>
      <c r="R109" s="177"/>
      <c r="S109" s="178"/>
    </row>
    <row r="110" spans="1:19" ht="17.25" thickBot="1">
      <c r="A110" s="109" t="s">
        <v>165</v>
      </c>
      <c r="B110" s="110">
        <v>997</v>
      </c>
      <c r="C110" s="70">
        <v>1.63098879E-2</v>
      </c>
      <c r="D110" s="15">
        <v>975</v>
      </c>
      <c r="E110" s="32">
        <f t="shared" si="54"/>
        <v>-2.2066198595787363E-2</v>
      </c>
      <c r="F110" s="18">
        <f>IF(ISNUMBER(D110), $B118 * E110, "")</f>
        <v>-3309.9297893681046</v>
      </c>
      <c r="G110" s="31">
        <v>975</v>
      </c>
      <c r="H110" s="32">
        <f t="shared" si="55"/>
        <v>-2.2066198595787363E-2</v>
      </c>
      <c r="I110" s="91">
        <f>IF(ISNUMBER(G110), $B118 * H110, "")</f>
        <v>-3309.9297893681046</v>
      </c>
      <c r="J110" s="15">
        <v>975</v>
      </c>
      <c r="K110" s="32">
        <f t="shared" si="56"/>
        <v>-2.2066198595787363E-2</v>
      </c>
      <c r="L110" s="18">
        <f>IF(ISNUMBER(J110), $B118 * K110, "")</f>
        <v>-3309.9297893681046</v>
      </c>
      <c r="M110" s="31">
        <v>975</v>
      </c>
      <c r="N110" s="32">
        <f t="shared" si="57"/>
        <v>-2.2066198595787363E-2</v>
      </c>
      <c r="O110" s="18">
        <f>IF(ISNUMBER(M110), $B118 * N110, "")</f>
        <v>-3309.9297893681046</v>
      </c>
      <c r="Q110" s="161"/>
      <c r="R110" s="161"/>
      <c r="S110" s="161"/>
    </row>
    <row r="111" spans="1:19" ht="17.25" thickBot="1">
      <c r="A111" s="109" t="s">
        <v>103</v>
      </c>
      <c r="B111" s="110">
        <v>256</v>
      </c>
      <c r="C111" s="70">
        <v>1.5873015899999999E-2</v>
      </c>
      <c r="D111" s="15">
        <v>251</v>
      </c>
      <c r="E111" s="32">
        <f t="shared" si="54"/>
        <v>-1.953125E-2</v>
      </c>
      <c r="F111" s="18">
        <f>IF(ISNUMBER(D111), $B118 * E111, "")</f>
        <v>-2929.6875</v>
      </c>
      <c r="G111" s="31">
        <v>251</v>
      </c>
      <c r="H111" s="32">
        <f t="shared" si="55"/>
        <v>-1.953125E-2</v>
      </c>
      <c r="I111" s="91">
        <f>IF(ISNUMBER(G111), $B118 * H111, "")</f>
        <v>-2929.6875</v>
      </c>
      <c r="J111" s="15">
        <v>251</v>
      </c>
      <c r="K111" s="32">
        <f t="shared" si="56"/>
        <v>-1.953125E-2</v>
      </c>
      <c r="L111" s="18">
        <f>IF(ISNUMBER(J111), $B118 * K111, "")</f>
        <v>-2929.6875</v>
      </c>
      <c r="M111" s="31">
        <v>251</v>
      </c>
      <c r="N111" s="32">
        <f t="shared" si="57"/>
        <v>-1.953125E-2</v>
      </c>
      <c r="O111" s="18">
        <f>IF(ISNUMBER(M111), $B118 * N111, "")</f>
        <v>-2929.6875</v>
      </c>
      <c r="Q111" s="156"/>
      <c r="R111" s="156"/>
      <c r="S111" s="156"/>
    </row>
    <row r="112" spans="1:19" ht="17.25" thickBot="1">
      <c r="A112" s="111" t="s">
        <v>62</v>
      </c>
      <c r="B112" s="112">
        <v>10390</v>
      </c>
      <c r="C112" s="71">
        <v>1.36585366E-2</v>
      </c>
      <c r="D112" s="20">
        <v>10160</v>
      </c>
      <c r="E112" s="21">
        <f t="shared" si="54"/>
        <v>-2.2136669874879691E-2</v>
      </c>
      <c r="F112" s="22">
        <f>IF(ISNUMBER(D112), $B118 * E112, "")</f>
        <v>-3320.5004812319535</v>
      </c>
      <c r="G112" s="30">
        <v>10160</v>
      </c>
      <c r="H112" s="21">
        <f t="shared" si="55"/>
        <v>-2.2136669874879691E-2</v>
      </c>
      <c r="I112" s="95">
        <f>IF(ISNUMBER(G112), $B118 * H112, "")</f>
        <v>-3320.5004812319535</v>
      </c>
      <c r="J112" s="20">
        <v>10160</v>
      </c>
      <c r="K112" s="21">
        <f t="shared" si="56"/>
        <v>-2.2136669874879691E-2</v>
      </c>
      <c r="L112" s="22">
        <f>IF(ISNUMBER(J112), $B118 * K112, "")</f>
        <v>-3320.5004812319535</v>
      </c>
      <c r="M112" s="30">
        <v>10160</v>
      </c>
      <c r="N112" s="21">
        <f t="shared" si="57"/>
        <v>-2.2136669874879691E-2</v>
      </c>
      <c r="O112" s="22">
        <f>IF(ISNUMBER(M112), $B118 * N112, "")</f>
        <v>-3320.5004812319535</v>
      </c>
      <c r="Q112" s="156"/>
      <c r="R112" s="156"/>
      <c r="S112" s="156"/>
    </row>
    <row r="113" spans="1:19" ht="17.25" thickBot="1">
      <c r="A113" s="109" t="s">
        <v>73</v>
      </c>
      <c r="B113" s="113">
        <v>12890</v>
      </c>
      <c r="C113" s="73">
        <v>1.33647799E-2</v>
      </c>
      <c r="D113" s="96">
        <v>12680</v>
      </c>
      <c r="E113" s="97">
        <f>IF(ISNUMBER(D113), (D113 - $B113) / $B113, "")</f>
        <v>-1.6291698991466253E-2</v>
      </c>
      <c r="F113" s="98">
        <f>IF(ISNUMBER(D113), $B118 * E113, "")</f>
        <v>-2443.7548487199379</v>
      </c>
      <c r="G113" s="99">
        <v>12680</v>
      </c>
      <c r="H113" s="97">
        <f>IF(ISNUMBER(G113), (G113 - $B113) / $B113, "")</f>
        <v>-1.6291698991466253E-2</v>
      </c>
      <c r="I113" s="100">
        <f>IF(ISNUMBER(G113), $B118 * H113, "")</f>
        <v>-2443.7548487199379</v>
      </c>
      <c r="J113" s="96">
        <v>12680</v>
      </c>
      <c r="K113" s="97">
        <f>IF(ISNUMBER(J113), (J113 - $B113) / $B113, "")</f>
        <v>-1.6291698991466253E-2</v>
      </c>
      <c r="L113" s="98">
        <f>IF(ISNUMBER(J113), $B118 * K113, "")</f>
        <v>-2443.7548487199379</v>
      </c>
      <c r="M113" s="99">
        <v>12680</v>
      </c>
      <c r="N113" s="97">
        <f>IF(ISNUMBER(M113), (M113 - $B113) / $B113, "")</f>
        <v>-1.6291698991466253E-2</v>
      </c>
      <c r="O113" s="98">
        <f>IF(ISNUMBER(M113), $B118 * N113, "")</f>
        <v>-2443.7548487199379</v>
      </c>
      <c r="Q113" s="161"/>
      <c r="R113" s="161"/>
      <c r="S113" s="161"/>
    </row>
    <row r="114" spans="1:19" ht="17.25" thickBot="1">
      <c r="A114" s="109" t="s">
        <v>344</v>
      </c>
      <c r="B114" s="110">
        <v>6100</v>
      </c>
      <c r="C114" s="70">
        <v>1.32890365E-2</v>
      </c>
      <c r="D114" s="15">
        <v>6215</v>
      </c>
      <c r="E114" s="32">
        <f t="shared" ref="E114:E117" si="58">IF(ISNUMBER(D114), (D114 - $B114) / $B114, "")</f>
        <v>1.8852459016393444E-2</v>
      </c>
      <c r="F114" s="18">
        <f>IF(ISNUMBER(D114), $B118 * E114, "")</f>
        <v>2827.8688524590166</v>
      </c>
      <c r="G114" s="31">
        <v>6215</v>
      </c>
      <c r="H114" s="32">
        <f t="shared" ref="H114:H117" si="59">IF(ISNUMBER(G114), (G114 - $B114) / $B114, "")</f>
        <v>1.8852459016393444E-2</v>
      </c>
      <c r="I114" s="91">
        <f>IF(ISNUMBER(G114), $B118 * H114, "")</f>
        <v>2827.8688524590166</v>
      </c>
      <c r="J114" s="15">
        <v>6215</v>
      </c>
      <c r="K114" s="32">
        <f t="shared" ref="K114:K117" si="60">IF(ISNUMBER(J114), (J114 - $B114) / $B114, "")</f>
        <v>1.8852459016393444E-2</v>
      </c>
      <c r="L114" s="18">
        <f>IF(ISNUMBER(J114), $B118 * K114, "")</f>
        <v>2827.8688524590166</v>
      </c>
      <c r="M114" s="31">
        <v>6215</v>
      </c>
      <c r="N114" s="32">
        <f t="shared" ref="N114:N117" si="61">IF(ISNUMBER(M114), (M114 - $B114) / $B114, "")</f>
        <v>1.8852459016393444E-2</v>
      </c>
      <c r="O114" s="18">
        <f>IF(ISNUMBER(M114), $B118 * N114, "")</f>
        <v>2827.8688524590166</v>
      </c>
      <c r="Q114" s="161"/>
      <c r="R114" s="161"/>
      <c r="S114" s="161"/>
    </row>
    <row r="115" spans="1:19" ht="17.25" thickBot="1">
      <c r="A115" s="109" t="s">
        <v>134</v>
      </c>
      <c r="B115" s="110">
        <v>1555</v>
      </c>
      <c r="C115" s="70">
        <v>1.3029316000000001E-2</v>
      </c>
      <c r="D115" s="15">
        <v>1525</v>
      </c>
      <c r="E115" s="32">
        <f t="shared" si="58"/>
        <v>-1.9292604501607719E-2</v>
      </c>
      <c r="F115" s="18">
        <f>IF(ISNUMBER(D115), $B118 * E115, "")</f>
        <v>-2893.8906752411576</v>
      </c>
      <c r="G115" s="31">
        <v>1525</v>
      </c>
      <c r="H115" s="32">
        <f t="shared" si="59"/>
        <v>-1.9292604501607719E-2</v>
      </c>
      <c r="I115" s="91">
        <f>IF(ISNUMBER(G115), $B118 * H115, "")</f>
        <v>-2893.8906752411576</v>
      </c>
      <c r="J115" s="15">
        <v>1525</v>
      </c>
      <c r="K115" s="32">
        <f t="shared" si="60"/>
        <v>-1.9292604501607719E-2</v>
      </c>
      <c r="L115" s="18">
        <f>IF(ISNUMBER(J115), $B118 * K115, "")</f>
        <v>-2893.8906752411576</v>
      </c>
      <c r="M115" s="31">
        <v>1525</v>
      </c>
      <c r="N115" s="32">
        <f t="shared" si="61"/>
        <v>-1.9292604501607719E-2</v>
      </c>
      <c r="O115" s="18">
        <f>IF(ISNUMBER(M115), $B118 * N115, "")</f>
        <v>-2893.8906752411576</v>
      </c>
      <c r="Q115" s="161"/>
      <c r="R115" s="161"/>
      <c r="S115" s="161"/>
    </row>
    <row r="116" spans="1:19">
      <c r="A116" s="109" t="s">
        <v>226</v>
      </c>
      <c r="B116" s="110">
        <v>236</v>
      </c>
      <c r="C116" s="70">
        <v>1.28755365E-2</v>
      </c>
      <c r="D116" s="15">
        <v>228</v>
      </c>
      <c r="E116" s="32">
        <f t="shared" si="58"/>
        <v>-3.3898305084745763E-2</v>
      </c>
      <c r="F116" s="18">
        <f>IF(ISNUMBER(D116), $B118 * E116, "")</f>
        <v>-5084.7457627118647</v>
      </c>
      <c r="G116" s="31">
        <v>228</v>
      </c>
      <c r="H116" s="32">
        <f t="shared" si="59"/>
        <v>-3.3898305084745763E-2</v>
      </c>
      <c r="I116" s="91">
        <f>IF(ISNUMBER(G116), $B118 * H116, "")</f>
        <v>-5084.7457627118647</v>
      </c>
      <c r="J116" s="15">
        <v>228</v>
      </c>
      <c r="K116" s="32">
        <f t="shared" si="60"/>
        <v>-3.3898305084745763E-2</v>
      </c>
      <c r="L116" s="18">
        <f>IF(ISNUMBER(J116), $B118 * K116, "")</f>
        <v>-5084.7457627118647</v>
      </c>
      <c r="M116" s="31">
        <v>228</v>
      </c>
      <c r="N116" s="32">
        <f t="shared" si="61"/>
        <v>-3.3898305084745763E-2</v>
      </c>
      <c r="O116" s="18">
        <f>IF(ISNUMBER(M116), $B118 * N116, "")</f>
        <v>-5084.7457627118647</v>
      </c>
      <c r="Q116" s="183"/>
      <c r="R116" s="184"/>
      <c r="S116" s="185"/>
    </row>
    <row r="117" spans="1:19" ht="17.25" thickBot="1">
      <c r="A117" s="114" t="s">
        <v>324</v>
      </c>
      <c r="B117" s="115">
        <v>1220</v>
      </c>
      <c r="C117" s="72">
        <v>1.2448132799999999E-2</v>
      </c>
      <c r="D117" s="24">
        <v>1170</v>
      </c>
      <c r="E117" s="25">
        <f t="shared" si="58"/>
        <v>-4.0983606557377046E-2</v>
      </c>
      <c r="F117" s="94">
        <f>IF(ISNUMBER(D117), $B118 * E117, "")</f>
        <v>-6147.5409836065573</v>
      </c>
      <c r="G117" s="92">
        <v>1170</v>
      </c>
      <c r="H117" s="25">
        <f t="shared" si="59"/>
        <v>-4.0983606557377046E-2</v>
      </c>
      <c r="I117" s="93">
        <f>IF(ISNUMBER(G117), $B118 * H117, "")</f>
        <v>-6147.5409836065573</v>
      </c>
      <c r="J117" s="24">
        <v>1170</v>
      </c>
      <c r="K117" s="25">
        <f t="shared" si="60"/>
        <v>-4.0983606557377046E-2</v>
      </c>
      <c r="L117" s="94">
        <f>IF(ISNUMBER(J117), $B118 * K117, "")</f>
        <v>-6147.5409836065573</v>
      </c>
      <c r="M117" s="92">
        <v>1170</v>
      </c>
      <c r="N117" s="25">
        <f t="shared" si="61"/>
        <v>-4.0983606557377046E-2</v>
      </c>
      <c r="O117" s="94">
        <f>IF(ISNUMBER(M117), $B118 * N117, "")</f>
        <v>-6147.5409836065573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-2.4647326376186048E-2</v>
      </c>
      <c r="F118" s="28">
        <f>SUM(F98:F117)</f>
        <v>-73941.97912855813</v>
      </c>
      <c r="G118" s="26" t="s">
        <v>261</v>
      </c>
      <c r="H118" s="27">
        <f>IF(COUNT(H98:H117), SUM(H98:H117) / COUNT(H98:H117), 0)</f>
        <v>-2.4647326376186048E-2</v>
      </c>
      <c r="I118" s="28">
        <f>SUM(I98:I117)</f>
        <v>-73941.97912855813</v>
      </c>
      <c r="J118" s="26" t="s">
        <v>261</v>
      </c>
      <c r="K118" s="27">
        <f>IF(COUNT(K98:K117), SUM(K98:K117) / COUNT(K98:K117), 0)</f>
        <v>-2.4647326376186048E-2</v>
      </c>
      <c r="L118" s="28">
        <f>SUM(L98:L117)</f>
        <v>-73941.97912855813</v>
      </c>
      <c r="M118" s="26" t="s">
        <v>261</v>
      </c>
      <c r="N118" s="27">
        <f>IF(COUNT(N98:N117), SUM(N98:N117) / COUNT(N98:N117), 0)</f>
        <v>-2.4647326376186048E-2</v>
      </c>
      <c r="O118" s="28">
        <f>SUM(O98:O117)</f>
        <v>-73941.97912855813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2022-12-15(목) 오전 00:00</v>
      </c>
      <c r="C123" s="199"/>
      <c r="D123" s="158" t="str">
        <f>TEXT($G$1, "[$-ko-KR]yyyy-mm-dd(ddd) ") &amp; "오후 14:00"</f>
        <v>2022-12-15(목) 오후 14:00</v>
      </c>
      <c r="E123" s="159"/>
      <c r="F123" s="160"/>
      <c r="G123" s="158" t="str">
        <f>TEXT($G$1, "[$-ko-KR]yyyy-mm-dd(ddd) ") &amp; "오후 19:00"</f>
        <v>2022-12-15(목) 오후 19:00</v>
      </c>
      <c r="H123" s="159"/>
      <c r="I123" s="160"/>
      <c r="J123" s="158" t="str">
        <f>TEXT($G$1, "[$-ko-KR]yyyy-mm-dd(ddd) ") &amp; "오후 21:00"</f>
        <v>2022-12-15(목) 오후 21:00</v>
      </c>
      <c r="K123" s="159"/>
      <c r="L123" s="160"/>
      <c r="M123" s="158" t="str">
        <f>TEXT($G$1+1, "[$-ko-KR]yyyy-mm-dd(ddd) ") &amp; "오전 00:00"</f>
        <v>2022-12-16(금)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228</v>
      </c>
      <c r="B125" s="108">
        <v>63.8</v>
      </c>
      <c r="C125" s="69">
        <v>-4.6801871999999998E-3</v>
      </c>
      <c r="D125" s="13">
        <v>64</v>
      </c>
      <c r="E125" s="14">
        <f>IF(ISNUMBER(D125), (D125 - $B125) / $B125, "")</f>
        <v>3.1347962382445587E-3</v>
      </c>
      <c r="F125" s="16">
        <f>IF(ISNUMBER(D125), $B145 * E125, "")</f>
        <v>470.21943573668381</v>
      </c>
      <c r="G125" s="29">
        <v>64</v>
      </c>
      <c r="H125" s="14">
        <f>IF(ISNUMBER(G125), (G125 - $B125) / $B125, "")</f>
        <v>3.1347962382445587E-3</v>
      </c>
      <c r="I125" s="90">
        <f>IF(ISNUMBER(G125), $B145 * H125, "")</f>
        <v>470.21943573668381</v>
      </c>
      <c r="J125" s="13">
        <v>64</v>
      </c>
      <c r="K125" s="14">
        <f>IF(ISNUMBER(J125), (J125 - $B125) / $B125, "")</f>
        <v>3.1347962382445587E-3</v>
      </c>
      <c r="L125" s="16">
        <f>IF(ISNUMBER(J125), $B145 * K125, "")</f>
        <v>470.21943573668381</v>
      </c>
      <c r="M125" s="29">
        <v>64</v>
      </c>
      <c r="N125" s="14">
        <f>IF(ISNUMBER(M125), (M125 - $B125) / $B125, "")</f>
        <v>3.1347962382445587E-3</v>
      </c>
      <c r="O125" s="16">
        <f>IF(ISNUMBER(M125), $B145 * N125, "")</f>
        <v>470.21943573668381</v>
      </c>
      <c r="Q125" s="156"/>
      <c r="R125" s="156"/>
      <c r="S125" s="156"/>
    </row>
    <row r="126" spans="1:19" ht="17.25" thickBot="1">
      <c r="A126" s="109" t="s">
        <v>224</v>
      </c>
      <c r="B126" s="110">
        <v>20.9</v>
      </c>
      <c r="C126" s="70">
        <v>-4.7619048000000002E-3</v>
      </c>
      <c r="D126" s="15">
        <v>20.5</v>
      </c>
      <c r="E126" s="32">
        <f t="shared" ref="E126:E129" si="62">IF(ISNUMBER(D126), (D126 - $B126) / $B126, "")</f>
        <v>-1.9138755980861177E-2</v>
      </c>
      <c r="F126" s="18">
        <f>IF(ISNUMBER(D126), $B145 * E126, "")</f>
        <v>-2870.8133971291768</v>
      </c>
      <c r="G126" s="31">
        <v>20.5</v>
      </c>
      <c r="H126" s="32">
        <f t="shared" ref="H126:H129" si="63">IF(ISNUMBER(G126), (G126 - $B126) / $B126, "")</f>
        <v>-1.9138755980861177E-2</v>
      </c>
      <c r="I126" s="91">
        <f>IF(ISNUMBER(G126), $B145 * H126, "")</f>
        <v>-2870.8133971291768</v>
      </c>
      <c r="J126" s="15">
        <v>20.5</v>
      </c>
      <c r="K126" s="32">
        <f t="shared" ref="K126:K129" si="64">IF(ISNUMBER(J126), (J126 - $B126) / $B126, "")</f>
        <v>-1.9138755980861177E-2</v>
      </c>
      <c r="L126" s="18">
        <f>IF(ISNUMBER(J126), $B145 * K126, "")</f>
        <v>-2870.8133971291768</v>
      </c>
      <c r="M126" s="31">
        <v>20.5</v>
      </c>
      <c r="N126" s="32">
        <f t="shared" ref="N126:N129" si="65">IF(ISNUMBER(M126), (M126 - $B126) / $B126, "")</f>
        <v>-1.9138755980861177E-2</v>
      </c>
      <c r="O126" s="18">
        <f>IF(ISNUMBER(M126), $B145 * N126, "")</f>
        <v>-2870.8133971291768</v>
      </c>
      <c r="Q126" s="156"/>
      <c r="R126" s="156"/>
      <c r="S126" s="156"/>
    </row>
    <row r="127" spans="1:19" ht="17.25" thickBot="1">
      <c r="A127" s="109" t="s">
        <v>230</v>
      </c>
      <c r="B127" s="110">
        <v>41.4</v>
      </c>
      <c r="C127" s="70">
        <v>-4.8076923000000002E-3</v>
      </c>
      <c r="D127" s="15">
        <v>40.200000000000003</v>
      </c>
      <c r="E127" s="32">
        <f t="shared" si="62"/>
        <v>-2.8985507246376711E-2</v>
      </c>
      <c r="F127" s="18">
        <f>IF(ISNUMBER(D127), $B145 * E127, "")</f>
        <v>-4347.8260869565065</v>
      </c>
      <c r="G127" s="31">
        <v>40.200000000000003</v>
      </c>
      <c r="H127" s="32">
        <f t="shared" si="63"/>
        <v>-2.8985507246376711E-2</v>
      </c>
      <c r="I127" s="91">
        <f>IF(ISNUMBER(G127), $B145 * H127, "")</f>
        <v>-4347.8260869565065</v>
      </c>
      <c r="J127" s="15">
        <v>40.200000000000003</v>
      </c>
      <c r="K127" s="32">
        <f t="shared" si="64"/>
        <v>-2.8985507246376711E-2</v>
      </c>
      <c r="L127" s="18">
        <f>IF(ISNUMBER(J127), $B145 * K127, "")</f>
        <v>-4347.8260869565065</v>
      </c>
      <c r="M127" s="31">
        <v>40.200000000000003</v>
      </c>
      <c r="N127" s="32">
        <f t="shared" si="65"/>
        <v>-2.8985507246376711E-2</v>
      </c>
      <c r="O127" s="18">
        <f>IF(ISNUMBER(M127), $B145 * N127, "")</f>
        <v>-4347.8260869565065</v>
      </c>
      <c r="Q127" s="161"/>
      <c r="R127" s="161"/>
      <c r="S127" s="161"/>
    </row>
    <row r="128" spans="1:19" ht="17.25" thickBot="1">
      <c r="A128" s="109" t="s">
        <v>193</v>
      </c>
      <c r="B128" s="110">
        <v>19.399999999999999</v>
      </c>
      <c r="C128" s="70">
        <v>-5.1282050999999999E-3</v>
      </c>
      <c r="D128" s="15">
        <v>19</v>
      </c>
      <c r="E128" s="32">
        <f t="shared" si="62"/>
        <v>-2.0618556701030855E-2</v>
      </c>
      <c r="F128" s="18">
        <f>IF(ISNUMBER(D128), $B145 * E128, "")</f>
        <v>-3092.7835051546281</v>
      </c>
      <c r="G128" s="31">
        <v>19</v>
      </c>
      <c r="H128" s="32">
        <f t="shared" si="63"/>
        <v>-2.0618556701030855E-2</v>
      </c>
      <c r="I128" s="91">
        <f>IF(ISNUMBER(G128), $B145 * H128, "")</f>
        <v>-3092.7835051546281</v>
      </c>
      <c r="J128" s="15">
        <v>19</v>
      </c>
      <c r="K128" s="32">
        <f t="shared" si="64"/>
        <v>-2.0618556701030855E-2</v>
      </c>
      <c r="L128" s="18">
        <f>IF(ISNUMBER(J128), $B145 * K128, "")</f>
        <v>-3092.7835051546281</v>
      </c>
      <c r="M128" s="31">
        <v>19</v>
      </c>
      <c r="N128" s="32">
        <f t="shared" si="65"/>
        <v>-2.0618556701030855E-2</v>
      </c>
      <c r="O128" s="18">
        <f>IF(ISNUMBER(M128), $B145 * N128, "")</f>
        <v>-3092.7835051546281</v>
      </c>
      <c r="Q128" s="161"/>
      <c r="R128" s="161"/>
      <c r="S128" s="161"/>
    </row>
    <row r="129" spans="1:19" ht="17.25" thickBot="1">
      <c r="A129" s="111" t="s">
        <v>132</v>
      </c>
      <c r="B129" s="112">
        <v>55.8</v>
      </c>
      <c r="C129" s="71">
        <v>-5.3475935999999996E-3</v>
      </c>
      <c r="D129" s="20">
        <v>54.7</v>
      </c>
      <c r="E129" s="21">
        <f t="shared" si="62"/>
        <v>-1.9713261648745418E-2</v>
      </c>
      <c r="F129" s="22">
        <f>IF(ISNUMBER(D129), $B145 * E129, "")</f>
        <v>-2956.9892473118125</v>
      </c>
      <c r="G129" s="30">
        <v>54.7</v>
      </c>
      <c r="H129" s="21">
        <f t="shared" si="63"/>
        <v>-1.9713261648745418E-2</v>
      </c>
      <c r="I129" s="95">
        <f>IF(ISNUMBER(G129), $B145 * H129, "")</f>
        <v>-2956.9892473118125</v>
      </c>
      <c r="J129" s="20">
        <v>54.7</v>
      </c>
      <c r="K129" s="21">
        <f t="shared" si="64"/>
        <v>-1.9713261648745418E-2</v>
      </c>
      <c r="L129" s="22">
        <f>IF(ISNUMBER(J129), $B145 * K129, "")</f>
        <v>-2956.9892473118125</v>
      </c>
      <c r="M129" s="30">
        <v>54.7</v>
      </c>
      <c r="N129" s="21">
        <f t="shared" si="65"/>
        <v>-1.9713261648745418E-2</v>
      </c>
      <c r="O129" s="22">
        <f>IF(ISNUMBER(M129), $B145 * N129, "")</f>
        <v>-2956.9892473118125</v>
      </c>
      <c r="Q129" s="161"/>
      <c r="R129" s="161"/>
      <c r="S129" s="161"/>
    </row>
    <row r="130" spans="1:19" ht="17.25" thickBot="1">
      <c r="A130" s="109" t="s">
        <v>118</v>
      </c>
      <c r="B130" s="113">
        <v>6.65</v>
      </c>
      <c r="C130" s="73">
        <v>-5.9790731999999997E-3</v>
      </c>
      <c r="D130" s="96">
        <v>6.49</v>
      </c>
      <c r="E130" s="97">
        <f>IF(ISNUMBER(D130), (D130 - $B130) / $B130, "")</f>
        <v>-2.4060150375939868E-2</v>
      </c>
      <c r="F130" s="98">
        <f>IF(ISNUMBER(D130), $B145 * E130, "")</f>
        <v>-3609.0225563909803</v>
      </c>
      <c r="G130" s="99">
        <v>6.49</v>
      </c>
      <c r="H130" s="97">
        <f>IF(ISNUMBER(G130), (G130 - $B130) / $B130, "")</f>
        <v>-2.4060150375939868E-2</v>
      </c>
      <c r="I130" s="100">
        <f>IF(ISNUMBER(G130), $B145 * H130, "")</f>
        <v>-3609.0225563909803</v>
      </c>
      <c r="J130" s="96">
        <v>6.49</v>
      </c>
      <c r="K130" s="97">
        <f>IF(ISNUMBER(J130), (J130 - $B130) / $B130, "")</f>
        <v>-2.4060150375939868E-2</v>
      </c>
      <c r="L130" s="98">
        <f>IF(ISNUMBER(J130), $B145 * K130, "")</f>
        <v>-3609.0225563909803</v>
      </c>
      <c r="M130" s="99">
        <v>6.49</v>
      </c>
      <c r="N130" s="97">
        <f>IF(ISNUMBER(M130), (M130 - $B130) / $B130, "")</f>
        <v>-2.4060150375939868E-2</v>
      </c>
      <c r="O130" s="98">
        <f>IF(ISNUMBER(M130), $B145 * N130, "")</f>
        <v>-3609.0225563909803</v>
      </c>
      <c r="Q130" s="161"/>
      <c r="R130" s="161"/>
      <c r="S130" s="161"/>
    </row>
    <row r="131" spans="1:19" ht="17.25" thickBot="1">
      <c r="A131" s="109" t="s">
        <v>155</v>
      </c>
      <c r="B131" s="110">
        <v>30.7</v>
      </c>
      <c r="C131" s="70">
        <v>-6.4724919000000002E-3</v>
      </c>
      <c r="D131" s="15">
        <v>29.8</v>
      </c>
      <c r="E131" s="32">
        <f t="shared" ref="E131:E134" si="66">IF(ISNUMBER(D131), (D131 - $B131) / $B131, "")</f>
        <v>-2.9315960912052071E-2</v>
      </c>
      <c r="F131" s="18">
        <f>IF(ISNUMBER(D131), $B145 * E131, "")</f>
        <v>-4397.3941368078104</v>
      </c>
      <c r="G131" s="31">
        <v>29.8</v>
      </c>
      <c r="H131" s="32">
        <f t="shared" ref="H131:H134" si="67">IF(ISNUMBER(G131), (G131 - $B131) / $B131, "")</f>
        <v>-2.9315960912052071E-2</v>
      </c>
      <c r="I131" s="91">
        <f>IF(ISNUMBER(G131), $B145 * H131, "")</f>
        <v>-4397.3941368078104</v>
      </c>
      <c r="J131" s="15">
        <v>29.8</v>
      </c>
      <c r="K131" s="32">
        <f t="shared" ref="K131:K134" si="68">IF(ISNUMBER(J131), (J131 - $B131) / $B131, "")</f>
        <v>-2.9315960912052071E-2</v>
      </c>
      <c r="L131" s="18">
        <f>IF(ISNUMBER(J131), $B145 * K131, "")</f>
        <v>-4397.3941368078104</v>
      </c>
      <c r="M131" s="31">
        <v>29.8</v>
      </c>
      <c r="N131" s="32">
        <f t="shared" ref="N131:N134" si="69">IF(ISNUMBER(M131), (M131 - $B131) / $B131, "")</f>
        <v>-2.9315960912052071E-2</v>
      </c>
      <c r="O131" s="18">
        <f>IF(ISNUMBER(M131), $B145 * N131, "")</f>
        <v>-4397.3941368078104</v>
      </c>
      <c r="Q131" s="161"/>
      <c r="R131" s="161"/>
      <c r="S131" s="161"/>
    </row>
    <row r="132" spans="1:19" ht="17.25" thickBot="1">
      <c r="A132" s="109" t="s">
        <v>56</v>
      </c>
      <c r="B132" s="110">
        <v>44.1</v>
      </c>
      <c r="C132" s="70">
        <v>-6.7567568000000003E-3</v>
      </c>
      <c r="D132" s="15">
        <v>44.2</v>
      </c>
      <c r="E132" s="32">
        <f t="shared" si="66"/>
        <v>2.2675736961451569E-3</v>
      </c>
      <c r="F132" s="18">
        <f>IF(ISNUMBER(D132), $B145 * E132, "")</f>
        <v>340.13605442177351</v>
      </c>
      <c r="G132" s="31">
        <v>44.2</v>
      </c>
      <c r="H132" s="32">
        <f t="shared" si="67"/>
        <v>2.2675736961451569E-3</v>
      </c>
      <c r="I132" s="91">
        <f>IF(ISNUMBER(G132), $B145 * H132, "")</f>
        <v>340.13605442177351</v>
      </c>
      <c r="J132" s="15">
        <v>44.2</v>
      </c>
      <c r="K132" s="32">
        <f t="shared" si="68"/>
        <v>2.2675736961451569E-3</v>
      </c>
      <c r="L132" s="18">
        <f>IF(ISNUMBER(J132), $B145 * K132, "")</f>
        <v>340.13605442177351</v>
      </c>
      <c r="M132" s="31">
        <v>44.2</v>
      </c>
      <c r="N132" s="32">
        <f t="shared" si="69"/>
        <v>2.2675736961451569E-3</v>
      </c>
      <c r="O132" s="18">
        <f>IF(ISNUMBER(M132), $B145 * N132, "")</f>
        <v>340.13605442177351</v>
      </c>
      <c r="Q132" s="161"/>
      <c r="R132" s="161"/>
      <c r="S132" s="161"/>
    </row>
    <row r="133" spans="1:19" ht="17.25" thickBot="1">
      <c r="A133" s="109" t="s">
        <v>107</v>
      </c>
      <c r="B133" s="110">
        <v>39.4</v>
      </c>
      <c r="C133" s="70">
        <v>-7.5566751000000001E-3</v>
      </c>
      <c r="D133" s="15">
        <v>39.799999999999997</v>
      </c>
      <c r="E133" s="32">
        <f t="shared" si="66"/>
        <v>1.0152284263959355E-2</v>
      </c>
      <c r="F133" s="18">
        <f>IF(ISNUMBER(D133), $B145 * E133, "")</f>
        <v>1522.8426395939034</v>
      </c>
      <c r="G133" s="31">
        <v>39.799999999999997</v>
      </c>
      <c r="H133" s="32">
        <f t="shared" si="67"/>
        <v>1.0152284263959355E-2</v>
      </c>
      <c r="I133" s="91">
        <f>IF(ISNUMBER(G133), $B145 * H133, "")</f>
        <v>1522.8426395939034</v>
      </c>
      <c r="J133" s="15">
        <v>39.799999999999997</v>
      </c>
      <c r="K133" s="32">
        <f t="shared" si="68"/>
        <v>1.0152284263959355E-2</v>
      </c>
      <c r="L133" s="18">
        <f>IF(ISNUMBER(J133), $B145 * K133, "")</f>
        <v>1522.8426395939034</v>
      </c>
      <c r="M133" s="31">
        <v>39.799999999999997</v>
      </c>
      <c r="N133" s="32">
        <f t="shared" si="69"/>
        <v>1.0152284263959355E-2</v>
      </c>
      <c r="O133" s="18">
        <f>IF(ISNUMBER(M133), $B145 * N133, "")</f>
        <v>1522.8426395939034</v>
      </c>
      <c r="Q133" s="33"/>
      <c r="R133" s="33"/>
    </row>
    <row r="134" spans="1:19" ht="17.25" thickBot="1">
      <c r="A134" s="114" t="s">
        <v>335</v>
      </c>
      <c r="B134" s="115">
        <v>3.7999999999999999E-2</v>
      </c>
      <c r="C134" s="72">
        <v>-7.8328982000000005E-3</v>
      </c>
      <c r="D134" s="24">
        <v>3.7400000000000003E-2</v>
      </c>
      <c r="E134" s="25">
        <f t="shared" si="66"/>
        <v>-1.578947368421043E-2</v>
      </c>
      <c r="F134" s="94">
        <f>IF(ISNUMBER(D134), $B145 * E134, "")</f>
        <v>-2368.4210526315646</v>
      </c>
      <c r="G134" s="92">
        <v>3.7400000000000003E-2</v>
      </c>
      <c r="H134" s="25">
        <f t="shared" si="67"/>
        <v>-1.578947368421043E-2</v>
      </c>
      <c r="I134" s="93">
        <f>IF(ISNUMBER(G134), $B145 * H134, "")</f>
        <v>-2368.4210526315646</v>
      </c>
      <c r="J134" s="24">
        <v>3.7400000000000003E-2</v>
      </c>
      <c r="K134" s="25">
        <f t="shared" si="68"/>
        <v>-1.578947368421043E-2</v>
      </c>
      <c r="L134" s="94">
        <f>IF(ISNUMBER(J134), $B145 * K134, "")</f>
        <v>-2368.4210526315646</v>
      </c>
      <c r="M134" s="92">
        <v>3.7400000000000003E-2</v>
      </c>
      <c r="N134" s="25">
        <f t="shared" si="69"/>
        <v>-1.578947368421043E-2</v>
      </c>
      <c r="O134" s="94">
        <f>IF(ISNUMBER(M134), $B145 * N134, "")</f>
        <v>-2368.4210526315646</v>
      </c>
      <c r="Q134" s="170"/>
      <c r="R134" s="171"/>
      <c r="S134" s="172"/>
    </row>
    <row r="135" spans="1:19">
      <c r="A135" s="107" t="s">
        <v>326</v>
      </c>
      <c r="B135" s="108">
        <v>24.1</v>
      </c>
      <c r="C135" s="69">
        <v>-8.2304526999999999E-3</v>
      </c>
      <c r="D135" s="13">
        <v>23.6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23.6</v>
      </c>
      <c r="H135" s="14">
        <f>IF(ISNUMBER(G135), (G135 - $B135) / $B135, "")</f>
        <v>-2.0746887966804978E-2</v>
      </c>
      <c r="I135" s="90">
        <f>IF(ISNUMBER(G135), $B145 * H135, "")</f>
        <v>-3112.0331950207469</v>
      </c>
      <c r="J135" s="13">
        <v>23.6</v>
      </c>
      <c r="K135" s="14">
        <f>IF(ISNUMBER(J135), (J135 - $B135) / $B135, "")</f>
        <v>-2.0746887966804978E-2</v>
      </c>
      <c r="L135" s="16">
        <f>IF(ISNUMBER(J135), $B145 * K135, "")</f>
        <v>-3112.0331950207469</v>
      </c>
      <c r="M135" s="29">
        <v>23.6</v>
      </c>
      <c r="N135" s="14">
        <f>IF(ISNUMBER(M135), (M135 - $B135) / $B135, "")</f>
        <v>-2.0746887966804978E-2</v>
      </c>
      <c r="O135" s="16">
        <f>IF(ISNUMBER(M135), $B145 * N135, "")</f>
        <v>-3112.0331950207469</v>
      </c>
      <c r="Q135" s="173"/>
      <c r="R135" s="174"/>
      <c r="S135" s="175"/>
    </row>
    <row r="136" spans="1:19" ht="17.25" thickBot="1">
      <c r="A136" s="109" t="s">
        <v>71</v>
      </c>
      <c r="B136" s="110">
        <v>11.6</v>
      </c>
      <c r="C136" s="70">
        <v>-8.5470084999999998E-3</v>
      </c>
      <c r="D136" s="15">
        <v>11.4</v>
      </c>
      <c r="E136" s="32">
        <f t="shared" ref="E136:E139" si="70">IF(ISNUMBER(D136), (D136 - $B136) / $B136, "")</f>
        <v>-1.7241379310344768E-2</v>
      </c>
      <c r="F136" s="18">
        <f>IF(ISNUMBER(D136), $B145 * E136, "")</f>
        <v>-2586.2068965517151</v>
      </c>
      <c r="G136" s="31">
        <v>11.4</v>
      </c>
      <c r="H136" s="32">
        <f t="shared" ref="H136:H139" si="71">IF(ISNUMBER(G136), (G136 - $B136) / $B136, "")</f>
        <v>-1.7241379310344768E-2</v>
      </c>
      <c r="I136" s="91">
        <f>IF(ISNUMBER(G136), $B145 * H136, "")</f>
        <v>-2586.2068965517151</v>
      </c>
      <c r="J136" s="15">
        <v>11.4</v>
      </c>
      <c r="K136" s="32">
        <f t="shared" ref="K136:K139" si="72">IF(ISNUMBER(J136), (J136 - $B136) / $B136, "")</f>
        <v>-1.7241379310344768E-2</v>
      </c>
      <c r="L136" s="18">
        <f>IF(ISNUMBER(J136), $B145 * K136, "")</f>
        <v>-2586.2068965517151</v>
      </c>
      <c r="M136" s="31">
        <v>11.4</v>
      </c>
      <c r="N136" s="32">
        <f t="shared" ref="N136:N139" si="73">IF(ISNUMBER(M136), (M136 - $B136) / $B136, "")</f>
        <v>-1.7241379310344768E-2</v>
      </c>
      <c r="O136" s="18">
        <f>IF(ISNUMBER(M136), $B145 * N136, "")</f>
        <v>-2586.2068965517151</v>
      </c>
      <c r="Q136" s="176"/>
      <c r="R136" s="177"/>
      <c r="S136" s="178"/>
    </row>
    <row r="137" spans="1:19" ht="17.25" thickBot="1">
      <c r="A137" s="109" t="s">
        <v>212</v>
      </c>
      <c r="B137" s="110">
        <v>84.7</v>
      </c>
      <c r="C137" s="70">
        <v>-9.3567250999999994E-3</v>
      </c>
      <c r="D137" s="15">
        <v>83.4</v>
      </c>
      <c r="E137" s="32">
        <f t="shared" si="70"/>
        <v>-1.5348288075560769E-2</v>
      </c>
      <c r="F137" s="18">
        <f>IF(ISNUMBER(D137), $B145 * E137, "")</f>
        <v>-2302.2432113341156</v>
      </c>
      <c r="G137" s="31">
        <v>83.4</v>
      </c>
      <c r="H137" s="32">
        <f t="shared" si="71"/>
        <v>-1.5348288075560769E-2</v>
      </c>
      <c r="I137" s="91">
        <f>IF(ISNUMBER(G137), $B145 * H137, "")</f>
        <v>-2302.2432113341156</v>
      </c>
      <c r="J137" s="15">
        <v>83.4</v>
      </c>
      <c r="K137" s="32">
        <f t="shared" si="72"/>
        <v>-1.5348288075560769E-2</v>
      </c>
      <c r="L137" s="18">
        <f>IF(ISNUMBER(J137), $B145 * K137, "")</f>
        <v>-2302.2432113341156</v>
      </c>
      <c r="M137" s="31">
        <v>83.4</v>
      </c>
      <c r="N137" s="32">
        <f t="shared" si="73"/>
        <v>-1.5348288075560769E-2</v>
      </c>
      <c r="O137" s="18">
        <f>IF(ISNUMBER(M137), $B145 * N137, "")</f>
        <v>-2302.2432113341156</v>
      </c>
      <c r="Q137" s="161"/>
      <c r="R137" s="161"/>
      <c r="S137" s="161"/>
    </row>
    <row r="138" spans="1:19" ht="17.25" thickBot="1">
      <c r="A138" s="109" t="s">
        <v>338</v>
      </c>
      <c r="B138" s="110">
        <v>5.01</v>
      </c>
      <c r="C138" s="70">
        <v>-9.8814229000000007E-3</v>
      </c>
      <c r="D138" s="15">
        <v>4.9000000000000004</v>
      </c>
      <c r="E138" s="32">
        <f t="shared" si="70"/>
        <v>-2.1956087824351184E-2</v>
      </c>
      <c r="F138" s="18">
        <f>IF(ISNUMBER(D138), $B145 * E138, "")</f>
        <v>-3293.4131736526774</v>
      </c>
      <c r="G138" s="31">
        <v>4.9000000000000004</v>
      </c>
      <c r="H138" s="32">
        <f t="shared" si="71"/>
        <v>-2.1956087824351184E-2</v>
      </c>
      <c r="I138" s="91">
        <f>IF(ISNUMBER(G138), $B145 * H138, "")</f>
        <v>-3293.4131736526774</v>
      </c>
      <c r="J138" s="15">
        <v>4.9000000000000004</v>
      </c>
      <c r="K138" s="32">
        <f t="shared" si="72"/>
        <v>-2.1956087824351184E-2</v>
      </c>
      <c r="L138" s="18">
        <f>IF(ISNUMBER(J138), $B145 * K138, "")</f>
        <v>-3293.4131736526774</v>
      </c>
      <c r="M138" s="31">
        <v>4.9000000000000004</v>
      </c>
      <c r="N138" s="32">
        <f t="shared" si="73"/>
        <v>-2.1956087824351184E-2</v>
      </c>
      <c r="O138" s="18">
        <f>IF(ISNUMBER(M138), $B145 * N138, "")</f>
        <v>-3293.4131736526774</v>
      </c>
      <c r="Q138" s="156"/>
      <c r="R138" s="156"/>
      <c r="S138" s="156"/>
    </row>
    <row r="139" spans="1:19" ht="17.25" thickBot="1">
      <c r="A139" s="111" t="s">
        <v>124</v>
      </c>
      <c r="B139" s="112">
        <v>33</v>
      </c>
      <c r="C139" s="71">
        <v>-1.19760479E-2</v>
      </c>
      <c r="D139" s="20">
        <v>32</v>
      </c>
      <c r="E139" s="21">
        <f t="shared" si="70"/>
        <v>-3.0303030303030304E-2</v>
      </c>
      <c r="F139" s="22">
        <f>IF(ISNUMBER(D139), $B145 * E139, "")</f>
        <v>-4545.454545454546</v>
      </c>
      <c r="G139" s="30">
        <v>32</v>
      </c>
      <c r="H139" s="21">
        <f t="shared" si="71"/>
        <v>-3.0303030303030304E-2</v>
      </c>
      <c r="I139" s="95">
        <f>IF(ISNUMBER(G139), $B145 * H139, "")</f>
        <v>-4545.454545454546</v>
      </c>
      <c r="J139" s="20">
        <v>32</v>
      </c>
      <c r="K139" s="21">
        <f t="shared" si="72"/>
        <v>-3.0303030303030304E-2</v>
      </c>
      <c r="L139" s="22">
        <f>IF(ISNUMBER(J139), $B145 * K139, "")</f>
        <v>-4545.454545454546</v>
      </c>
      <c r="M139" s="30">
        <v>32</v>
      </c>
      <c r="N139" s="21">
        <f t="shared" si="73"/>
        <v>-3.0303030303030304E-2</v>
      </c>
      <c r="O139" s="22">
        <f>IF(ISNUMBER(M139), $B145 * N139, "")</f>
        <v>-4545.454545454546</v>
      </c>
      <c r="Q139" s="156"/>
      <c r="R139" s="156"/>
      <c r="S139" s="156"/>
    </row>
    <row r="140" spans="1:19" ht="17.25" thickBot="1">
      <c r="A140" s="109" t="s">
        <v>181</v>
      </c>
      <c r="B140" s="113">
        <v>4.78</v>
      </c>
      <c r="C140" s="73">
        <v>-1.4432989699999999E-2</v>
      </c>
      <c r="D140" s="96">
        <v>4.71</v>
      </c>
      <c r="E140" s="97">
        <f>IF(ISNUMBER(D140), (D140 - $B140) / $B140, "")</f>
        <v>-1.4644351464435205E-2</v>
      </c>
      <c r="F140" s="98">
        <f>IF(ISNUMBER(D140), $B145 * E140, "")</f>
        <v>-2196.652719665281</v>
      </c>
      <c r="G140" s="99">
        <v>4.71</v>
      </c>
      <c r="H140" s="97">
        <f>IF(ISNUMBER(G140), (G140 - $B140) / $B140, "")</f>
        <v>-1.4644351464435205E-2</v>
      </c>
      <c r="I140" s="100">
        <f>IF(ISNUMBER(G140), $B145 * H140, "")</f>
        <v>-2196.652719665281</v>
      </c>
      <c r="J140" s="96">
        <v>4.71</v>
      </c>
      <c r="K140" s="97">
        <f>IF(ISNUMBER(J140), (J140 - $B140) / $B140, "")</f>
        <v>-1.4644351464435205E-2</v>
      </c>
      <c r="L140" s="98">
        <f>IF(ISNUMBER(J140), $B145 * K140, "")</f>
        <v>-2196.652719665281</v>
      </c>
      <c r="M140" s="99">
        <v>4.71</v>
      </c>
      <c r="N140" s="97">
        <f>IF(ISNUMBER(M140), (M140 - $B140) / $B140, "")</f>
        <v>-1.4644351464435205E-2</v>
      </c>
      <c r="O140" s="98">
        <f>IF(ISNUMBER(M140), $B145 * N140, "")</f>
        <v>-2196.652719665281</v>
      </c>
      <c r="Q140" s="161"/>
      <c r="R140" s="161"/>
      <c r="S140" s="161"/>
    </row>
    <row r="141" spans="1:19" ht="17.25" thickBot="1">
      <c r="A141" s="109" t="s">
        <v>143</v>
      </c>
      <c r="B141" s="110">
        <v>4.1500000000000004</v>
      </c>
      <c r="C141" s="70">
        <v>-2.35294118E-2</v>
      </c>
      <c r="D141" s="15">
        <v>4.04</v>
      </c>
      <c r="E141" s="32">
        <f t="shared" ref="E141:E144" si="74">IF(ISNUMBER(D141), (D141 - $B141) / $B141, "")</f>
        <v>-2.6506024096385618E-2</v>
      </c>
      <c r="F141" s="18">
        <f>IF(ISNUMBER(D141), $B145 * E141, "")</f>
        <v>-3975.9036144578427</v>
      </c>
      <c r="G141" s="31">
        <v>4.04</v>
      </c>
      <c r="H141" s="32">
        <f t="shared" ref="H141:H144" si="75">IF(ISNUMBER(G141), (G141 - $B141) / $B141, "")</f>
        <v>-2.6506024096385618E-2</v>
      </c>
      <c r="I141" s="91">
        <f>IF(ISNUMBER(G141), $B145 * H141, "")</f>
        <v>-3975.9036144578427</v>
      </c>
      <c r="J141" s="15">
        <v>4.04</v>
      </c>
      <c r="K141" s="32">
        <f t="shared" ref="K141:K144" si="76">IF(ISNUMBER(J141), (J141 - $B141) / $B141, "")</f>
        <v>-2.6506024096385618E-2</v>
      </c>
      <c r="L141" s="18">
        <f>IF(ISNUMBER(J141), $B145 * K141, "")</f>
        <v>-3975.9036144578427</v>
      </c>
      <c r="M141" s="31">
        <v>4.04</v>
      </c>
      <c r="N141" s="32">
        <f t="shared" ref="N141:N144" si="77">IF(ISNUMBER(M141), (M141 - $B141) / $B141, "")</f>
        <v>-2.6506024096385618E-2</v>
      </c>
      <c r="O141" s="18">
        <f>IF(ISNUMBER(M141), $B145 * N141, "")</f>
        <v>-3975.9036144578427</v>
      </c>
      <c r="Q141" s="161"/>
      <c r="R141" s="161"/>
      <c r="S141" s="161"/>
    </row>
    <row r="142" spans="1:19" ht="17.25" thickBot="1">
      <c r="A142" s="109" t="s">
        <v>206</v>
      </c>
      <c r="B142" s="110">
        <v>3.67</v>
      </c>
      <c r="C142" s="70">
        <v>-2.3936170199999999E-2</v>
      </c>
      <c r="D142" s="15">
        <v>3.69</v>
      </c>
      <c r="E142" s="32">
        <f t="shared" si="74"/>
        <v>5.449591280653956E-3</v>
      </c>
      <c r="F142" s="18">
        <f>IF(ISNUMBER(D142), $B145 * E142, "")</f>
        <v>817.43869209809338</v>
      </c>
      <c r="G142" s="31">
        <v>3.69</v>
      </c>
      <c r="H142" s="32">
        <f t="shared" si="75"/>
        <v>5.449591280653956E-3</v>
      </c>
      <c r="I142" s="91">
        <f>IF(ISNUMBER(G142), $B145 * H142, "")</f>
        <v>817.43869209809338</v>
      </c>
      <c r="J142" s="15">
        <v>3.69</v>
      </c>
      <c r="K142" s="32">
        <f t="shared" si="76"/>
        <v>5.449591280653956E-3</v>
      </c>
      <c r="L142" s="18">
        <f>IF(ISNUMBER(J142), $B145 * K142, "")</f>
        <v>817.43869209809338</v>
      </c>
      <c r="M142" s="31">
        <v>3.69</v>
      </c>
      <c r="N142" s="32">
        <f t="shared" si="77"/>
        <v>5.449591280653956E-3</v>
      </c>
      <c r="O142" s="18">
        <f>IF(ISNUMBER(M142), $B145 * N142, "")</f>
        <v>817.43869209809338</v>
      </c>
      <c r="Q142" s="161"/>
      <c r="R142" s="161"/>
      <c r="S142" s="161"/>
    </row>
    <row r="143" spans="1:19">
      <c r="A143" s="109" t="s">
        <v>198</v>
      </c>
      <c r="B143" s="110">
        <v>8.64</v>
      </c>
      <c r="C143" s="70">
        <v>-2.4830699800000001E-2</v>
      </c>
      <c r="D143" s="15">
        <v>8.89</v>
      </c>
      <c r="E143" s="32">
        <f t="shared" si="74"/>
        <v>2.8935185185185182E-2</v>
      </c>
      <c r="F143" s="18">
        <f>IF(ISNUMBER(D143), $B145 * E143, "")</f>
        <v>4340.2777777777774</v>
      </c>
      <c r="G143" s="31">
        <v>8.89</v>
      </c>
      <c r="H143" s="32">
        <f t="shared" si="75"/>
        <v>2.8935185185185182E-2</v>
      </c>
      <c r="I143" s="91">
        <f>IF(ISNUMBER(G143), $B145 * H143, "")</f>
        <v>4340.2777777777774</v>
      </c>
      <c r="J143" s="15">
        <v>8.89</v>
      </c>
      <c r="K143" s="32">
        <f t="shared" si="76"/>
        <v>2.8935185185185182E-2</v>
      </c>
      <c r="L143" s="18">
        <f>IF(ISNUMBER(J143), $B145 * K143, "")</f>
        <v>4340.2777777777774</v>
      </c>
      <c r="M143" s="31">
        <v>8.89</v>
      </c>
      <c r="N143" s="32">
        <f t="shared" si="77"/>
        <v>2.8935185185185182E-2</v>
      </c>
      <c r="O143" s="18">
        <f>IF(ISNUMBER(M143), $B145 * N143, "")</f>
        <v>4340.2777777777774</v>
      </c>
      <c r="Q143" s="183"/>
      <c r="R143" s="184"/>
      <c r="S143" s="185"/>
    </row>
    <row r="144" spans="1:19" ht="17.25" thickBot="1">
      <c r="A144" s="114" t="s">
        <v>141</v>
      </c>
      <c r="B144" s="115">
        <v>3.78</v>
      </c>
      <c r="C144" s="72">
        <v>-9.5693779899999998E-2</v>
      </c>
      <c r="D144" s="24">
        <v>3.58</v>
      </c>
      <c r="E144" s="25">
        <f t="shared" si="74"/>
        <v>-5.2910052910052845E-2</v>
      </c>
      <c r="F144" s="94">
        <f>IF(ISNUMBER(D144), $B145 * E144, "")</f>
        <v>-7936.5079365079264</v>
      </c>
      <c r="G144" s="92">
        <v>3.58</v>
      </c>
      <c r="H144" s="25">
        <f t="shared" si="75"/>
        <v>-5.2910052910052845E-2</v>
      </c>
      <c r="I144" s="93">
        <f>IF(ISNUMBER(G144), $B145 * H144, "")</f>
        <v>-7936.5079365079264</v>
      </c>
      <c r="J144" s="24">
        <v>3.58</v>
      </c>
      <c r="K144" s="25">
        <f t="shared" si="76"/>
        <v>-5.2910052910052845E-2</v>
      </c>
      <c r="L144" s="94">
        <f>IF(ISNUMBER(J144), $B145 * K144, "")</f>
        <v>-7936.5079365079264</v>
      </c>
      <c r="M144" s="92">
        <v>3.58</v>
      </c>
      <c r="N144" s="25">
        <f t="shared" si="77"/>
        <v>-5.2910052910052845E-2</v>
      </c>
      <c r="O144" s="94">
        <f>IF(ISNUMBER(M144), $B145 * N144, "")</f>
        <v>-7936.5079365079264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-1.5366916891799701E-2</v>
      </c>
      <c r="F145" s="28">
        <f>SUM(F125:F144)</f>
        <v>-46100.750675399104</v>
      </c>
      <c r="G145" s="26" t="s">
        <v>261</v>
      </c>
      <c r="H145" s="27">
        <f>IF(COUNT(H125:H144), SUM(H125:H144) / COUNT(H125:H144), 0)</f>
        <v>-1.5366916891799701E-2</v>
      </c>
      <c r="I145" s="28">
        <f>SUM(I125:I144)</f>
        <v>-46100.750675399104</v>
      </c>
      <c r="J145" s="26" t="s">
        <v>261</v>
      </c>
      <c r="K145" s="27">
        <f>IF(COUNT(K125:K144), SUM(K125:K144) / COUNT(K125:K144), 0)</f>
        <v>-1.5366916891799701E-2</v>
      </c>
      <c r="L145" s="28">
        <f>SUM(L125:L144)</f>
        <v>-46100.750675399104</v>
      </c>
      <c r="M145" s="26" t="s">
        <v>261</v>
      </c>
      <c r="N145" s="27">
        <f>IF(COUNT(N125:N144), SUM(N125:N144) / COUNT(N125:N144), 0)</f>
        <v>-1.5366916891799701E-2</v>
      </c>
      <c r="O145" s="28">
        <f>SUM(O125:O144)</f>
        <v>-46100.750675399104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2022-12-15(목) 오전 00:00</v>
      </c>
      <c r="C150" s="199"/>
      <c r="D150" s="158" t="str">
        <f>TEXT($G$1, "[$-ko-KR]yyyy-mm-dd(ddd) ") &amp; "오후 14:00"</f>
        <v>2022-12-15(목) 오후 14:00</v>
      </c>
      <c r="E150" s="159"/>
      <c r="F150" s="160"/>
      <c r="G150" s="158" t="str">
        <f>TEXT($G$1, "[$-ko-KR]yyyy-mm-dd(ddd) ") &amp; "오후 19:00"</f>
        <v>2022-12-15(목) 오후 19:00</v>
      </c>
      <c r="H150" s="159"/>
      <c r="I150" s="160"/>
      <c r="J150" s="158" t="str">
        <f>TEXT($G$1, "[$-ko-KR]yyyy-mm-dd(ddd) ") &amp; "오후 21:00"</f>
        <v>2022-12-15(목) 오후 21:00</v>
      </c>
      <c r="K150" s="159"/>
      <c r="L150" s="160"/>
      <c r="M150" s="158" t="str">
        <f>TEXT($G$1+1, "[$-ko-KR]yyyy-mm-dd(ddd) ") &amp; "오전 00:00"</f>
        <v>2022-12-16(금)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340</v>
      </c>
      <c r="B152" s="108">
        <v>577</v>
      </c>
      <c r="C152" s="69">
        <v>-1.7301038E-3</v>
      </c>
      <c r="D152" s="13">
        <v>565</v>
      </c>
      <c r="E152" s="14">
        <f>IF(ISNUMBER(D152), (D152 - $B152) / $B152, "")</f>
        <v>-2.0797227036395149E-2</v>
      </c>
      <c r="F152" s="16">
        <f>IF(ISNUMBER(D152), $B172 * E152, "")</f>
        <v>-3119.5840554592723</v>
      </c>
      <c r="G152" s="29">
        <v>565</v>
      </c>
      <c r="H152" s="14">
        <f>IF(ISNUMBER(G152), (G152 - $B152) / $B152, "")</f>
        <v>-2.0797227036395149E-2</v>
      </c>
      <c r="I152" s="90">
        <f>IF(ISNUMBER(G152), $B172 * H152, "")</f>
        <v>-3119.5840554592723</v>
      </c>
      <c r="J152" s="13">
        <v>565</v>
      </c>
      <c r="K152" s="14">
        <f>IF(ISNUMBER(J152), (J152 - $B152) / $B152, "")</f>
        <v>-2.0797227036395149E-2</v>
      </c>
      <c r="L152" s="16">
        <f>IF(ISNUMBER(J152), $B172 * K152, "")</f>
        <v>-3119.5840554592723</v>
      </c>
      <c r="M152" s="29">
        <v>565</v>
      </c>
      <c r="N152" s="14">
        <f>IF(ISNUMBER(M152), (M152 - $B152) / $B152, "")</f>
        <v>-2.0797227036395149E-2</v>
      </c>
      <c r="O152" s="16">
        <f>IF(ISNUMBER(M152), $B172 * N152, "")</f>
        <v>-3119.5840554592723</v>
      </c>
      <c r="Q152" s="156"/>
      <c r="R152" s="156"/>
      <c r="S152" s="156"/>
    </row>
    <row r="153" spans="1:19" ht="17.25" thickBot="1">
      <c r="A153" s="109" t="s">
        <v>242</v>
      </c>
      <c r="B153" s="110">
        <v>456</v>
      </c>
      <c r="C153" s="70">
        <v>-2.1881838000000001E-3</v>
      </c>
      <c r="D153" s="15">
        <v>450</v>
      </c>
      <c r="E153" s="32">
        <f t="shared" ref="E153:E156" si="78">IF(ISNUMBER(D153), (D153 - $B153) / $B153, "")</f>
        <v>-1.3157894736842105E-2</v>
      </c>
      <c r="F153" s="18">
        <f>IF(ISNUMBER(D153), $B172 * E153, "")</f>
        <v>-1973.6842105263156</v>
      </c>
      <c r="G153" s="31">
        <v>450</v>
      </c>
      <c r="H153" s="32">
        <f t="shared" ref="H153:H156" si="79">IF(ISNUMBER(G153), (G153 - $B153) / $B153, "")</f>
        <v>-1.3157894736842105E-2</v>
      </c>
      <c r="I153" s="91">
        <f>IF(ISNUMBER(G153), $B172 * H153, "")</f>
        <v>-1973.6842105263156</v>
      </c>
      <c r="J153" s="15">
        <v>450</v>
      </c>
      <c r="K153" s="32">
        <f t="shared" ref="K153:K156" si="80">IF(ISNUMBER(J153), (J153 - $B153) / $B153, "")</f>
        <v>-1.3157894736842105E-2</v>
      </c>
      <c r="L153" s="18">
        <f>IF(ISNUMBER(J153), $B172 * K153, "")</f>
        <v>-1973.6842105263156</v>
      </c>
      <c r="M153" s="31">
        <v>450</v>
      </c>
      <c r="N153" s="32">
        <f t="shared" ref="N153:N156" si="81">IF(ISNUMBER(M153), (M153 - $B153) / $B153, "")</f>
        <v>-1.3157894736842105E-2</v>
      </c>
      <c r="O153" s="18">
        <f>IF(ISNUMBER(M153), $B172 * N153, "")</f>
        <v>-1973.6842105263156</v>
      </c>
      <c r="Q153" s="156"/>
      <c r="R153" s="156"/>
      <c r="S153" s="156"/>
    </row>
    <row r="154" spans="1:19" ht="17.25" thickBot="1">
      <c r="A154" s="109" t="s">
        <v>130</v>
      </c>
      <c r="B154" s="110">
        <v>835</v>
      </c>
      <c r="C154" s="70">
        <v>-2.3894862999999998E-3</v>
      </c>
      <c r="D154" s="15">
        <v>809</v>
      </c>
      <c r="E154" s="32">
        <f t="shared" si="78"/>
        <v>-3.1137724550898204E-2</v>
      </c>
      <c r="F154" s="18">
        <f>IF(ISNUMBER(D154), $B172 * E154, "")</f>
        <v>-4670.6586826347302</v>
      </c>
      <c r="G154" s="31">
        <v>809</v>
      </c>
      <c r="H154" s="32">
        <f t="shared" si="79"/>
        <v>-3.1137724550898204E-2</v>
      </c>
      <c r="I154" s="91">
        <f>IF(ISNUMBER(G154), $B172 * H154, "")</f>
        <v>-4670.6586826347302</v>
      </c>
      <c r="J154" s="15">
        <v>809</v>
      </c>
      <c r="K154" s="32">
        <f t="shared" si="80"/>
        <v>-3.1137724550898204E-2</v>
      </c>
      <c r="L154" s="18">
        <f>IF(ISNUMBER(J154), $B172 * K154, "")</f>
        <v>-4670.6586826347302</v>
      </c>
      <c r="M154" s="31">
        <v>809</v>
      </c>
      <c r="N154" s="32">
        <f t="shared" si="81"/>
        <v>-3.1137724550898204E-2</v>
      </c>
      <c r="O154" s="18">
        <f>IF(ISNUMBER(M154), $B172 * N154, "")</f>
        <v>-4670.6586826347302</v>
      </c>
      <c r="Q154" s="161"/>
      <c r="R154" s="161"/>
      <c r="S154" s="161"/>
    </row>
    <row r="155" spans="1:19" ht="17.25" thickBot="1">
      <c r="A155" s="109" t="s">
        <v>66</v>
      </c>
      <c r="B155" s="110">
        <v>751</v>
      </c>
      <c r="C155" s="70">
        <v>-2.6560425000000001E-3</v>
      </c>
      <c r="D155" s="15">
        <v>742</v>
      </c>
      <c r="E155" s="32">
        <f t="shared" si="78"/>
        <v>-1.1984021304926764E-2</v>
      </c>
      <c r="F155" s="18">
        <f>IF(ISNUMBER(D155), $B172 * E155, "")</f>
        <v>-1797.6031957390146</v>
      </c>
      <c r="G155" s="31">
        <v>742</v>
      </c>
      <c r="H155" s="32">
        <f t="shared" si="79"/>
        <v>-1.1984021304926764E-2</v>
      </c>
      <c r="I155" s="91">
        <f>IF(ISNUMBER(G155), $B172 * H155, "")</f>
        <v>-1797.6031957390146</v>
      </c>
      <c r="J155" s="15">
        <v>742</v>
      </c>
      <c r="K155" s="32">
        <f t="shared" si="80"/>
        <v>-1.1984021304926764E-2</v>
      </c>
      <c r="L155" s="18">
        <f>IF(ISNUMBER(J155), $B172 * K155, "")</f>
        <v>-1797.6031957390146</v>
      </c>
      <c r="M155" s="31">
        <v>742</v>
      </c>
      <c r="N155" s="32">
        <f t="shared" si="81"/>
        <v>-1.1984021304926764E-2</v>
      </c>
      <c r="O155" s="18">
        <f>IF(ISNUMBER(M155), $B172 * N155, "")</f>
        <v>-1797.6031957390146</v>
      </c>
      <c r="Q155" s="161"/>
      <c r="R155" s="161"/>
      <c r="S155" s="161"/>
    </row>
    <row r="156" spans="1:19" ht="17.25" thickBot="1">
      <c r="A156" s="111" t="s">
        <v>202</v>
      </c>
      <c r="B156" s="112">
        <v>344</v>
      </c>
      <c r="C156" s="71">
        <v>-2.8985507E-3</v>
      </c>
      <c r="D156" s="20">
        <v>339</v>
      </c>
      <c r="E156" s="21">
        <f t="shared" si="78"/>
        <v>-1.4534883720930232E-2</v>
      </c>
      <c r="F156" s="22">
        <f>IF(ISNUMBER(D156), $B172 * E156, "")</f>
        <v>-2180.2325581395348</v>
      </c>
      <c r="G156" s="30">
        <v>339</v>
      </c>
      <c r="H156" s="21">
        <f t="shared" si="79"/>
        <v>-1.4534883720930232E-2</v>
      </c>
      <c r="I156" s="95">
        <f>IF(ISNUMBER(G156), $B172 * H156, "")</f>
        <v>-2180.2325581395348</v>
      </c>
      <c r="J156" s="20">
        <v>339</v>
      </c>
      <c r="K156" s="21">
        <f t="shared" si="80"/>
        <v>-1.4534883720930232E-2</v>
      </c>
      <c r="L156" s="22">
        <f>IF(ISNUMBER(J156), $B172 * K156, "")</f>
        <v>-2180.2325581395348</v>
      </c>
      <c r="M156" s="30">
        <v>339</v>
      </c>
      <c r="N156" s="21">
        <f t="shared" si="81"/>
        <v>-1.4534883720930232E-2</v>
      </c>
      <c r="O156" s="22">
        <f>IF(ISNUMBER(M156), $B172 * N156, "")</f>
        <v>-2180.2325581395348</v>
      </c>
      <c r="Q156" s="161"/>
      <c r="R156" s="161"/>
      <c r="S156" s="161"/>
    </row>
    <row r="157" spans="1:19" ht="17.25" thickBot="1">
      <c r="A157" s="109" t="s">
        <v>89</v>
      </c>
      <c r="B157" s="113">
        <v>513</v>
      </c>
      <c r="C157" s="73">
        <v>-3.8834950999999999E-3</v>
      </c>
      <c r="D157" s="96">
        <v>505</v>
      </c>
      <c r="E157" s="97">
        <f>IF(ISNUMBER(D157), (D157 - $B157) / $B157, "")</f>
        <v>-1.5594541910331383E-2</v>
      </c>
      <c r="F157" s="98">
        <f>IF(ISNUMBER(D157), $B172 * E157, "")</f>
        <v>-2339.1812865497077</v>
      </c>
      <c r="G157" s="99">
        <v>505</v>
      </c>
      <c r="H157" s="97">
        <f>IF(ISNUMBER(G157), (G157 - $B157) / $B157, "")</f>
        <v>-1.5594541910331383E-2</v>
      </c>
      <c r="I157" s="100">
        <f>IF(ISNUMBER(G157), $B172 * H157, "")</f>
        <v>-2339.1812865497077</v>
      </c>
      <c r="J157" s="96">
        <v>505</v>
      </c>
      <c r="K157" s="97">
        <f>IF(ISNUMBER(J157), (J157 - $B157) / $B157, "")</f>
        <v>-1.5594541910331383E-2</v>
      </c>
      <c r="L157" s="98">
        <f>IF(ISNUMBER(J157), $B172 * K157, "")</f>
        <v>-2339.1812865497077</v>
      </c>
      <c r="M157" s="99">
        <v>505</v>
      </c>
      <c r="N157" s="97">
        <f>IF(ISNUMBER(M157), (M157 - $B157) / $B157, "")</f>
        <v>-1.5594541910331383E-2</v>
      </c>
      <c r="O157" s="98">
        <f>IF(ISNUMBER(M157), $B172 * N157, "")</f>
        <v>-2339.1812865497077</v>
      </c>
      <c r="Q157" s="161"/>
      <c r="R157" s="161"/>
      <c r="S157" s="161"/>
    </row>
    <row r="158" spans="1:19" ht="17.25" thickBot="1">
      <c r="A158" s="109" t="s">
        <v>105</v>
      </c>
      <c r="B158" s="110">
        <v>230</v>
      </c>
      <c r="C158" s="70">
        <v>-4.3290042999999997E-3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91">
        <f>IF(ISNUMBER(G158), $B172 * H158, "")</f>
        <v>-2608.695652173913</v>
      </c>
      <c r="J158" s="15">
        <v>226</v>
      </c>
      <c r="K158" s="32">
        <f t="shared" ref="K158:K161" si="84">IF(ISNUMBER(J158), (J158 - $B158) / $B158, "")</f>
        <v>-1.7391304347826087E-2</v>
      </c>
      <c r="L158" s="18">
        <f>IF(ISNUMBER(J158), $B172 * K158, "")</f>
        <v>-2608.695652173913</v>
      </c>
      <c r="M158" s="31">
        <v>226</v>
      </c>
      <c r="N158" s="32">
        <f t="shared" ref="N158:N161" si="85">IF(ISNUMBER(M158), (M158 - $B158) / $B158, "")</f>
        <v>-1.7391304347826087E-2</v>
      </c>
      <c r="O158" s="18">
        <f>IF(ISNUMBER(M158), $B172 * N158, "")</f>
        <v>-2608.695652173913</v>
      </c>
      <c r="Q158" s="161"/>
      <c r="R158" s="161"/>
      <c r="S158" s="161"/>
    </row>
    <row r="159" spans="1:19" ht="17.25" thickBot="1">
      <c r="A159" s="109" t="s">
        <v>167</v>
      </c>
      <c r="B159" s="110">
        <v>195</v>
      </c>
      <c r="C159" s="70">
        <v>-5.1020407999999998E-3</v>
      </c>
      <c r="D159" s="15">
        <v>191</v>
      </c>
      <c r="E159" s="32">
        <f t="shared" si="82"/>
        <v>-2.0512820512820513E-2</v>
      </c>
      <c r="F159" s="18">
        <f>IF(ISNUMBER(D159), $B172 * E159, "")</f>
        <v>-3076.9230769230771</v>
      </c>
      <c r="G159" s="31">
        <v>191</v>
      </c>
      <c r="H159" s="32">
        <f t="shared" si="83"/>
        <v>-2.0512820512820513E-2</v>
      </c>
      <c r="I159" s="91">
        <f>IF(ISNUMBER(G159), $B172 * H159, "")</f>
        <v>-3076.9230769230771</v>
      </c>
      <c r="J159" s="15">
        <v>191</v>
      </c>
      <c r="K159" s="32">
        <f t="shared" si="84"/>
        <v>-2.0512820512820513E-2</v>
      </c>
      <c r="L159" s="18">
        <f>IF(ISNUMBER(J159), $B172 * K159, "")</f>
        <v>-3076.9230769230771</v>
      </c>
      <c r="M159" s="31">
        <v>191</v>
      </c>
      <c r="N159" s="32">
        <f t="shared" si="85"/>
        <v>-2.0512820512820513E-2</v>
      </c>
      <c r="O159" s="18">
        <f>IF(ISNUMBER(M159), $B172 * N159, "")</f>
        <v>-3076.9230769230771</v>
      </c>
      <c r="Q159" s="161"/>
      <c r="R159" s="161"/>
      <c r="S159" s="161"/>
    </row>
    <row r="160" spans="1:19" ht="17.25" thickBot="1">
      <c r="A160" s="109" t="s">
        <v>218</v>
      </c>
      <c r="B160" s="110">
        <v>351</v>
      </c>
      <c r="C160" s="70">
        <v>-5.6657223999999999E-3</v>
      </c>
      <c r="D160" s="15">
        <v>342</v>
      </c>
      <c r="E160" s="32">
        <f t="shared" si="82"/>
        <v>-2.564102564102564E-2</v>
      </c>
      <c r="F160" s="18">
        <f>IF(ISNUMBER(D160), $B172 * E160, "")</f>
        <v>-3846.1538461538462</v>
      </c>
      <c r="G160" s="31">
        <v>342</v>
      </c>
      <c r="H160" s="32">
        <f t="shared" si="83"/>
        <v>-2.564102564102564E-2</v>
      </c>
      <c r="I160" s="91">
        <f>IF(ISNUMBER(G160), $B172 * H160, "")</f>
        <v>-3846.1538461538462</v>
      </c>
      <c r="J160" s="15">
        <v>342</v>
      </c>
      <c r="K160" s="32">
        <f t="shared" si="84"/>
        <v>-2.564102564102564E-2</v>
      </c>
      <c r="L160" s="18">
        <f>IF(ISNUMBER(J160), $B172 * K160, "")</f>
        <v>-3846.1538461538462</v>
      </c>
      <c r="M160" s="31">
        <v>342</v>
      </c>
      <c r="N160" s="32">
        <f t="shared" si="85"/>
        <v>-2.564102564102564E-2</v>
      </c>
      <c r="O160" s="18">
        <f>IF(ISNUMBER(M160), $B172 * N160, "")</f>
        <v>-3846.1538461538462</v>
      </c>
      <c r="Q160" s="33"/>
      <c r="R160" s="33"/>
    </row>
    <row r="161" spans="1:19" ht="17.25" thickBot="1">
      <c r="A161" s="114" t="s">
        <v>68</v>
      </c>
      <c r="B161" s="115">
        <v>328</v>
      </c>
      <c r="C161" s="72">
        <v>-6.0606061000000001E-3</v>
      </c>
      <c r="D161" s="24">
        <v>318</v>
      </c>
      <c r="E161" s="25">
        <f t="shared" si="82"/>
        <v>-3.048780487804878E-2</v>
      </c>
      <c r="F161" s="94">
        <f>IF(ISNUMBER(D161), $B172 * E161, "")</f>
        <v>-4573.1707317073169</v>
      </c>
      <c r="G161" s="92">
        <v>318</v>
      </c>
      <c r="H161" s="25">
        <f t="shared" si="83"/>
        <v>-3.048780487804878E-2</v>
      </c>
      <c r="I161" s="93">
        <f>IF(ISNUMBER(G161), $B172 * H161, "")</f>
        <v>-4573.1707317073169</v>
      </c>
      <c r="J161" s="24">
        <v>318</v>
      </c>
      <c r="K161" s="25">
        <f t="shared" si="84"/>
        <v>-3.048780487804878E-2</v>
      </c>
      <c r="L161" s="94">
        <f>IF(ISNUMBER(J161), $B172 * K161, "")</f>
        <v>-4573.1707317073169</v>
      </c>
      <c r="M161" s="92">
        <v>318</v>
      </c>
      <c r="N161" s="25">
        <f t="shared" si="85"/>
        <v>-3.048780487804878E-2</v>
      </c>
      <c r="O161" s="94">
        <f>IF(ISNUMBER(M161), $B172 * N161, "")</f>
        <v>-4573.1707317073169</v>
      </c>
      <c r="Q161" s="170"/>
      <c r="R161" s="171"/>
      <c r="S161" s="172"/>
    </row>
    <row r="162" spans="1:19">
      <c r="A162" s="107" t="s">
        <v>183</v>
      </c>
      <c r="B162" s="108">
        <v>146</v>
      </c>
      <c r="C162" s="69">
        <v>-6.8027210999999999E-3</v>
      </c>
      <c r="D162" s="13">
        <v>142</v>
      </c>
      <c r="E162" s="14">
        <f>IF(ISNUMBER(D162), (D162 - $B162) / $B162, "")</f>
        <v>-2.7397260273972601E-2</v>
      </c>
      <c r="F162" s="16">
        <f>IF(ISNUMBER(D162), $B172 * E162, "")</f>
        <v>-4109.58904109589</v>
      </c>
      <c r="G162" s="29">
        <v>142</v>
      </c>
      <c r="H162" s="14">
        <f>IF(ISNUMBER(G162), (G162 - $B162) / $B162, "")</f>
        <v>-2.7397260273972601E-2</v>
      </c>
      <c r="I162" s="90">
        <f>IF(ISNUMBER(G162), $B172 * H162, "")</f>
        <v>-4109.58904109589</v>
      </c>
      <c r="J162" s="13">
        <v>142</v>
      </c>
      <c r="K162" s="14">
        <f>IF(ISNUMBER(J162), (J162 - $B162) / $B162, "")</f>
        <v>-2.7397260273972601E-2</v>
      </c>
      <c r="L162" s="16">
        <f>IF(ISNUMBER(J162), $B172 * K162, "")</f>
        <v>-4109.58904109589</v>
      </c>
      <c r="M162" s="29">
        <v>142</v>
      </c>
      <c r="N162" s="14">
        <f>IF(ISNUMBER(M162), (M162 - $B162) / $B162, "")</f>
        <v>-2.7397260273972601E-2</v>
      </c>
      <c r="O162" s="16">
        <f>IF(ISNUMBER(M162), $B172 * N162, "")</f>
        <v>-4109.58904109589</v>
      </c>
      <c r="Q162" s="173"/>
      <c r="R162" s="174"/>
      <c r="S162" s="175"/>
    </row>
    <row r="163" spans="1:19" ht="17.25" thickBot="1">
      <c r="A163" s="109" t="s">
        <v>346</v>
      </c>
      <c r="B163" s="110">
        <v>518</v>
      </c>
      <c r="C163" s="70">
        <v>-7.6628351999999999E-3</v>
      </c>
      <c r="D163" s="15">
        <v>497</v>
      </c>
      <c r="E163" s="32">
        <f t="shared" ref="E163:E166" si="86">IF(ISNUMBER(D163), (D163 - $B163) / $B163, "")</f>
        <v>-4.0540540540540543E-2</v>
      </c>
      <c r="F163" s="18">
        <f>IF(ISNUMBER(D163), $B172 * E163, "")</f>
        <v>-6081.0810810810817</v>
      </c>
      <c r="G163" s="31">
        <v>497</v>
      </c>
      <c r="H163" s="32">
        <f t="shared" ref="H163:H166" si="87">IF(ISNUMBER(G163), (G163 - $B163) / $B163, "")</f>
        <v>-4.0540540540540543E-2</v>
      </c>
      <c r="I163" s="91">
        <f>IF(ISNUMBER(G163), $B172 * H163, "")</f>
        <v>-6081.0810810810817</v>
      </c>
      <c r="J163" s="15">
        <v>497</v>
      </c>
      <c r="K163" s="32">
        <f t="shared" ref="K163:K166" si="88">IF(ISNUMBER(J163), (J163 - $B163) / $B163, "")</f>
        <v>-4.0540540540540543E-2</v>
      </c>
      <c r="L163" s="18">
        <f>IF(ISNUMBER(J163), $B172 * K163, "")</f>
        <v>-6081.0810810810817</v>
      </c>
      <c r="M163" s="31">
        <v>497</v>
      </c>
      <c r="N163" s="32">
        <f t="shared" ref="N163:N166" si="89">IF(ISNUMBER(M163), (M163 - $B163) / $B163, "")</f>
        <v>-4.0540540540540543E-2</v>
      </c>
      <c r="O163" s="18">
        <f>IF(ISNUMBER(M163), $B172 * N163, "")</f>
        <v>-6081.0810810810817</v>
      </c>
      <c r="Q163" s="176"/>
      <c r="R163" s="177"/>
      <c r="S163" s="178"/>
    </row>
    <row r="164" spans="1:19" ht="17.25" thickBot="1">
      <c r="A164" s="109" t="s">
        <v>51</v>
      </c>
      <c r="B164" s="110">
        <v>109</v>
      </c>
      <c r="C164" s="70">
        <v>-9.0909091000000008E-3</v>
      </c>
      <c r="D164" s="15">
        <v>110</v>
      </c>
      <c r="E164" s="32">
        <f t="shared" si="86"/>
        <v>9.1743119266055051E-3</v>
      </c>
      <c r="F164" s="18">
        <f>IF(ISNUMBER(D164), $B172 * E164, "")</f>
        <v>1376.1467889908258</v>
      </c>
      <c r="G164" s="31">
        <v>110</v>
      </c>
      <c r="H164" s="32">
        <f t="shared" si="87"/>
        <v>9.1743119266055051E-3</v>
      </c>
      <c r="I164" s="91">
        <f>IF(ISNUMBER(G164), $B172 * H164, "")</f>
        <v>1376.1467889908258</v>
      </c>
      <c r="J164" s="15">
        <v>110</v>
      </c>
      <c r="K164" s="32">
        <f t="shared" si="88"/>
        <v>9.1743119266055051E-3</v>
      </c>
      <c r="L164" s="18">
        <f>IF(ISNUMBER(J164), $B172 * K164, "")</f>
        <v>1376.1467889908258</v>
      </c>
      <c r="M164" s="31">
        <v>110</v>
      </c>
      <c r="N164" s="32">
        <f t="shared" si="89"/>
        <v>9.1743119266055051E-3</v>
      </c>
      <c r="O164" s="18">
        <f>IF(ISNUMBER(M164), $B172 * N164, "")</f>
        <v>1376.1467889908258</v>
      </c>
      <c r="Q164" s="161"/>
      <c r="R164" s="161"/>
      <c r="S164" s="161"/>
    </row>
    <row r="165" spans="1:19" ht="17.25" thickBot="1">
      <c r="A165" s="109" t="s">
        <v>234</v>
      </c>
      <c r="B165" s="110">
        <v>412</v>
      </c>
      <c r="C165" s="70">
        <v>-1.19904077E-2</v>
      </c>
      <c r="D165" s="15">
        <v>398</v>
      </c>
      <c r="E165" s="32">
        <f t="shared" si="86"/>
        <v>-3.3980582524271843E-2</v>
      </c>
      <c r="F165" s="18">
        <f>IF(ISNUMBER(D165), $B172 * E165, "")</f>
        <v>-5097.0873786407765</v>
      </c>
      <c r="G165" s="31">
        <v>398</v>
      </c>
      <c r="H165" s="32">
        <f t="shared" si="87"/>
        <v>-3.3980582524271843E-2</v>
      </c>
      <c r="I165" s="91">
        <f>IF(ISNUMBER(G165), $B172 * H165, "")</f>
        <v>-5097.0873786407765</v>
      </c>
      <c r="J165" s="15">
        <v>398</v>
      </c>
      <c r="K165" s="32">
        <f t="shared" si="88"/>
        <v>-3.3980582524271843E-2</v>
      </c>
      <c r="L165" s="18">
        <f>IF(ISNUMBER(J165), $B172 * K165, "")</f>
        <v>-5097.0873786407765</v>
      </c>
      <c r="M165" s="31">
        <v>398</v>
      </c>
      <c r="N165" s="32">
        <f t="shared" si="89"/>
        <v>-3.3980582524271843E-2</v>
      </c>
      <c r="O165" s="18">
        <f>IF(ISNUMBER(M165), $B172 * N165, "")</f>
        <v>-5097.0873786407765</v>
      </c>
      <c r="Q165" s="156"/>
      <c r="R165" s="156"/>
      <c r="S165" s="156"/>
    </row>
    <row r="166" spans="1:19" ht="17.25" thickBot="1">
      <c r="A166" s="111" t="s">
        <v>349</v>
      </c>
      <c r="B166" s="112">
        <v>719</v>
      </c>
      <c r="C166" s="71">
        <v>-1.37174211E-2</v>
      </c>
      <c r="D166" s="20">
        <v>764</v>
      </c>
      <c r="E166" s="21">
        <f t="shared" si="86"/>
        <v>6.258692628650904E-2</v>
      </c>
      <c r="F166" s="22">
        <f>IF(ISNUMBER(D166), $B172 * E166, "")</f>
        <v>9388.0389429763563</v>
      </c>
      <c r="G166" s="30">
        <v>764</v>
      </c>
      <c r="H166" s="21">
        <f t="shared" si="87"/>
        <v>6.258692628650904E-2</v>
      </c>
      <c r="I166" s="95">
        <f>IF(ISNUMBER(G166), $B172 * H166, "")</f>
        <v>9388.0389429763563</v>
      </c>
      <c r="J166" s="20">
        <v>764</v>
      </c>
      <c r="K166" s="21">
        <f t="shared" si="88"/>
        <v>6.258692628650904E-2</v>
      </c>
      <c r="L166" s="22">
        <f>IF(ISNUMBER(J166), $B172 * K166, "")</f>
        <v>9388.0389429763563</v>
      </c>
      <c r="M166" s="30">
        <v>764</v>
      </c>
      <c r="N166" s="21">
        <f t="shared" si="89"/>
        <v>6.258692628650904E-2</v>
      </c>
      <c r="O166" s="22">
        <f>IF(ISNUMBER(M166), $B172 * N166, "")</f>
        <v>9388.0389429763563</v>
      </c>
      <c r="Q166" s="156"/>
      <c r="R166" s="156"/>
      <c r="S166" s="156"/>
    </row>
    <row r="167" spans="1:19" ht="17.25" thickBot="1">
      <c r="A167" s="109" t="s">
        <v>204</v>
      </c>
      <c r="B167" s="113">
        <v>272</v>
      </c>
      <c r="C167" s="73">
        <v>-1.44927536E-2</v>
      </c>
      <c r="D167" s="96">
        <v>265</v>
      </c>
      <c r="E167" s="97">
        <f>IF(ISNUMBER(D167), (D167 - $B167) / $B167, "")</f>
        <v>-2.5735294117647058E-2</v>
      </c>
      <c r="F167" s="98">
        <f>IF(ISNUMBER(D167), $B172 * E167, "")</f>
        <v>-3860.2941176470586</v>
      </c>
      <c r="G167" s="99">
        <v>265</v>
      </c>
      <c r="H167" s="97">
        <f>IF(ISNUMBER(G167), (G167 - $B167) / $B167, "")</f>
        <v>-2.5735294117647058E-2</v>
      </c>
      <c r="I167" s="100">
        <f>IF(ISNUMBER(G167), $B172 * H167, "")</f>
        <v>-3860.2941176470586</v>
      </c>
      <c r="J167" s="96">
        <v>265</v>
      </c>
      <c r="K167" s="97">
        <f>IF(ISNUMBER(J167), (J167 - $B167) / $B167, "")</f>
        <v>-2.5735294117647058E-2</v>
      </c>
      <c r="L167" s="98">
        <f>IF(ISNUMBER(J167), $B172 * K167, "")</f>
        <v>-3860.2941176470586</v>
      </c>
      <c r="M167" s="99">
        <v>265</v>
      </c>
      <c r="N167" s="97">
        <f>IF(ISNUMBER(M167), (M167 - $B167) / $B167, "")</f>
        <v>-2.5735294117647058E-2</v>
      </c>
      <c r="O167" s="98">
        <f>IF(ISNUMBER(M167), $B172 * N167, "")</f>
        <v>-3860.2941176470586</v>
      </c>
      <c r="Q167" s="161"/>
      <c r="R167" s="161"/>
      <c r="S167" s="161"/>
    </row>
    <row r="168" spans="1:19" ht="17.25" thickBot="1">
      <c r="A168" s="109" t="s">
        <v>352</v>
      </c>
      <c r="B168" s="110">
        <v>242</v>
      </c>
      <c r="C168" s="70">
        <v>-1.6260162599999999E-2</v>
      </c>
      <c r="D168" s="15">
        <v>238</v>
      </c>
      <c r="E168" s="32">
        <f t="shared" ref="E168:E171" si="90">IF(ISNUMBER(D168), (D168 - $B168) / $B168, "")</f>
        <v>-1.6528925619834711E-2</v>
      </c>
      <c r="F168" s="18">
        <f>IF(ISNUMBER(D168), $B172 * E168, "")</f>
        <v>-2479.3388429752067</v>
      </c>
      <c r="G168" s="31">
        <v>238</v>
      </c>
      <c r="H168" s="32">
        <f t="shared" ref="H168:H171" si="91">IF(ISNUMBER(G168), (G168 - $B168) / $B168, "")</f>
        <v>-1.6528925619834711E-2</v>
      </c>
      <c r="I168" s="91">
        <f>IF(ISNUMBER(G168), $B172 * H168, "")</f>
        <v>-2479.3388429752067</v>
      </c>
      <c r="J168" s="15">
        <v>238</v>
      </c>
      <c r="K168" s="32">
        <f t="shared" ref="K168:K171" si="92">IF(ISNUMBER(J168), (J168 - $B168) / $B168, "")</f>
        <v>-1.6528925619834711E-2</v>
      </c>
      <c r="L168" s="18">
        <f>IF(ISNUMBER(J168), $B172 * K168, "")</f>
        <v>-2479.3388429752067</v>
      </c>
      <c r="M168" s="31">
        <v>238</v>
      </c>
      <c r="N168" s="32">
        <f t="shared" ref="N168:N171" si="93">IF(ISNUMBER(M168), (M168 - $B168) / $B168, "")</f>
        <v>-1.6528925619834711E-2</v>
      </c>
      <c r="O168" s="18">
        <f>IF(ISNUMBER(M168), $B172 * N168, "")</f>
        <v>-2479.3388429752067</v>
      </c>
      <c r="Q168" s="161"/>
      <c r="R168" s="161"/>
      <c r="S168" s="161"/>
    </row>
    <row r="169" spans="1:19" ht="17.25" thickBot="1">
      <c r="A169" s="109" t="s">
        <v>169</v>
      </c>
      <c r="B169" s="110">
        <v>262</v>
      </c>
      <c r="C169" s="70">
        <v>-1.8726591800000001E-2</v>
      </c>
      <c r="D169" s="15">
        <v>253</v>
      </c>
      <c r="E169" s="32">
        <f t="shared" si="90"/>
        <v>-3.4351145038167941E-2</v>
      </c>
      <c r="F169" s="18">
        <f>IF(ISNUMBER(D169), $B172 * E169, "")</f>
        <v>-5152.6717557251914</v>
      </c>
      <c r="G169" s="31">
        <v>253</v>
      </c>
      <c r="H169" s="32">
        <f t="shared" si="91"/>
        <v>-3.4351145038167941E-2</v>
      </c>
      <c r="I169" s="91">
        <f>IF(ISNUMBER(G169), $B172 * H169, "")</f>
        <v>-5152.6717557251914</v>
      </c>
      <c r="J169" s="15">
        <v>253</v>
      </c>
      <c r="K169" s="32">
        <f t="shared" si="92"/>
        <v>-3.4351145038167941E-2</v>
      </c>
      <c r="L169" s="18">
        <f>IF(ISNUMBER(J169), $B172 * K169, "")</f>
        <v>-5152.6717557251914</v>
      </c>
      <c r="M169" s="31">
        <v>253</v>
      </c>
      <c r="N169" s="32">
        <f t="shared" si="93"/>
        <v>-3.4351145038167941E-2</v>
      </c>
      <c r="O169" s="18">
        <f>IF(ISNUMBER(M169), $B172 * N169, "")</f>
        <v>-5152.6717557251914</v>
      </c>
      <c r="Q169" s="161"/>
      <c r="R169" s="161"/>
      <c r="S169" s="161"/>
    </row>
    <row r="170" spans="1:19">
      <c r="A170" s="109" t="s">
        <v>176</v>
      </c>
      <c r="B170" s="110">
        <v>352</v>
      </c>
      <c r="C170" s="70">
        <v>-4.3478260900000003E-2</v>
      </c>
      <c r="D170" s="15">
        <v>335</v>
      </c>
      <c r="E170" s="32">
        <f t="shared" si="90"/>
        <v>-4.8295454545454544E-2</v>
      </c>
      <c r="F170" s="18">
        <f>IF(ISNUMBER(D170), $B172 * E170, "")</f>
        <v>-7244.318181818182</v>
      </c>
      <c r="G170" s="31">
        <v>335</v>
      </c>
      <c r="H170" s="32">
        <f t="shared" si="91"/>
        <v>-4.8295454545454544E-2</v>
      </c>
      <c r="I170" s="91">
        <f>IF(ISNUMBER(G170), $B172 * H170, "")</f>
        <v>-7244.318181818182</v>
      </c>
      <c r="J170" s="15">
        <v>335</v>
      </c>
      <c r="K170" s="32">
        <f t="shared" si="92"/>
        <v>-4.8295454545454544E-2</v>
      </c>
      <c r="L170" s="18">
        <f>IF(ISNUMBER(J170), $B172 * K170, "")</f>
        <v>-7244.318181818182</v>
      </c>
      <c r="M170" s="31">
        <v>335</v>
      </c>
      <c r="N170" s="32">
        <f t="shared" si="93"/>
        <v>-4.8295454545454544E-2</v>
      </c>
      <c r="O170" s="18">
        <f>IF(ISNUMBER(M170), $B172 * N170, "")</f>
        <v>-7244.318181818182</v>
      </c>
      <c r="Q170" s="183"/>
      <c r="R170" s="184"/>
      <c r="S170" s="185"/>
    </row>
    <row r="171" spans="1:19" ht="17.25" thickBot="1">
      <c r="A171" s="114" t="s">
        <v>161</v>
      </c>
      <c r="B171" s="115">
        <v>369</v>
      </c>
      <c r="C171" s="72">
        <v>-5.3846153799999998E-2</v>
      </c>
      <c r="D171" s="24">
        <v>350</v>
      </c>
      <c r="E171" s="25">
        <f t="shared" si="90"/>
        <v>-5.1490514905149054E-2</v>
      </c>
      <c r="F171" s="94">
        <f>IF(ISNUMBER(D171), $B172 * E171, "")</f>
        <v>-7723.5772357723581</v>
      </c>
      <c r="G171" s="92">
        <v>350</v>
      </c>
      <c r="H171" s="25">
        <f t="shared" si="91"/>
        <v>-5.1490514905149054E-2</v>
      </c>
      <c r="I171" s="93">
        <f>IF(ISNUMBER(G171), $B172 * H171, "")</f>
        <v>-7723.5772357723581</v>
      </c>
      <c r="J171" s="24">
        <v>350</v>
      </c>
      <c r="K171" s="25">
        <f t="shared" si="92"/>
        <v>-5.1490514905149054E-2</v>
      </c>
      <c r="L171" s="94">
        <f>IF(ISNUMBER(J171), $B172 * K171, "")</f>
        <v>-7723.5772357723581</v>
      </c>
      <c r="M171" s="92">
        <v>350</v>
      </c>
      <c r="N171" s="25">
        <f t="shared" si="93"/>
        <v>-5.1490514905149054E-2</v>
      </c>
      <c r="O171" s="94">
        <f>IF(ISNUMBER(M171), $B172 * N171, "")</f>
        <v>-7723.5772357723581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-2.038988639959843E-2</v>
      </c>
      <c r="F172" s="28">
        <f>SUM(F152:F171)</f>
        <v>-61169.659198795285</v>
      </c>
      <c r="G172" s="26" t="s">
        <v>261</v>
      </c>
      <c r="H172" s="27">
        <f>IF(COUNT(H152:H171), SUM(H152:H171) / COUNT(H152:H171), 0)</f>
        <v>-2.038988639959843E-2</v>
      </c>
      <c r="I172" s="28">
        <f>SUM(I152:I171)</f>
        <v>-61169.659198795285</v>
      </c>
      <c r="J172" s="26" t="s">
        <v>261</v>
      </c>
      <c r="K172" s="27">
        <f>IF(COUNT(K152:K171), SUM(K152:K171) / COUNT(K152:K171), 0)</f>
        <v>-2.038988639959843E-2</v>
      </c>
      <c r="L172" s="28">
        <f>SUM(L152:L171)</f>
        <v>-61169.659198795285</v>
      </c>
      <c r="M172" s="26" t="s">
        <v>261</v>
      </c>
      <c r="N172" s="27">
        <f>IF(COUNT(N152:N171), SUM(N152:N171) / COUNT(N152:N171), 0)</f>
        <v>-2.038988639959843E-2</v>
      </c>
      <c r="O172" s="28">
        <f>SUM(O152:O171)</f>
        <v>-61169.659198795285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2022-12-15(목) 오전 00:00</v>
      </c>
      <c r="C177" s="199"/>
      <c r="D177" s="158" t="str">
        <f>TEXT($G$1, "[$-ko-KR]yyyy-mm-dd(ddd) ") &amp; "오후 14:00"</f>
        <v>2022-12-15(목) 오후 14:00</v>
      </c>
      <c r="E177" s="159"/>
      <c r="F177" s="160"/>
      <c r="G177" s="158" t="str">
        <f>TEXT($G$1, "[$-ko-KR]yyyy-mm-dd(ddd) ") &amp; "오후 19:00"</f>
        <v>2022-12-15(목) 오후 19:00</v>
      </c>
      <c r="H177" s="159"/>
      <c r="I177" s="160"/>
      <c r="J177" s="158" t="str">
        <f>TEXT($G$1, "[$-ko-KR]yyyy-mm-dd(ddd) ") &amp; "오후 21:00"</f>
        <v>2022-12-15(목) 오후 21:00</v>
      </c>
      <c r="K177" s="159"/>
      <c r="L177" s="160"/>
      <c r="M177" s="158" t="str">
        <f>TEXT($G$1+1, "[$-ko-KR]yyyy-mm-dd(ddd) ") &amp; "오전 00:00"</f>
        <v>2022-12-16(금)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212</v>
      </c>
      <c r="B179" s="108">
        <v>84.7</v>
      </c>
      <c r="C179" s="69">
        <v>-9.3567250999999994E-3</v>
      </c>
      <c r="D179" s="13">
        <v>83.4</v>
      </c>
      <c r="E179" s="14">
        <f>IF(ISNUMBER(D179), (D179 - $B179) / $B179, "")</f>
        <v>-1.5348288075560769E-2</v>
      </c>
      <c r="F179" s="16">
        <f>IF(ISNUMBER(D179), $B199 * E179, "")</f>
        <v>-2302.2432113341156</v>
      </c>
      <c r="G179" s="29">
        <v>83.4</v>
      </c>
      <c r="H179" s="14">
        <f>IF(ISNUMBER(G179), (G179 - $B179) / $B179, "")</f>
        <v>-1.5348288075560769E-2</v>
      </c>
      <c r="I179" s="90">
        <f>IF(ISNUMBER(G179), $B199 * H179, "")</f>
        <v>-2302.2432113341156</v>
      </c>
      <c r="J179" s="13">
        <v>83.4</v>
      </c>
      <c r="K179" s="14">
        <f>IF(ISNUMBER(J179), (J179 - $B179) / $B179, "")</f>
        <v>-1.5348288075560769E-2</v>
      </c>
      <c r="L179" s="16">
        <f>IF(ISNUMBER(J179), $B199 * K179, "")</f>
        <v>-2302.2432113341156</v>
      </c>
      <c r="M179" s="29">
        <v>83.4</v>
      </c>
      <c r="N179" s="14">
        <f>IF(ISNUMBER(M179), (M179 - $B179) / $B179, "")</f>
        <v>-1.5348288075560769E-2</v>
      </c>
      <c r="O179" s="16">
        <f>IF(ISNUMBER(M179), $B199 * N179, "")</f>
        <v>-2302.2432113341156</v>
      </c>
      <c r="Q179" s="156"/>
      <c r="R179" s="156"/>
      <c r="S179" s="156"/>
    </row>
    <row r="180" spans="1:19" ht="17.25" thickBot="1">
      <c r="A180" s="109" t="s">
        <v>338</v>
      </c>
      <c r="B180" s="110">
        <v>5.01</v>
      </c>
      <c r="C180" s="70">
        <v>-9.8814229000000007E-3</v>
      </c>
      <c r="D180" s="15">
        <v>4.9000000000000004</v>
      </c>
      <c r="E180" s="32">
        <f t="shared" ref="E180:E183" si="94">IF(ISNUMBER(D180), (D180 - $B180) / $B180, "")</f>
        <v>-2.1956087824351184E-2</v>
      </c>
      <c r="F180" s="18">
        <f>IF(ISNUMBER(D180), $B199 * E180, "")</f>
        <v>-3293.4131736526774</v>
      </c>
      <c r="G180" s="31">
        <v>4.9000000000000004</v>
      </c>
      <c r="H180" s="32">
        <f t="shared" ref="H180:H183" si="95">IF(ISNUMBER(G180), (G180 - $B180) / $B180, "")</f>
        <v>-2.1956087824351184E-2</v>
      </c>
      <c r="I180" s="91">
        <f>IF(ISNUMBER(G180), $B199 * H180, "")</f>
        <v>-3293.4131736526774</v>
      </c>
      <c r="J180" s="15">
        <v>4.9000000000000004</v>
      </c>
      <c r="K180" s="32">
        <f t="shared" ref="K180:K183" si="96">IF(ISNUMBER(J180), (J180 - $B180) / $B180, "")</f>
        <v>-2.1956087824351184E-2</v>
      </c>
      <c r="L180" s="18">
        <f>IF(ISNUMBER(J180), $B199 * K180, "")</f>
        <v>-3293.4131736526774</v>
      </c>
      <c r="M180" s="31">
        <v>4.9000000000000004</v>
      </c>
      <c r="N180" s="32">
        <f t="shared" ref="N180:N183" si="97">IF(ISNUMBER(M180), (M180 - $B180) / $B180, "")</f>
        <v>-2.1956087824351184E-2</v>
      </c>
      <c r="O180" s="18">
        <f>IF(ISNUMBER(M180), $B199 * N180, "")</f>
        <v>-3293.4131736526774</v>
      </c>
      <c r="Q180" s="156"/>
      <c r="R180" s="156"/>
      <c r="S180" s="156"/>
    </row>
    <row r="181" spans="1:19" ht="17.25" thickBot="1">
      <c r="A181" s="109" t="s">
        <v>124</v>
      </c>
      <c r="B181" s="110">
        <v>33</v>
      </c>
      <c r="C181" s="70">
        <v>-1.19760479E-2</v>
      </c>
      <c r="D181" s="15">
        <v>32</v>
      </c>
      <c r="E181" s="32">
        <f t="shared" si="94"/>
        <v>-3.0303030303030304E-2</v>
      </c>
      <c r="F181" s="18">
        <f>IF(ISNUMBER(D181), $B199 * E181, "")</f>
        <v>-4545.454545454546</v>
      </c>
      <c r="G181" s="31">
        <v>32</v>
      </c>
      <c r="H181" s="32">
        <f t="shared" si="95"/>
        <v>-3.0303030303030304E-2</v>
      </c>
      <c r="I181" s="91">
        <f>IF(ISNUMBER(G181), $B199 * H181, "")</f>
        <v>-4545.454545454546</v>
      </c>
      <c r="J181" s="15">
        <v>32</v>
      </c>
      <c r="K181" s="32">
        <f t="shared" si="96"/>
        <v>-3.0303030303030304E-2</v>
      </c>
      <c r="L181" s="18">
        <f>IF(ISNUMBER(J181), $B199 * K181, "")</f>
        <v>-4545.454545454546</v>
      </c>
      <c r="M181" s="31">
        <v>32</v>
      </c>
      <c r="N181" s="32">
        <f t="shared" si="97"/>
        <v>-3.0303030303030304E-2</v>
      </c>
      <c r="O181" s="18">
        <f>IF(ISNUMBER(M181), $B199 * N181, "")</f>
        <v>-4545.454545454546</v>
      </c>
      <c r="Q181" s="161"/>
      <c r="R181" s="161"/>
      <c r="S181" s="161"/>
    </row>
    <row r="182" spans="1:19" ht="17.25" thickBot="1">
      <c r="A182" s="109" t="s">
        <v>178</v>
      </c>
      <c r="B182" s="110">
        <v>1650</v>
      </c>
      <c r="C182" s="70">
        <v>-1.19760479E-2</v>
      </c>
      <c r="D182" s="15">
        <v>1615</v>
      </c>
      <c r="E182" s="32">
        <f t="shared" si="94"/>
        <v>-2.1212121212121213E-2</v>
      </c>
      <c r="F182" s="18">
        <f>IF(ISNUMBER(D182), $B199 * E182, "")</f>
        <v>-3181.818181818182</v>
      </c>
      <c r="G182" s="31">
        <v>1615</v>
      </c>
      <c r="H182" s="32">
        <f t="shared" si="95"/>
        <v>-2.1212121212121213E-2</v>
      </c>
      <c r="I182" s="91">
        <f>IF(ISNUMBER(G182), $B199 * H182, "")</f>
        <v>-3181.818181818182</v>
      </c>
      <c r="J182" s="15">
        <v>1615</v>
      </c>
      <c r="K182" s="32">
        <f t="shared" si="96"/>
        <v>-2.1212121212121213E-2</v>
      </c>
      <c r="L182" s="18">
        <f>IF(ISNUMBER(J182), $B199 * K182, "")</f>
        <v>-3181.818181818182</v>
      </c>
      <c r="M182" s="31">
        <v>1615</v>
      </c>
      <c r="N182" s="32">
        <f t="shared" si="97"/>
        <v>-2.1212121212121213E-2</v>
      </c>
      <c r="O182" s="18">
        <f>IF(ISNUMBER(M182), $B199 * N182, "")</f>
        <v>-3181.818181818182</v>
      </c>
      <c r="Q182" s="161"/>
      <c r="R182" s="161"/>
      <c r="S182" s="161"/>
    </row>
    <row r="183" spans="1:19" ht="17.25" thickBot="1">
      <c r="A183" s="111" t="s">
        <v>234</v>
      </c>
      <c r="B183" s="112">
        <v>412</v>
      </c>
      <c r="C183" s="71">
        <v>-1.19904077E-2</v>
      </c>
      <c r="D183" s="20">
        <v>398</v>
      </c>
      <c r="E183" s="21">
        <f t="shared" si="94"/>
        <v>-3.3980582524271843E-2</v>
      </c>
      <c r="F183" s="22">
        <f>IF(ISNUMBER(D183), $B199 * E183, "")</f>
        <v>-5097.0873786407765</v>
      </c>
      <c r="G183" s="30">
        <v>398</v>
      </c>
      <c r="H183" s="21">
        <f t="shared" si="95"/>
        <v>-3.3980582524271843E-2</v>
      </c>
      <c r="I183" s="95">
        <f>IF(ISNUMBER(G183), $B199 * H183, "")</f>
        <v>-5097.0873786407765</v>
      </c>
      <c r="J183" s="20">
        <v>398</v>
      </c>
      <c r="K183" s="21">
        <f t="shared" si="96"/>
        <v>-3.3980582524271843E-2</v>
      </c>
      <c r="L183" s="22">
        <f>IF(ISNUMBER(J183), $B199 * K183, "")</f>
        <v>-5097.0873786407765</v>
      </c>
      <c r="M183" s="30">
        <v>398</v>
      </c>
      <c r="N183" s="21">
        <f t="shared" si="97"/>
        <v>-3.3980582524271843E-2</v>
      </c>
      <c r="O183" s="22">
        <f>IF(ISNUMBER(M183), $B199 * N183, "")</f>
        <v>-5097.0873786407765</v>
      </c>
      <c r="Q183" s="161"/>
      <c r="R183" s="161"/>
      <c r="S183" s="161"/>
    </row>
    <row r="184" spans="1:19" ht="17.25" thickBot="1">
      <c r="A184" s="109" t="s">
        <v>349</v>
      </c>
      <c r="B184" s="113">
        <v>719</v>
      </c>
      <c r="C184" s="73">
        <v>-1.37174211E-2</v>
      </c>
      <c r="D184" s="96">
        <v>764</v>
      </c>
      <c r="E184" s="97">
        <f>IF(ISNUMBER(D184), (D184 - $B184) / $B184, "")</f>
        <v>6.258692628650904E-2</v>
      </c>
      <c r="F184" s="98">
        <f>IF(ISNUMBER(D184), $B199 * E184, "")</f>
        <v>9388.0389429763563</v>
      </c>
      <c r="G184" s="99">
        <v>764</v>
      </c>
      <c r="H184" s="97">
        <f>IF(ISNUMBER(G184), (G184 - $B184) / $B184, "")</f>
        <v>6.258692628650904E-2</v>
      </c>
      <c r="I184" s="100">
        <f>IF(ISNUMBER(G184), $B199 * H184, "")</f>
        <v>9388.0389429763563</v>
      </c>
      <c r="J184" s="96">
        <v>764</v>
      </c>
      <c r="K184" s="97">
        <f>IF(ISNUMBER(J184), (J184 - $B184) / $B184, "")</f>
        <v>6.258692628650904E-2</v>
      </c>
      <c r="L184" s="98">
        <f>IF(ISNUMBER(J184), $B199 * K184, "")</f>
        <v>9388.0389429763563</v>
      </c>
      <c r="M184" s="99">
        <v>764</v>
      </c>
      <c r="N184" s="97">
        <f>IF(ISNUMBER(M184), (M184 - $B184) / $B184, "")</f>
        <v>6.258692628650904E-2</v>
      </c>
      <c r="O184" s="98">
        <f>IF(ISNUMBER(M184), $B199 * N184, "")</f>
        <v>9388.0389429763563</v>
      </c>
      <c r="Q184" s="161"/>
      <c r="R184" s="161"/>
      <c r="S184" s="161"/>
    </row>
    <row r="185" spans="1:19" ht="17.25" thickBot="1">
      <c r="A185" s="109" t="s">
        <v>181</v>
      </c>
      <c r="B185" s="110">
        <v>4.78</v>
      </c>
      <c r="C185" s="70">
        <v>-1.4432989699999999E-2</v>
      </c>
      <c r="D185" s="15">
        <v>4.71</v>
      </c>
      <c r="E185" s="32">
        <f t="shared" ref="E185:E188" si="98">IF(ISNUMBER(D185), (D185 - $B185) / $B185, "")</f>
        <v>-1.4644351464435205E-2</v>
      </c>
      <c r="F185" s="18">
        <f>IF(ISNUMBER(D185), $B199 * E185, "")</f>
        <v>-2196.652719665281</v>
      </c>
      <c r="G185" s="31">
        <v>4.71</v>
      </c>
      <c r="H185" s="32">
        <f t="shared" ref="H185:H188" si="99">IF(ISNUMBER(G185), (G185 - $B185) / $B185, "")</f>
        <v>-1.4644351464435205E-2</v>
      </c>
      <c r="I185" s="91">
        <f>IF(ISNUMBER(G185), $B199 * H185, "")</f>
        <v>-2196.652719665281</v>
      </c>
      <c r="J185" s="15">
        <v>4.71</v>
      </c>
      <c r="K185" s="32">
        <f t="shared" ref="K185:K188" si="100">IF(ISNUMBER(J185), (J185 - $B185) / $B185, "")</f>
        <v>-1.4644351464435205E-2</v>
      </c>
      <c r="L185" s="18">
        <f>IF(ISNUMBER(J185), $B199 * K185, "")</f>
        <v>-2196.652719665281</v>
      </c>
      <c r="M185" s="31">
        <v>4.71</v>
      </c>
      <c r="N185" s="32">
        <f t="shared" ref="N185:N188" si="101">IF(ISNUMBER(M185), (M185 - $B185) / $B185, "")</f>
        <v>-1.4644351464435205E-2</v>
      </c>
      <c r="O185" s="18">
        <f>IF(ISNUMBER(M185), $B199 * N185, "")</f>
        <v>-2196.652719665281</v>
      </c>
      <c r="Q185" s="161"/>
      <c r="R185" s="161"/>
      <c r="S185" s="161"/>
    </row>
    <row r="186" spans="1:19" ht="17.25" thickBot="1">
      <c r="A186" s="109" t="s">
        <v>204</v>
      </c>
      <c r="B186" s="110">
        <v>272</v>
      </c>
      <c r="C186" s="70">
        <v>-1.44927536E-2</v>
      </c>
      <c r="D186" s="15">
        <v>265</v>
      </c>
      <c r="E186" s="32">
        <f t="shared" si="98"/>
        <v>-2.5735294117647058E-2</v>
      </c>
      <c r="F186" s="18">
        <f>IF(ISNUMBER(D186), $B199 * E186, "")</f>
        <v>-3860.2941176470586</v>
      </c>
      <c r="G186" s="31">
        <v>265</v>
      </c>
      <c r="H186" s="32">
        <f t="shared" si="99"/>
        <v>-2.5735294117647058E-2</v>
      </c>
      <c r="I186" s="91">
        <f>IF(ISNUMBER(G186), $B199 * H186, "")</f>
        <v>-3860.2941176470586</v>
      </c>
      <c r="J186" s="15">
        <v>265</v>
      </c>
      <c r="K186" s="32">
        <f t="shared" si="100"/>
        <v>-2.5735294117647058E-2</v>
      </c>
      <c r="L186" s="18">
        <f>IF(ISNUMBER(J186), $B199 * K186, "")</f>
        <v>-3860.2941176470586</v>
      </c>
      <c r="M186" s="31">
        <v>265</v>
      </c>
      <c r="N186" s="32">
        <f t="shared" si="101"/>
        <v>-2.5735294117647058E-2</v>
      </c>
      <c r="O186" s="18">
        <f>IF(ISNUMBER(M186), $B199 * N186, "")</f>
        <v>-3860.2941176470586</v>
      </c>
      <c r="Q186" s="161"/>
      <c r="R186" s="161"/>
      <c r="S186" s="161"/>
    </row>
    <row r="187" spans="1:19" ht="17.25" thickBot="1">
      <c r="A187" s="109" t="s">
        <v>136</v>
      </c>
      <c r="B187" s="110">
        <v>3030</v>
      </c>
      <c r="C187" s="70">
        <v>-1.4634146299999999E-2</v>
      </c>
      <c r="D187" s="15">
        <v>2970</v>
      </c>
      <c r="E187" s="32">
        <f t="shared" si="98"/>
        <v>-1.9801980198019802E-2</v>
      </c>
      <c r="F187" s="18">
        <f>IF(ISNUMBER(D187), $B199 * E187, "")</f>
        <v>-2970.2970297029701</v>
      </c>
      <c r="G187" s="31">
        <v>2970</v>
      </c>
      <c r="H187" s="32">
        <f t="shared" si="99"/>
        <v>-1.9801980198019802E-2</v>
      </c>
      <c r="I187" s="91">
        <f>IF(ISNUMBER(G187), $B199 * H187, "")</f>
        <v>-2970.2970297029701</v>
      </c>
      <c r="J187" s="15">
        <v>2970</v>
      </c>
      <c r="K187" s="32">
        <f t="shared" si="100"/>
        <v>-1.9801980198019802E-2</v>
      </c>
      <c r="L187" s="18">
        <f>IF(ISNUMBER(J187), $B199 * K187, "")</f>
        <v>-2970.2970297029701</v>
      </c>
      <c r="M187" s="31">
        <v>2970</v>
      </c>
      <c r="N187" s="32">
        <f t="shared" si="101"/>
        <v>-1.9801980198019802E-2</v>
      </c>
      <c r="O187" s="18">
        <f>IF(ISNUMBER(M187), $B199 * N187, "")</f>
        <v>-2970.2970297029701</v>
      </c>
      <c r="Q187" s="33"/>
      <c r="R187" s="33"/>
    </row>
    <row r="188" spans="1:19" ht="17.25" thickBot="1">
      <c r="A188" s="114" t="s">
        <v>352</v>
      </c>
      <c r="B188" s="115">
        <v>242</v>
      </c>
      <c r="C188" s="72">
        <v>-1.6260162599999999E-2</v>
      </c>
      <c r="D188" s="24">
        <v>238</v>
      </c>
      <c r="E188" s="25">
        <f t="shared" si="98"/>
        <v>-1.6528925619834711E-2</v>
      </c>
      <c r="F188" s="94">
        <f>IF(ISNUMBER(D188), $B199 * E188, "")</f>
        <v>-2479.3388429752067</v>
      </c>
      <c r="G188" s="92">
        <v>238</v>
      </c>
      <c r="H188" s="25">
        <f t="shared" si="99"/>
        <v>-1.6528925619834711E-2</v>
      </c>
      <c r="I188" s="93">
        <f>IF(ISNUMBER(G188), $B199 * H188, "")</f>
        <v>-2479.3388429752067</v>
      </c>
      <c r="J188" s="24">
        <v>238</v>
      </c>
      <c r="K188" s="25">
        <f t="shared" si="100"/>
        <v>-1.6528925619834711E-2</v>
      </c>
      <c r="L188" s="94">
        <f>IF(ISNUMBER(J188), $B199 * K188, "")</f>
        <v>-2479.3388429752067</v>
      </c>
      <c r="M188" s="92">
        <v>238</v>
      </c>
      <c r="N188" s="25">
        <f t="shared" si="101"/>
        <v>-1.6528925619834711E-2</v>
      </c>
      <c r="O188" s="94">
        <f>IF(ISNUMBER(M188), $B199 * N188, "")</f>
        <v>-2479.3388429752067</v>
      </c>
      <c r="Q188" s="170"/>
      <c r="R188" s="171"/>
      <c r="S188" s="172"/>
    </row>
    <row r="189" spans="1:19">
      <c r="A189" s="107" t="s">
        <v>169</v>
      </c>
      <c r="B189" s="108">
        <v>262</v>
      </c>
      <c r="C189" s="69">
        <v>-1.8726591800000001E-2</v>
      </c>
      <c r="D189" s="13">
        <v>253</v>
      </c>
      <c r="E189" s="14">
        <f>IF(ISNUMBER(D189), (D189 - $B189) / $B189, "")</f>
        <v>-3.4351145038167941E-2</v>
      </c>
      <c r="F189" s="16">
        <f>IF(ISNUMBER(D189), $B199 * E189, "")</f>
        <v>-5152.6717557251914</v>
      </c>
      <c r="G189" s="29">
        <v>253</v>
      </c>
      <c r="H189" s="14">
        <f>IF(ISNUMBER(G189), (G189 - $B189) / $B189, "")</f>
        <v>-3.4351145038167941E-2</v>
      </c>
      <c r="I189" s="90">
        <f>IF(ISNUMBER(G189), $B199 * H189, "")</f>
        <v>-5152.6717557251914</v>
      </c>
      <c r="J189" s="13">
        <v>253</v>
      </c>
      <c r="K189" s="14">
        <f>IF(ISNUMBER(J189), (J189 - $B189) / $B189, "")</f>
        <v>-3.4351145038167941E-2</v>
      </c>
      <c r="L189" s="16">
        <f>IF(ISNUMBER(J189), $B199 * K189, "")</f>
        <v>-5152.6717557251914</v>
      </c>
      <c r="M189" s="29">
        <v>253</v>
      </c>
      <c r="N189" s="14">
        <f>IF(ISNUMBER(M189), (M189 - $B189) / $B189, "")</f>
        <v>-3.4351145038167941E-2</v>
      </c>
      <c r="O189" s="16">
        <f>IF(ISNUMBER(M189), $B199 * N189, "")</f>
        <v>-5152.6717557251914</v>
      </c>
      <c r="Q189" s="173"/>
      <c r="R189" s="174"/>
      <c r="S189" s="175"/>
    </row>
    <row r="190" spans="1:19" ht="17.25" thickBot="1">
      <c r="A190" s="109" t="s">
        <v>151</v>
      </c>
      <c r="B190" s="110">
        <v>2420</v>
      </c>
      <c r="C190" s="70">
        <v>-2.2222222199999999E-2</v>
      </c>
      <c r="D190" s="15">
        <v>2365</v>
      </c>
      <c r="E190" s="32">
        <f t="shared" ref="E190:E193" si="102">IF(ISNUMBER(D190), (D190 - $B190) / $B190, "")</f>
        <v>-2.2727272727272728E-2</v>
      </c>
      <c r="F190" s="18">
        <f>IF(ISNUMBER(D190), $B199 * E190, "")</f>
        <v>-3409.090909090909</v>
      </c>
      <c r="G190" s="31">
        <v>2365</v>
      </c>
      <c r="H190" s="32">
        <f t="shared" ref="H190:H193" si="103">IF(ISNUMBER(G190), (G190 - $B190) / $B190, "")</f>
        <v>-2.2727272727272728E-2</v>
      </c>
      <c r="I190" s="91">
        <f>IF(ISNUMBER(G190), $B199 * H190, "")</f>
        <v>-3409.090909090909</v>
      </c>
      <c r="J190" s="15">
        <v>2365</v>
      </c>
      <c r="K190" s="32">
        <f t="shared" ref="K190:K193" si="104">IF(ISNUMBER(J190), (J190 - $B190) / $B190, "")</f>
        <v>-2.2727272727272728E-2</v>
      </c>
      <c r="L190" s="18">
        <f>IF(ISNUMBER(J190), $B199 * K190, "")</f>
        <v>-3409.090909090909</v>
      </c>
      <c r="M190" s="31">
        <v>2365</v>
      </c>
      <c r="N190" s="32">
        <f t="shared" ref="N190:N193" si="105">IF(ISNUMBER(M190), (M190 - $B190) / $B190, "")</f>
        <v>-2.2727272727272728E-2</v>
      </c>
      <c r="O190" s="18">
        <f>IF(ISNUMBER(M190), $B199 * N190, "")</f>
        <v>-3409.090909090909</v>
      </c>
      <c r="Q190" s="176"/>
      <c r="R190" s="177"/>
      <c r="S190" s="178"/>
    </row>
    <row r="191" spans="1:19" ht="17.25" thickBot="1">
      <c r="A191" s="109" t="s">
        <v>143</v>
      </c>
      <c r="B191" s="110">
        <v>4.1500000000000004</v>
      </c>
      <c r="C191" s="70">
        <v>-2.35294118E-2</v>
      </c>
      <c r="D191" s="15">
        <v>4.04</v>
      </c>
      <c r="E191" s="32">
        <f t="shared" si="102"/>
        <v>-2.6506024096385618E-2</v>
      </c>
      <c r="F191" s="18">
        <f>IF(ISNUMBER(D191), $B199 * E191, "")</f>
        <v>-3975.9036144578427</v>
      </c>
      <c r="G191" s="31">
        <v>4.04</v>
      </c>
      <c r="H191" s="32">
        <f t="shared" si="103"/>
        <v>-2.6506024096385618E-2</v>
      </c>
      <c r="I191" s="91">
        <f>IF(ISNUMBER(G191), $B199 * H191, "")</f>
        <v>-3975.9036144578427</v>
      </c>
      <c r="J191" s="15">
        <v>4.04</v>
      </c>
      <c r="K191" s="32">
        <f t="shared" si="104"/>
        <v>-2.6506024096385618E-2</v>
      </c>
      <c r="L191" s="18">
        <f>IF(ISNUMBER(J191), $B199 * K191, "")</f>
        <v>-3975.9036144578427</v>
      </c>
      <c r="M191" s="31">
        <v>4.04</v>
      </c>
      <c r="N191" s="32">
        <f t="shared" si="105"/>
        <v>-2.6506024096385618E-2</v>
      </c>
      <c r="O191" s="18">
        <f>IF(ISNUMBER(M191), $B199 * N191, "")</f>
        <v>-3975.9036144578427</v>
      </c>
      <c r="Q191" s="161"/>
      <c r="R191" s="161"/>
      <c r="S191" s="161"/>
    </row>
    <row r="192" spans="1:19" ht="17.25" thickBot="1">
      <c r="A192" s="109" t="s">
        <v>206</v>
      </c>
      <c r="B192" s="110">
        <v>3.67</v>
      </c>
      <c r="C192" s="70">
        <v>-2.3936170199999999E-2</v>
      </c>
      <c r="D192" s="15">
        <v>3.69</v>
      </c>
      <c r="E192" s="32">
        <f t="shared" si="102"/>
        <v>5.449591280653956E-3</v>
      </c>
      <c r="F192" s="18">
        <f>IF(ISNUMBER(D192), $B199 * E192, "")</f>
        <v>817.43869209809338</v>
      </c>
      <c r="G192" s="31">
        <v>3.69</v>
      </c>
      <c r="H192" s="32">
        <f t="shared" si="103"/>
        <v>5.449591280653956E-3</v>
      </c>
      <c r="I192" s="91">
        <f>IF(ISNUMBER(G192), $B199 * H192, "")</f>
        <v>817.43869209809338</v>
      </c>
      <c r="J192" s="15">
        <v>3.69</v>
      </c>
      <c r="K192" s="32">
        <f t="shared" si="104"/>
        <v>5.449591280653956E-3</v>
      </c>
      <c r="L192" s="18">
        <f>IF(ISNUMBER(J192), $B199 * K192, "")</f>
        <v>817.43869209809338</v>
      </c>
      <c r="M192" s="31">
        <v>3.69</v>
      </c>
      <c r="N192" s="32">
        <f t="shared" si="105"/>
        <v>5.449591280653956E-3</v>
      </c>
      <c r="O192" s="18">
        <f>IF(ISNUMBER(M192), $B199 * N192, "")</f>
        <v>817.43869209809338</v>
      </c>
      <c r="Q192" s="156"/>
      <c r="R192" s="156"/>
      <c r="S192" s="156"/>
    </row>
    <row r="193" spans="1:19" ht="17.25" thickBot="1">
      <c r="A193" s="111" t="s">
        <v>198</v>
      </c>
      <c r="B193" s="112">
        <v>8.64</v>
      </c>
      <c r="C193" s="71">
        <v>-2.4830699800000001E-2</v>
      </c>
      <c r="D193" s="20">
        <v>8.89</v>
      </c>
      <c r="E193" s="21">
        <f t="shared" si="102"/>
        <v>2.8935185185185182E-2</v>
      </c>
      <c r="F193" s="22">
        <f>IF(ISNUMBER(D193), $B199 * E193, "")</f>
        <v>4340.2777777777774</v>
      </c>
      <c r="G193" s="30">
        <v>8.89</v>
      </c>
      <c r="H193" s="21">
        <f t="shared" si="103"/>
        <v>2.8935185185185182E-2</v>
      </c>
      <c r="I193" s="95">
        <f>IF(ISNUMBER(G193), $B199 * H193, "")</f>
        <v>4340.2777777777774</v>
      </c>
      <c r="J193" s="20">
        <v>8.89</v>
      </c>
      <c r="K193" s="21">
        <f t="shared" si="104"/>
        <v>2.8935185185185182E-2</v>
      </c>
      <c r="L193" s="22">
        <f>IF(ISNUMBER(J193), $B199 * K193, "")</f>
        <v>4340.2777777777774</v>
      </c>
      <c r="M193" s="30">
        <v>8.89</v>
      </c>
      <c r="N193" s="21">
        <f t="shared" si="105"/>
        <v>2.8935185185185182E-2</v>
      </c>
      <c r="O193" s="22">
        <f>IF(ISNUMBER(M193), $B199 * N193, "")</f>
        <v>4340.2777777777774</v>
      </c>
      <c r="Q193" s="156"/>
      <c r="R193" s="156"/>
      <c r="S193" s="156"/>
    </row>
    <row r="194" spans="1:19" ht="17.25" thickBot="1">
      <c r="A194" s="109" t="s">
        <v>113</v>
      </c>
      <c r="B194" s="113">
        <v>1410</v>
      </c>
      <c r="C194" s="73">
        <v>-2.75862069E-2</v>
      </c>
      <c r="D194" s="96">
        <v>1530</v>
      </c>
      <c r="E194" s="97">
        <f>IF(ISNUMBER(D194), (D194 - $B194) / $B194, "")</f>
        <v>8.5106382978723402E-2</v>
      </c>
      <c r="F194" s="98">
        <f>IF(ISNUMBER(D194), $B199 * E194, "")</f>
        <v>12765.95744680851</v>
      </c>
      <c r="G194" s="99">
        <v>1530</v>
      </c>
      <c r="H194" s="97">
        <f>IF(ISNUMBER(G194), (G194 - $B194) / $B194, "")</f>
        <v>8.5106382978723402E-2</v>
      </c>
      <c r="I194" s="100">
        <f>IF(ISNUMBER(G194), $B199 * H194, "")</f>
        <v>12765.95744680851</v>
      </c>
      <c r="J194" s="96">
        <v>1530</v>
      </c>
      <c r="K194" s="97">
        <f>IF(ISNUMBER(J194), (J194 - $B194) / $B194, "")</f>
        <v>8.5106382978723402E-2</v>
      </c>
      <c r="L194" s="98">
        <f>IF(ISNUMBER(J194), $B199 * K194, "")</f>
        <v>12765.95744680851</v>
      </c>
      <c r="M194" s="99">
        <v>1530</v>
      </c>
      <c r="N194" s="97">
        <f>IF(ISNUMBER(M194), (M194 - $B194) / $B194, "")</f>
        <v>8.5106382978723402E-2</v>
      </c>
      <c r="O194" s="98">
        <f>IF(ISNUMBER(M194), $B199 * N194, "")</f>
        <v>12765.95744680851</v>
      </c>
      <c r="Q194" s="161"/>
      <c r="R194" s="161"/>
      <c r="S194" s="161"/>
    </row>
    <row r="195" spans="1:19" ht="17.25" thickBot="1">
      <c r="A195" s="109" t="s">
        <v>116</v>
      </c>
      <c r="B195" s="110">
        <v>1145</v>
      </c>
      <c r="C195" s="70">
        <v>-3.7815126099999999E-2</v>
      </c>
      <c r="D195" s="15">
        <v>1095</v>
      </c>
      <c r="E195" s="32">
        <f t="shared" ref="E195:E198" si="106">IF(ISNUMBER(D195), (D195 - $B195) / $B195, "")</f>
        <v>-4.3668122270742356E-2</v>
      </c>
      <c r="F195" s="18">
        <f>IF(ISNUMBER(D195), $B199 * E195, "")</f>
        <v>-6550.2183406113536</v>
      </c>
      <c r="G195" s="31">
        <v>1095</v>
      </c>
      <c r="H195" s="32">
        <f t="shared" ref="H195:H198" si="107">IF(ISNUMBER(G195), (G195 - $B195) / $B195, "")</f>
        <v>-4.3668122270742356E-2</v>
      </c>
      <c r="I195" s="91">
        <f>IF(ISNUMBER(G195), $B199 * H195, "")</f>
        <v>-6550.2183406113536</v>
      </c>
      <c r="J195" s="15">
        <v>1095</v>
      </c>
      <c r="K195" s="32">
        <f t="shared" ref="K195:K198" si="108">IF(ISNUMBER(J195), (J195 - $B195) / $B195, "")</f>
        <v>-4.3668122270742356E-2</v>
      </c>
      <c r="L195" s="18">
        <f>IF(ISNUMBER(J195), $B199 * K195, "")</f>
        <v>-6550.2183406113536</v>
      </c>
      <c r="M195" s="31">
        <v>1095</v>
      </c>
      <c r="N195" s="32">
        <f t="shared" ref="N195:N198" si="109">IF(ISNUMBER(M195), (M195 - $B195) / $B195, "")</f>
        <v>-4.3668122270742356E-2</v>
      </c>
      <c r="O195" s="18">
        <f>IF(ISNUMBER(M195), $B199 * N195, "")</f>
        <v>-6550.2183406113536</v>
      </c>
      <c r="Q195" s="161"/>
      <c r="R195" s="161"/>
      <c r="S195" s="161"/>
    </row>
    <row r="196" spans="1:19" ht="17.25" thickBot="1">
      <c r="A196" s="109" t="s">
        <v>176</v>
      </c>
      <c r="B196" s="110">
        <v>352</v>
      </c>
      <c r="C196" s="70">
        <v>-4.3478260900000003E-2</v>
      </c>
      <c r="D196" s="15">
        <v>335</v>
      </c>
      <c r="E196" s="32">
        <f t="shared" si="106"/>
        <v>-4.8295454545454544E-2</v>
      </c>
      <c r="F196" s="18">
        <f>IF(ISNUMBER(D196), $B199 * E196, "")</f>
        <v>-7244.318181818182</v>
      </c>
      <c r="G196" s="31">
        <v>335</v>
      </c>
      <c r="H196" s="32">
        <f t="shared" si="107"/>
        <v>-4.8295454545454544E-2</v>
      </c>
      <c r="I196" s="91">
        <f>IF(ISNUMBER(G196), $B199 * H196, "")</f>
        <v>-7244.318181818182</v>
      </c>
      <c r="J196" s="15">
        <v>335</v>
      </c>
      <c r="K196" s="32">
        <f t="shared" si="108"/>
        <v>-4.8295454545454544E-2</v>
      </c>
      <c r="L196" s="18">
        <f>IF(ISNUMBER(J196), $B199 * K196, "")</f>
        <v>-7244.318181818182</v>
      </c>
      <c r="M196" s="31">
        <v>335</v>
      </c>
      <c r="N196" s="32">
        <f t="shared" si="109"/>
        <v>-4.8295454545454544E-2</v>
      </c>
      <c r="O196" s="18">
        <f>IF(ISNUMBER(M196), $B199 * N196, "")</f>
        <v>-7244.318181818182</v>
      </c>
      <c r="Q196" s="161"/>
      <c r="R196" s="161"/>
      <c r="S196" s="161"/>
    </row>
    <row r="197" spans="1:19">
      <c r="A197" s="109" t="s">
        <v>161</v>
      </c>
      <c r="B197" s="110">
        <v>369</v>
      </c>
      <c r="C197" s="70">
        <v>-5.3846153799999998E-2</v>
      </c>
      <c r="D197" s="15">
        <v>350</v>
      </c>
      <c r="E197" s="32">
        <f t="shared" si="106"/>
        <v>-5.1490514905149054E-2</v>
      </c>
      <c r="F197" s="18">
        <f>IF(ISNUMBER(D197), $B199 * E197, "")</f>
        <v>-7723.5772357723581</v>
      </c>
      <c r="G197" s="31">
        <v>350</v>
      </c>
      <c r="H197" s="32">
        <f t="shared" si="107"/>
        <v>-5.1490514905149054E-2</v>
      </c>
      <c r="I197" s="91">
        <f>IF(ISNUMBER(G197), $B199 * H197, "")</f>
        <v>-7723.5772357723581</v>
      </c>
      <c r="J197" s="15">
        <v>350</v>
      </c>
      <c r="K197" s="32">
        <f t="shared" si="108"/>
        <v>-5.1490514905149054E-2</v>
      </c>
      <c r="L197" s="18">
        <f>IF(ISNUMBER(J197), $B199 * K197, "")</f>
        <v>-7723.5772357723581</v>
      </c>
      <c r="M197" s="31">
        <v>350</v>
      </c>
      <c r="N197" s="32">
        <f t="shared" si="109"/>
        <v>-5.1490514905149054E-2</v>
      </c>
      <c r="O197" s="18">
        <f>IF(ISNUMBER(M197), $B199 * N197, "")</f>
        <v>-7723.5772357723581</v>
      </c>
      <c r="Q197" s="183"/>
      <c r="R197" s="184"/>
      <c r="S197" s="185"/>
    </row>
    <row r="198" spans="1:19" ht="17.25" thickBot="1">
      <c r="A198" s="114" t="s">
        <v>141</v>
      </c>
      <c r="B198" s="115">
        <v>3.78</v>
      </c>
      <c r="C198" s="72">
        <v>-9.5693779899999998E-2</v>
      </c>
      <c r="D198" s="24">
        <v>3.58</v>
      </c>
      <c r="E198" s="25">
        <f t="shared" si="106"/>
        <v>-5.2910052910052845E-2</v>
      </c>
      <c r="F198" s="94">
        <f>IF(ISNUMBER(D198), $B199 * E198, "")</f>
        <v>-7936.5079365079264</v>
      </c>
      <c r="G198" s="92">
        <v>3.58</v>
      </c>
      <c r="H198" s="25">
        <f t="shared" si="107"/>
        <v>-5.2910052910052845E-2</v>
      </c>
      <c r="I198" s="93">
        <f>IF(ISNUMBER(G198), $B199 * H198, "")</f>
        <v>-7936.5079365079264</v>
      </c>
      <c r="J198" s="24">
        <v>3.58</v>
      </c>
      <c r="K198" s="25">
        <f t="shared" si="108"/>
        <v>-5.2910052910052845E-2</v>
      </c>
      <c r="L198" s="94">
        <f>IF(ISNUMBER(J198), $B199 * K198, "")</f>
        <v>-7936.5079365079264</v>
      </c>
      <c r="M198" s="92">
        <v>3.58</v>
      </c>
      <c r="N198" s="25">
        <f t="shared" si="109"/>
        <v>-5.2910052910052845E-2</v>
      </c>
      <c r="O198" s="94">
        <f>IF(ISNUMBER(M198), $B199 * N198, "")</f>
        <v>-7936.5079365079264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-1.4869058105071281E-2</v>
      </c>
      <c r="F199" s="28">
        <f>SUM(F179:F198)</f>
        <v>-44607.174315213837</v>
      </c>
      <c r="G199" s="26" t="s">
        <v>261</v>
      </c>
      <c r="H199" s="27">
        <f>IF(COUNT(H179:H198), SUM(H179:H198) / COUNT(H179:H198), 0)</f>
        <v>-1.4869058105071281E-2</v>
      </c>
      <c r="I199" s="28">
        <f>SUM(I179:I198)</f>
        <v>-44607.174315213837</v>
      </c>
      <c r="J199" s="26" t="s">
        <v>261</v>
      </c>
      <c r="K199" s="27">
        <f>IF(COUNT(K179:K198), SUM(K179:K198) / COUNT(K179:K198), 0)</f>
        <v>-1.4869058105071281E-2</v>
      </c>
      <c r="L199" s="28">
        <f>SUM(L179:L198)</f>
        <v>-44607.174315213837</v>
      </c>
      <c r="M199" s="26" t="s">
        <v>261</v>
      </c>
      <c r="N199" s="27">
        <f>IF(COUNT(N179:N198), SUM(N179:N198) / COUNT(N179:N198), 0)</f>
        <v>-1.4869058105071281E-2</v>
      </c>
      <c r="O199" s="28">
        <f>SUM(O179:O198)</f>
        <v>-44607.174315213837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C738D-0E0E-4887-A06A-8FAD2EE180F8}">
  <sheetPr codeName="Sheet22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44911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-99,632 KRW (-3.32%)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-104,583 KRW (-3.49%)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-114,277 KRW (-3.81%)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-88,873 KRW (-2.96%)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2022-12-16(금) 오전 00:00</v>
      </c>
      <c r="C15" s="202"/>
      <c r="D15" s="158" t="str">
        <f>TEXT($G$1, "[$-ko-KR]yyyy-mm-dd(ddd) ") &amp; "오후 14:00"</f>
        <v>2022-12-16(금) 오후 14:00</v>
      </c>
      <c r="E15" s="159"/>
      <c r="F15" s="160"/>
      <c r="G15" s="158" t="str">
        <f>TEXT($G$1, "[$-ko-KR]yyyy-mm-dd(ddd) ") &amp; "오후 19:00"</f>
        <v>2022-12-16(금) 오후 19:00</v>
      </c>
      <c r="H15" s="159"/>
      <c r="I15" s="160"/>
      <c r="J15" s="158" t="str">
        <f>TEXT($G$1, "[$-ko-KR]yyyy-mm-dd(ddd) ") &amp; "오후 21:00"</f>
        <v>2022-12-16(금) 오후 21:00</v>
      </c>
      <c r="K15" s="159"/>
      <c r="L15" s="160"/>
      <c r="M15" s="158" t="str">
        <f>TEXT($G$1+1, "[$-ko-KR]yyyy-mm-dd(ddd) ") &amp; "오전 00:00"</f>
        <v>2022-12-17(토)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2022-12-16(금) 오전 00:00</v>
      </c>
      <c r="C42" s="199"/>
      <c r="D42" s="158" t="str">
        <f>TEXT($G$1, "[$-ko-KR]yyyy-mm-dd(ddd) ") &amp; "오후 14:00"</f>
        <v>2022-12-16(금) 오후 14:00</v>
      </c>
      <c r="E42" s="159"/>
      <c r="F42" s="160"/>
      <c r="G42" s="158" t="str">
        <f>TEXT($G$1, "[$-ko-KR]yyyy-mm-dd(ddd) ") &amp; "오후 19:00"</f>
        <v>2022-12-16(금) 오후 19:00</v>
      </c>
      <c r="H42" s="159"/>
      <c r="I42" s="160"/>
      <c r="J42" s="158" t="str">
        <f>TEXT($G$1, "[$-ko-KR]yyyy-mm-dd(ddd) ") &amp; "오후 21:00"</f>
        <v>2022-12-16(금) 오후 21:00</v>
      </c>
      <c r="K42" s="159"/>
      <c r="L42" s="160"/>
      <c r="M42" s="158" t="str">
        <f>TEXT($G$1+1, "[$-ko-KR]yyyy-mm-dd(ddd) ") &amp; "오전 00:00"</f>
        <v>2022-12-17(토)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198</v>
      </c>
      <c r="B44" s="108">
        <v>8.89</v>
      </c>
      <c r="C44" s="69">
        <v>3.2520325199999998E-2</v>
      </c>
      <c r="D44" s="13">
        <v>8.75</v>
      </c>
      <c r="E44" s="14">
        <f>IF(ISNUMBER(D44), (D44 - $B44) / $B44, "")</f>
        <v>-1.5748031496063054E-2</v>
      </c>
      <c r="F44" s="16">
        <f>IF(ISNUMBER(D44), $B64 * E44, "")</f>
        <v>-2362.2047244094583</v>
      </c>
      <c r="G44" s="29">
        <v>8.2799999999999994</v>
      </c>
      <c r="H44" s="14">
        <f>IF(ISNUMBER(G44), (G44 - $B44) / $B44, "")</f>
        <v>-6.8616422947131744E-2</v>
      </c>
      <c r="I44" s="90">
        <f>IF(ISNUMBER(G44), $B64 * H44, "")</f>
        <v>-10292.463442069762</v>
      </c>
      <c r="J44" s="13">
        <v>8.31</v>
      </c>
      <c r="K44" s="14">
        <f>IF(ISNUMBER(J44), (J44 - $B44) / $B44, "")</f>
        <v>-6.5241844769403826E-2</v>
      </c>
      <c r="L44" s="16">
        <f>IF(ISNUMBER(J44), $B64 * K44, "")</f>
        <v>-9786.2767154105732</v>
      </c>
      <c r="M44" s="29">
        <v>8.19</v>
      </c>
      <c r="N44" s="14">
        <f>IF(ISNUMBER(M44), (M44 - $B44) / $B44, "")</f>
        <v>-7.8740157480315071E-2</v>
      </c>
      <c r="O44" s="16">
        <f>IF(ISNUMBER(M44), $B64 * N44, "")</f>
        <v>-11811.02362204726</v>
      </c>
      <c r="Q44" s="156"/>
      <c r="R44" s="156"/>
      <c r="S44" s="156"/>
    </row>
    <row r="45" spans="1:19" ht="17.25" customHeight="1" thickBot="1">
      <c r="A45" s="109" t="s">
        <v>56</v>
      </c>
      <c r="B45" s="110">
        <v>44.2</v>
      </c>
      <c r="C45" s="70">
        <v>1.6091953999999999E-2</v>
      </c>
      <c r="D45" s="15">
        <v>43.3</v>
      </c>
      <c r="E45" s="32">
        <f t="shared" ref="E45:E48" si="14">IF(ISNUMBER(D45), (D45 - $B45) / $B45, "")</f>
        <v>-2.0361990950226373E-2</v>
      </c>
      <c r="F45" s="18">
        <f>IF(ISNUMBER(D45), $B64 * E45, "")</f>
        <v>-3054.2986425339559</v>
      </c>
      <c r="G45" s="31">
        <v>41.9</v>
      </c>
      <c r="H45" s="32">
        <f t="shared" ref="H45:H48" si="15">IF(ISNUMBER(G45), (G45 - $B45) / $B45, "")</f>
        <v>-5.2036199095022717E-2</v>
      </c>
      <c r="I45" s="91">
        <f>IF(ISNUMBER(G45), $B64 * H45, "")</f>
        <v>-7805.4298642534077</v>
      </c>
      <c r="J45" s="15">
        <v>42</v>
      </c>
      <c r="K45" s="32">
        <f t="shared" ref="K45:K48" si="16">IF(ISNUMBER(J45), (J45 - $B45) / $B45, "")</f>
        <v>-4.9773755656108656E-2</v>
      </c>
      <c r="L45" s="18">
        <f>IF(ISNUMBER(J45), $B64 * K45, "")</f>
        <v>-7466.0633484162981</v>
      </c>
      <c r="M45" s="31">
        <v>42.5</v>
      </c>
      <c r="N45" s="32">
        <f t="shared" ref="N45:N48" si="17">IF(ISNUMBER(M45), (M45 - $B45) / $B45, "")</f>
        <v>-3.8461538461538526E-2</v>
      </c>
      <c r="O45" s="18">
        <f>IF(ISNUMBER(M45), $B64 * N45, "")</f>
        <v>-5769.2307692307786</v>
      </c>
      <c r="Q45" s="156"/>
      <c r="R45" s="156"/>
      <c r="S45" s="156"/>
    </row>
    <row r="46" spans="1:19" ht="17.25" customHeight="1" thickBot="1">
      <c r="A46" s="109" t="s">
        <v>107</v>
      </c>
      <c r="B46" s="110">
        <v>39.799999999999997</v>
      </c>
      <c r="C46" s="70">
        <v>1.53061224E-2</v>
      </c>
      <c r="D46" s="15">
        <v>40.200000000000003</v>
      </c>
      <c r="E46" s="32">
        <f t="shared" si="14"/>
        <v>1.0050251256281551E-2</v>
      </c>
      <c r="F46" s="18">
        <f>IF(ISNUMBER(D46), $B64 * E46, "")</f>
        <v>1507.5376884422326</v>
      </c>
      <c r="G46" s="31">
        <v>39.5</v>
      </c>
      <c r="H46" s="32">
        <f t="shared" si="15"/>
        <v>-7.5376884422109847E-3</v>
      </c>
      <c r="I46" s="91">
        <f>IF(ISNUMBER(G46), $B64 * H46, "")</f>
        <v>-1130.6532663316477</v>
      </c>
      <c r="J46" s="15">
        <v>39.6</v>
      </c>
      <c r="K46" s="32">
        <f t="shared" si="16"/>
        <v>-5.0251256281405969E-3</v>
      </c>
      <c r="L46" s="18">
        <f>IF(ISNUMBER(J46), $B64 * K46, "")</f>
        <v>-753.76884422108958</v>
      </c>
      <c r="M46" s="31">
        <v>39.700000000000003</v>
      </c>
      <c r="N46" s="32">
        <f t="shared" si="17"/>
        <v>-2.5125628140702091E-3</v>
      </c>
      <c r="O46" s="18">
        <f>IF(ISNUMBER(M46), $B64 * N46, "")</f>
        <v>-376.88442211053137</v>
      </c>
      <c r="Q46" s="161"/>
      <c r="R46" s="161"/>
      <c r="S46" s="161"/>
    </row>
    <row r="47" spans="1:19" ht="17.25" customHeight="1" thickBot="1">
      <c r="A47" s="109" t="s">
        <v>145</v>
      </c>
      <c r="B47" s="110">
        <v>73.8</v>
      </c>
      <c r="C47" s="70">
        <v>1.5130674E-2</v>
      </c>
      <c r="D47" s="15">
        <v>72.900000000000006</v>
      </c>
      <c r="E47" s="32">
        <f t="shared" si="14"/>
        <v>-1.2195121951219396E-2</v>
      </c>
      <c r="F47" s="18">
        <f>IF(ISNUMBER(D47), $B64 * E47, "")</f>
        <v>-1829.2682926829095</v>
      </c>
      <c r="G47" s="31">
        <v>72.8</v>
      </c>
      <c r="H47" s="32">
        <f t="shared" si="15"/>
        <v>-1.3550135501355014E-2</v>
      </c>
      <c r="I47" s="91">
        <f>IF(ISNUMBER(G47), $B64 * H47, "")</f>
        <v>-2032.5203252032522</v>
      </c>
      <c r="J47" s="15">
        <v>72.900000000000006</v>
      </c>
      <c r="K47" s="32">
        <f t="shared" si="16"/>
        <v>-1.2195121951219396E-2</v>
      </c>
      <c r="L47" s="18">
        <f>IF(ISNUMBER(J47), $B64 * K47, "")</f>
        <v>-1829.2682926829095</v>
      </c>
      <c r="M47" s="31">
        <v>72.7</v>
      </c>
      <c r="N47" s="32">
        <f t="shared" si="17"/>
        <v>-1.4905149051490438E-2</v>
      </c>
      <c r="O47" s="18">
        <f>IF(ISNUMBER(M47), $B64 * N47, "")</f>
        <v>-2235.7723577235656</v>
      </c>
      <c r="Q47" s="161"/>
      <c r="R47" s="161"/>
      <c r="S47" s="161"/>
    </row>
    <row r="48" spans="1:19" ht="17.25" customHeight="1" thickBot="1">
      <c r="A48" s="111" t="s">
        <v>191</v>
      </c>
      <c r="B48" s="112">
        <v>53.7</v>
      </c>
      <c r="C48" s="71">
        <v>1.1299435E-2</v>
      </c>
      <c r="D48" s="20">
        <v>54.9</v>
      </c>
      <c r="E48" s="21">
        <f t="shared" si="14"/>
        <v>2.234636871508372E-2</v>
      </c>
      <c r="F48" s="22">
        <f>IF(ISNUMBER(D48), $B64 * E48, "")</f>
        <v>3351.9553072625581</v>
      </c>
      <c r="G48" s="30">
        <v>53.8</v>
      </c>
      <c r="H48" s="21">
        <f t="shared" si="15"/>
        <v>1.8621973929235439E-3</v>
      </c>
      <c r="I48" s="95">
        <f>IF(ISNUMBER(G48), $B64 * H48, "")</f>
        <v>279.32960893853158</v>
      </c>
      <c r="J48" s="20">
        <v>53.7</v>
      </c>
      <c r="K48" s="21">
        <f t="shared" si="16"/>
        <v>0</v>
      </c>
      <c r="L48" s="22">
        <f>IF(ISNUMBER(J48), $B64 * K48, "")</f>
        <v>0</v>
      </c>
      <c r="M48" s="30">
        <v>53.3</v>
      </c>
      <c r="N48" s="21">
        <f t="shared" si="17"/>
        <v>-7.4487895716947054E-3</v>
      </c>
      <c r="O48" s="22">
        <f>IF(ISNUMBER(M48), $B64 * N48, "")</f>
        <v>-1117.3184357542059</v>
      </c>
      <c r="Q48" s="161"/>
      <c r="R48" s="161"/>
      <c r="S48" s="161"/>
    </row>
    <row r="49" spans="1:19" ht="17.25" customHeight="1" thickBot="1">
      <c r="A49" s="109" t="s">
        <v>64</v>
      </c>
      <c r="B49" s="113">
        <v>10.9</v>
      </c>
      <c r="C49" s="73">
        <v>9.2592592999999994E-3</v>
      </c>
      <c r="D49" s="96">
        <v>10.7</v>
      </c>
      <c r="E49" s="97">
        <f>IF(ISNUMBER(D49), (D49 - $B49) / $B49, "")</f>
        <v>-1.8348623853211107E-2</v>
      </c>
      <c r="F49" s="98">
        <f>IF(ISNUMBER(D49), $B64 * E49, "")</f>
        <v>-2752.2935779816662</v>
      </c>
      <c r="G49" s="99">
        <v>10.3</v>
      </c>
      <c r="H49" s="97">
        <f>IF(ISNUMBER(G49), (G49 - $B49) / $B49, "")</f>
        <v>-5.5045871559632996E-2</v>
      </c>
      <c r="I49" s="100">
        <f>IF(ISNUMBER(G49), $B64 * H49, "")</f>
        <v>-8256.8807339449486</v>
      </c>
      <c r="J49" s="96">
        <v>10.4</v>
      </c>
      <c r="K49" s="97">
        <f>IF(ISNUMBER(J49), (J49 - $B49) / $B49, "")</f>
        <v>-4.5871559633027519E-2</v>
      </c>
      <c r="L49" s="98">
        <f>IF(ISNUMBER(J49), $B64 * K49, "")</f>
        <v>-6880.7339449541278</v>
      </c>
      <c r="M49" s="99">
        <v>10.3</v>
      </c>
      <c r="N49" s="97">
        <f>IF(ISNUMBER(M49), (M49 - $B49) / $B49, "")</f>
        <v>-5.5045871559632996E-2</v>
      </c>
      <c r="O49" s="98">
        <f>IF(ISNUMBER(M49), $B64 * N49, "")</f>
        <v>-8256.8807339449486</v>
      </c>
      <c r="Q49" s="161"/>
      <c r="R49" s="161"/>
      <c r="S49" s="161"/>
    </row>
    <row r="50" spans="1:19" ht="17.25" customHeight="1" thickBot="1">
      <c r="A50" s="109" t="s">
        <v>228</v>
      </c>
      <c r="B50" s="110">
        <v>64</v>
      </c>
      <c r="C50" s="70">
        <v>6.2893081999999996E-3</v>
      </c>
      <c r="D50" s="15">
        <v>62.7</v>
      </c>
      <c r="E50" s="32">
        <f t="shared" ref="E50:E53" si="18">IF(ISNUMBER(D50), (D50 - $B50) / $B50, "")</f>
        <v>-2.0312499999999956E-2</v>
      </c>
      <c r="F50" s="18">
        <f>IF(ISNUMBER(D50), $B64 * E50, "")</f>
        <v>-3046.8749999999932</v>
      </c>
      <c r="G50" s="31">
        <v>60.8</v>
      </c>
      <c r="H50" s="32">
        <f t="shared" ref="H50:H53" si="19">IF(ISNUMBER(G50), (G50 - $B50) / $B50, "")</f>
        <v>-5.0000000000000044E-2</v>
      </c>
      <c r="I50" s="91">
        <f>IF(ISNUMBER(G50), $B64 * H50, "")</f>
        <v>-7500.0000000000064</v>
      </c>
      <c r="J50" s="15">
        <v>60.8</v>
      </c>
      <c r="K50" s="32">
        <f t="shared" ref="K50:K53" si="20">IF(ISNUMBER(J50), (J50 - $B50) / $B50, "")</f>
        <v>-5.0000000000000044E-2</v>
      </c>
      <c r="L50" s="18">
        <f>IF(ISNUMBER(J50), $B64 * K50, "")</f>
        <v>-7500.0000000000064</v>
      </c>
      <c r="M50" s="31">
        <v>60.2</v>
      </c>
      <c r="N50" s="32">
        <f t="shared" ref="N50:N53" si="21">IF(ISNUMBER(M50), (M50 - $B50) / $B50, "")</f>
        <v>-5.9374999999999956E-2</v>
      </c>
      <c r="O50" s="18">
        <f>IF(ISNUMBER(M50), $B64 * N50, "")</f>
        <v>-8906.2499999999927</v>
      </c>
      <c r="Q50" s="161"/>
      <c r="R50" s="161"/>
      <c r="S50" s="161"/>
    </row>
    <row r="51" spans="1:19" ht="17.25" customHeight="1" thickBot="1">
      <c r="A51" s="109" t="s">
        <v>206</v>
      </c>
      <c r="B51" s="110">
        <v>3.69</v>
      </c>
      <c r="C51" s="70">
        <v>2.7173913000000001E-3</v>
      </c>
      <c r="D51" s="15">
        <v>3.71</v>
      </c>
      <c r="E51" s="32">
        <f t="shared" si="18"/>
        <v>5.4200542005420106E-3</v>
      </c>
      <c r="F51" s="18">
        <f>IF(ISNUMBER(D51), $B64 * E51, "")</f>
        <v>813.0081300813016</v>
      </c>
      <c r="G51" s="31">
        <v>3.58</v>
      </c>
      <c r="H51" s="32">
        <f t="shared" si="19"/>
        <v>-2.9810298102980998E-2</v>
      </c>
      <c r="I51" s="91">
        <f>IF(ISNUMBER(G51), $B64 * H51, "")</f>
        <v>-4471.5447154471494</v>
      </c>
      <c r="J51" s="15">
        <v>3.59</v>
      </c>
      <c r="K51" s="32">
        <f t="shared" si="20"/>
        <v>-2.7100271002710053E-2</v>
      </c>
      <c r="L51" s="18">
        <f>IF(ISNUMBER(J51), $B64 * K51, "")</f>
        <v>-4065.0406504065081</v>
      </c>
      <c r="M51" s="31">
        <v>3.53</v>
      </c>
      <c r="N51" s="32">
        <f t="shared" si="21"/>
        <v>-4.3360433604336085E-2</v>
      </c>
      <c r="O51" s="18">
        <f>IF(ISNUMBER(M51), $B64 * N51, "")</f>
        <v>-6504.0650406504128</v>
      </c>
      <c r="Q51" s="161"/>
      <c r="R51" s="161"/>
      <c r="S51" s="161"/>
    </row>
    <row r="52" spans="1:19" ht="17.25" customHeight="1" thickBot="1">
      <c r="A52" s="109" t="s">
        <v>132</v>
      </c>
      <c r="B52" s="110">
        <v>54.7</v>
      </c>
      <c r="C52" s="70">
        <v>0</v>
      </c>
      <c r="D52" s="15">
        <v>54.6</v>
      </c>
      <c r="E52" s="32">
        <f t="shared" si="18"/>
        <v>-1.8281535648994774E-3</v>
      </c>
      <c r="F52" s="18">
        <f>IF(ISNUMBER(D52), $B64 * E52, "")</f>
        <v>-274.22303473492161</v>
      </c>
      <c r="G52" s="31">
        <v>52.8</v>
      </c>
      <c r="H52" s="32">
        <f t="shared" si="19"/>
        <v>-3.4734917733089683E-2</v>
      </c>
      <c r="I52" s="91">
        <f>IF(ISNUMBER(G52), $B64 * H52, "")</f>
        <v>-5210.2376599634526</v>
      </c>
      <c r="J52" s="15">
        <v>52.6</v>
      </c>
      <c r="K52" s="32">
        <f t="shared" si="20"/>
        <v>-3.8391224862888505E-2</v>
      </c>
      <c r="L52" s="18">
        <f>IF(ISNUMBER(J52), $B64 * K52, "")</f>
        <v>-5758.6837294332754</v>
      </c>
      <c r="M52" s="31">
        <v>53.1</v>
      </c>
      <c r="N52" s="32">
        <f t="shared" si="21"/>
        <v>-2.9250457038391249E-2</v>
      </c>
      <c r="O52" s="18">
        <f>IF(ISNUMBER(M52), $B64 * N52, "")</f>
        <v>-4387.5685557586876</v>
      </c>
      <c r="Q52" s="33"/>
      <c r="R52" s="33"/>
    </row>
    <row r="53" spans="1:19" ht="17.25" customHeight="1" thickBot="1">
      <c r="A53" s="114" t="s">
        <v>336</v>
      </c>
      <c r="B53" s="115">
        <v>80.8</v>
      </c>
      <c r="C53" s="72">
        <v>-3.6991368999999999E-3</v>
      </c>
      <c r="D53" s="24">
        <v>80.8</v>
      </c>
      <c r="E53" s="25">
        <f t="shared" si="18"/>
        <v>0</v>
      </c>
      <c r="F53" s="94">
        <f>IF(ISNUMBER(D53), $B64 * E53, "")</f>
        <v>0</v>
      </c>
      <c r="G53" s="92">
        <v>79</v>
      </c>
      <c r="H53" s="25">
        <f t="shared" si="19"/>
        <v>-2.2277227722772242E-2</v>
      </c>
      <c r="I53" s="93">
        <f>IF(ISNUMBER(G53), $B64 * H53, "")</f>
        <v>-3341.5841584158361</v>
      </c>
      <c r="J53" s="24">
        <v>78.7</v>
      </c>
      <c r="K53" s="25">
        <f t="shared" si="20"/>
        <v>-2.599009900990092E-2</v>
      </c>
      <c r="L53" s="94">
        <f>IF(ISNUMBER(J53), $B64 * K53, "")</f>
        <v>-3898.514851485138</v>
      </c>
      <c r="M53" s="92">
        <v>78</v>
      </c>
      <c r="N53" s="25">
        <f t="shared" si="21"/>
        <v>-3.4653465346534622E-2</v>
      </c>
      <c r="O53" s="94">
        <f>IF(ISNUMBER(M53), $B64 * N53, "")</f>
        <v>-5198.0198019801928</v>
      </c>
      <c r="Q53" s="170"/>
      <c r="R53" s="171"/>
      <c r="S53" s="172"/>
    </row>
    <row r="54" spans="1:19" ht="17.25" customHeight="1">
      <c r="A54" s="107" t="s">
        <v>193</v>
      </c>
      <c r="B54" s="108">
        <v>19</v>
      </c>
      <c r="C54" s="69">
        <v>-5.2356021000000003E-3</v>
      </c>
      <c r="D54" s="13">
        <v>19</v>
      </c>
      <c r="E54" s="14">
        <f>IF(ISNUMBER(D54), (D54 - $B54) / $B54, "")</f>
        <v>0</v>
      </c>
      <c r="F54" s="16">
        <f>IF(ISNUMBER(D54), $B64 * E54, "")</f>
        <v>0</v>
      </c>
      <c r="G54" s="29">
        <v>18.5</v>
      </c>
      <c r="H54" s="14">
        <f>IF(ISNUMBER(G54), (G54 - $B54) / $B54, "")</f>
        <v>-2.6315789473684209E-2</v>
      </c>
      <c r="I54" s="90">
        <f>IF(ISNUMBER(G54), $B64 * H54, "")</f>
        <v>-3947.3684210526312</v>
      </c>
      <c r="J54" s="13">
        <v>18.399999999999999</v>
      </c>
      <c r="K54" s="14">
        <f>IF(ISNUMBER(J54), (J54 - $B54) / $B54, "")</f>
        <v>-3.157894736842113E-2</v>
      </c>
      <c r="L54" s="16">
        <f>IF(ISNUMBER(J54), $B64 * K54, "")</f>
        <v>-4736.8421052631693</v>
      </c>
      <c r="M54" s="29">
        <v>18.5</v>
      </c>
      <c r="N54" s="14">
        <f>IF(ISNUMBER(M54), (M54 - $B54) / $B54, "")</f>
        <v>-2.6315789473684209E-2</v>
      </c>
      <c r="O54" s="16">
        <f>IF(ISNUMBER(M54), $B64 * N54, "")</f>
        <v>-3947.3684210526312</v>
      </c>
      <c r="Q54" s="173"/>
      <c r="R54" s="174"/>
      <c r="S54" s="175"/>
    </row>
    <row r="55" spans="1:19" ht="17.25" customHeight="1" thickBot="1">
      <c r="A55" s="109" t="s">
        <v>335</v>
      </c>
      <c r="B55" s="110">
        <v>3.7400000000000003E-2</v>
      </c>
      <c r="C55" s="70">
        <v>-5.3191489E-3</v>
      </c>
      <c r="D55" s="15">
        <v>3.7199999999999997E-2</v>
      </c>
      <c r="E55" s="32">
        <f t="shared" ref="E55:E58" si="22">IF(ISNUMBER(D55), (D55 - $B55) / $B55, "")</f>
        <v>-5.3475935828878537E-3</v>
      </c>
      <c r="F55" s="18">
        <f>IF(ISNUMBER(D55), $B64 * E55, "")</f>
        <v>-802.13903743317803</v>
      </c>
      <c r="G55" s="31">
        <v>3.5799999999999998E-2</v>
      </c>
      <c r="H55" s="32">
        <f t="shared" ref="H55:H58" si="23">IF(ISNUMBER(G55), (G55 - $B55) / $B55, "")</f>
        <v>-4.2780748663101713E-2</v>
      </c>
      <c r="I55" s="91">
        <f>IF(ISNUMBER(G55), $B64 * H55, "")</f>
        <v>-6417.1122994652569</v>
      </c>
      <c r="J55" s="15">
        <v>3.5700000000000003E-2</v>
      </c>
      <c r="K55" s="32">
        <f t="shared" ref="K55:K58" si="24">IF(ISNUMBER(J55), (J55 - $B55) / $B55, "")</f>
        <v>-4.5454545454545456E-2</v>
      </c>
      <c r="L55" s="18">
        <f>IF(ISNUMBER(J55), $B64 * K55, "")</f>
        <v>-6818.181818181818</v>
      </c>
      <c r="M55" s="31">
        <v>3.5900000000000001E-2</v>
      </c>
      <c r="N55" s="32">
        <f t="shared" ref="N55:N58" si="25">IF(ISNUMBER(M55), (M55 - $B55) / $B55, "")</f>
        <v>-4.0106951871657789E-2</v>
      </c>
      <c r="O55" s="18">
        <f>IF(ISNUMBER(M55), $B64 * N55, "")</f>
        <v>-6016.0427807486685</v>
      </c>
      <c r="Q55" s="176"/>
      <c r="R55" s="177"/>
      <c r="S55" s="178"/>
    </row>
    <row r="56" spans="1:19" ht="17.25" customHeight="1" thickBot="1">
      <c r="A56" s="109" t="s">
        <v>220</v>
      </c>
      <c r="B56" s="110">
        <v>73.2</v>
      </c>
      <c r="C56" s="70">
        <v>-5.4347826000000002E-3</v>
      </c>
      <c r="D56" s="15">
        <v>72.400000000000006</v>
      </c>
      <c r="E56" s="32">
        <f t="shared" si="22"/>
        <v>-1.092896174863384E-2</v>
      </c>
      <c r="F56" s="18">
        <f>IF(ISNUMBER(D56), $B64 * E56, "")</f>
        <v>-1639.3442622950761</v>
      </c>
      <c r="G56" s="31">
        <v>69.599999999999994</v>
      </c>
      <c r="H56" s="32">
        <f t="shared" si="23"/>
        <v>-4.9180327868852576E-2</v>
      </c>
      <c r="I56" s="91">
        <f>IF(ISNUMBER(G56), $B64 * H56, "")</f>
        <v>-7377.0491803278865</v>
      </c>
      <c r="J56" s="15">
        <v>69.900000000000006</v>
      </c>
      <c r="K56" s="32">
        <f t="shared" si="24"/>
        <v>-4.5081967213114714E-2</v>
      </c>
      <c r="L56" s="18">
        <f>IF(ISNUMBER(J56), $B64 * K56, "")</f>
        <v>-6762.2950819672069</v>
      </c>
      <c r="M56" s="31">
        <v>69.7</v>
      </c>
      <c r="N56" s="32">
        <f t="shared" si="25"/>
        <v>-4.7814207650273222E-2</v>
      </c>
      <c r="O56" s="18">
        <f>IF(ISNUMBER(M56), $B64 * N56, "")</f>
        <v>-7172.131147540983</v>
      </c>
      <c r="Q56" s="161"/>
      <c r="R56" s="161"/>
      <c r="S56" s="161"/>
    </row>
    <row r="57" spans="1:19" ht="17.25" customHeight="1" thickBot="1">
      <c r="A57" s="109" t="s">
        <v>185</v>
      </c>
      <c r="B57" s="110">
        <v>30.9</v>
      </c>
      <c r="C57" s="70">
        <v>-6.4308682000000002E-3</v>
      </c>
      <c r="D57" s="15">
        <v>30.5</v>
      </c>
      <c r="E57" s="32">
        <f t="shared" si="22"/>
        <v>-1.294498381877018E-2</v>
      </c>
      <c r="F57" s="18">
        <f>IF(ISNUMBER(D57), $B64 * E57, "")</f>
        <v>-1941.7475728155271</v>
      </c>
      <c r="G57" s="31">
        <v>29.6</v>
      </c>
      <c r="H57" s="32">
        <f t="shared" si="23"/>
        <v>-4.2071197411003146E-2</v>
      </c>
      <c r="I57" s="91">
        <f>IF(ISNUMBER(G57), $B64 * H57, "")</f>
        <v>-6310.679611650472</v>
      </c>
      <c r="J57" s="15">
        <v>29.6</v>
      </c>
      <c r="K57" s="32">
        <f t="shared" si="24"/>
        <v>-4.2071197411003146E-2</v>
      </c>
      <c r="L57" s="18">
        <f>IF(ISNUMBER(J57), $B64 * K57, "")</f>
        <v>-6310.679611650472</v>
      </c>
      <c r="M57" s="31">
        <v>29.6</v>
      </c>
      <c r="N57" s="32">
        <f t="shared" si="25"/>
        <v>-4.2071197411003146E-2</v>
      </c>
      <c r="O57" s="18">
        <f>IF(ISNUMBER(M57), $B64 * N57, "")</f>
        <v>-6310.679611650472</v>
      </c>
      <c r="Q57" s="156"/>
      <c r="R57" s="156"/>
      <c r="S57" s="156"/>
    </row>
    <row r="58" spans="1:19" ht="17.25" customHeight="1" thickBot="1">
      <c r="A58" s="111" t="s">
        <v>333</v>
      </c>
      <c r="B58" s="112">
        <v>60.5</v>
      </c>
      <c r="C58" s="71">
        <v>-6.5681445000000003E-3</v>
      </c>
      <c r="D58" s="20">
        <v>60.1</v>
      </c>
      <c r="E58" s="21">
        <f t="shared" si="22"/>
        <v>-6.6115702479338607E-3</v>
      </c>
      <c r="F58" s="22">
        <f>IF(ISNUMBER(D58), $B64 * E58, "")</f>
        <v>-991.73553719007907</v>
      </c>
      <c r="G58" s="30">
        <v>58.7</v>
      </c>
      <c r="H58" s="21">
        <f t="shared" si="23"/>
        <v>-2.9752066115702431E-2</v>
      </c>
      <c r="I58" s="95">
        <f>IF(ISNUMBER(G58), $B64 * H58, "")</f>
        <v>-4462.8099173553646</v>
      </c>
      <c r="J58" s="20">
        <v>58.9</v>
      </c>
      <c r="K58" s="21">
        <f t="shared" si="24"/>
        <v>-2.6446280991735561E-2</v>
      </c>
      <c r="L58" s="22">
        <f>IF(ISNUMBER(J58), $B64 * K58, "")</f>
        <v>-3966.942148760334</v>
      </c>
      <c r="M58" s="30">
        <v>58.4</v>
      </c>
      <c r="N58" s="21">
        <f t="shared" si="25"/>
        <v>-3.4710743801652913E-2</v>
      </c>
      <c r="O58" s="22">
        <f>IF(ISNUMBER(M58), $B64 * N58, "")</f>
        <v>-5206.6115702479374</v>
      </c>
      <c r="Q58" s="156"/>
      <c r="R58" s="156"/>
      <c r="S58" s="156"/>
    </row>
    <row r="59" spans="1:19" ht="17.25" customHeight="1" thickBot="1">
      <c r="A59" s="109" t="s">
        <v>195</v>
      </c>
      <c r="B59" s="113">
        <v>6.62</v>
      </c>
      <c r="C59" s="73">
        <v>-8.9820358999999992E-3</v>
      </c>
      <c r="D59" s="96">
        <v>6.58</v>
      </c>
      <c r="E59" s="97">
        <f>IF(ISNUMBER(D59), (D59 - $B59) / $B59, "")</f>
        <v>-6.0422960725075581E-3</v>
      </c>
      <c r="F59" s="98">
        <f>IF(ISNUMBER(D59), $B64 * E59, "")</f>
        <v>-906.34441087613368</v>
      </c>
      <c r="G59" s="99">
        <v>6.51</v>
      </c>
      <c r="H59" s="97">
        <f>IF(ISNUMBER(G59), (G59 - $B59) / $B59, "")</f>
        <v>-1.6616314199395819E-2</v>
      </c>
      <c r="I59" s="100">
        <f>IF(ISNUMBER(G59), $B64 * H59, "")</f>
        <v>-2492.447129909373</v>
      </c>
      <c r="J59" s="96">
        <v>6.54</v>
      </c>
      <c r="K59" s="97">
        <f>IF(ISNUMBER(J59), (J59 - $B59) / $B59, "")</f>
        <v>-1.2084592145015116E-2</v>
      </c>
      <c r="L59" s="98">
        <f>IF(ISNUMBER(J59), $B64 * K59, "")</f>
        <v>-1812.6888217522674</v>
      </c>
      <c r="M59" s="99">
        <v>6.51</v>
      </c>
      <c r="N59" s="97">
        <f>IF(ISNUMBER(M59), (M59 - $B59) / $B59, "")</f>
        <v>-1.6616314199395819E-2</v>
      </c>
      <c r="O59" s="98">
        <f>IF(ISNUMBER(M59), $B64 * N59, "")</f>
        <v>-2492.447129909373</v>
      </c>
      <c r="Q59" s="161"/>
      <c r="R59" s="161"/>
      <c r="S59" s="161"/>
    </row>
    <row r="60" spans="1:19" ht="17.25" customHeight="1" thickBot="1">
      <c r="A60" s="109" t="s">
        <v>224</v>
      </c>
      <c r="B60" s="110">
        <v>20.5</v>
      </c>
      <c r="C60" s="70">
        <v>-9.6618356999999995E-3</v>
      </c>
      <c r="D60" s="15">
        <v>20.399999999999999</v>
      </c>
      <c r="E60" s="32">
        <f t="shared" ref="E60:E63" si="26">IF(ISNUMBER(D60), (D60 - $B60) / $B60, "")</f>
        <v>-4.8780487804878743E-3</v>
      </c>
      <c r="F60" s="18">
        <f>IF(ISNUMBER(D60), $B64 * E60, "")</f>
        <v>-731.70731707318112</v>
      </c>
      <c r="G60" s="31">
        <v>19.899999999999999</v>
      </c>
      <c r="H60" s="32">
        <f t="shared" ref="H60:H63" si="27">IF(ISNUMBER(G60), (G60 - $B60) / $B60, "")</f>
        <v>-2.9268292682926897E-2</v>
      </c>
      <c r="I60" s="91">
        <f>IF(ISNUMBER(G60), $B64 * H60, "")</f>
        <v>-4390.2439024390342</v>
      </c>
      <c r="J60" s="15">
        <v>19.8</v>
      </c>
      <c r="K60" s="32">
        <f t="shared" ref="K60:K63" si="28">IF(ISNUMBER(J60), (J60 - $B60) / $B60, "")</f>
        <v>-3.4146341463414602E-2</v>
      </c>
      <c r="L60" s="18">
        <f>IF(ISNUMBER(J60), $B64 * K60, "")</f>
        <v>-5121.9512195121906</v>
      </c>
      <c r="M60" s="31">
        <v>19.899999999999999</v>
      </c>
      <c r="N60" s="32">
        <f t="shared" ref="N60:N63" si="29">IF(ISNUMBER(M60), (M60 - $B60) / $B60, "")</f>
        <v>-2.9268292682926897E-2</v>
      </c>
      <c r="O60" s="18">
        <f>IF(ISNUMBER(M60), $B64 * N60, "")</f>
        <v>-4390.2439024390342</v>
      </c>
      <c r="Q60" s="161"/>
      <c r="R60" s="161"/>
      <c r="S60" s="161"/>
    </row>
    <row r="61" spans="1:19" ht="17.25" customHeight="1" thickBot="1">
      <c r="A61" s="109" t="s">
        <v>240</v>
      </c>
      <c r="B61" s="110">
        <v>28.9</v>
      </c>
      <c r="C61" s="70">
        <v>-1.02739726E-2</v>
      </c>
      <c r="D61" s="15">
        <v>28.7</v>
      </c>
      <c r="E61" s="32">
        <f t="shared" si="26"/>
        <v>-6.9204152249134707E-3</v>
      </c>
      <c r="F61" s="18">
        <f>IF(ISNUMBER(D61), $B64 * E61, "")</f>
        <v>-1038.0622837370206</v>
      </c>
      <c r="G61" s="31">
        <v>28.2</v>
      </c>
      <c r="H61" s="32">
        <f t="shared" si="27"/>
        <v>-2.4221453287197207E-2</v>
      </c>
      <c r="I61" s="91">
        <f>IF(ISNUMBER(G61), $B64 * H61, "")</f>
        <v>-3633.217993079581</v>
      </c>
      <c r="J61" s="15">
        <v>28.1</v>
      </c>
      <c r="K61" s="32">
        <f t="shared" si="28"/>
        <v>-2.7681660899653883E-2</v>
      </c>
      <c r="L61" s="18">
        <f>IF(ISNUMBER(J61), $B64 * K61, "")</f>
        <v>-4152.2491349480824</v>
      </c>
      <c r="M61" s="31">
        <v>28.2</v>
      </c>
      <c r="N61" s="32">
        <f t="shared" si="29"/>
        <v>-2.4221453287197207E-2</v>
      </c>
      <c r="O61" s="18">
        <f>IF(ISNUMBER(M61), $B64 * N61, "")</f>
        <v>-3633.217993079581</v>
      </c>
      <c r="Q61" s="161"/>
      <c r="R61" s="161"/>
      <c r="S61" s="161"/>
    </row>
    <row r="62" spans="1:19" ht="17.25" customHeight="1">
      <c r="A62" s="109" t="s">
        <v>126</v>
      </c>
      <c r="B62" s="110">
        <v>28.2</v>
      </c>
      <c r="C62" s="70">
        <v>-1.05263158E-2</v>
      </c>
      <c r="D62" s="15">
        <v>27.8</v>
      </c>
      <c r="E62" s="32">
        <f t="shared" si="26"/>
        <v>-1.4184397163120517E-2</v>
      </c>
      <c r="F62" s="18">
        <f>IF(ISNUMBER(D62), $B64 * E62, "")</f>
        <v>-2127.6595744680776</v>
      </c>
      <c r="G62" s="31">
        <v>27.1</v>
      </c>
      <c r="H62" s="32">
        <f t="shared" si="27"/>
        <v>-3.9007092198581485E-2</v>
      </c>
      <c r="I62" s="91">
        <f>IF(ISNUMBER(G62), $B64 * H62, "")</f>
        <v>-5851.0638297872229</v>
      </c>
      <c r="J62" s="15">
        <v>27</v>
      </c>
      <c r="K62" s="32">
        <f t="shared" si="28"/>
        <v>-4.255319148936168E-2</v>
      </c>
      <c r="L62" s="18">
        <f>IF(ISNUMBER(J62), $B64 * K62, "")</f>
        <v>-6382.9787234042524</v>
      </c>
      <c r="M62" s="31">
        <v>27.1</v>
      </c>
      <c r="N62" s="32">
        <f t="shared" si="29"/>
        <v>-3.9007092198581485E-2</v>
      </c>
      <c r="O62" s="18">
        <f>IF(ISNUMBER(M62), $B64 * N62, "")</f>
        <v>-5851.0638297872229</v>
      </c>
      <c r="Q62" s="183"/>
      <c r="R62" s="184"/>
      <c r="S62" s="185"/>
    </row>
    <row r="63" spans="1:19" ht="17.25" customHeight="1" thickBot="1">
      <c r="A63" s="114" t="s">
        <v>138</v>
      </c>
      <c r="B63" s="115">
        <v>27</v>
      </c>
      <c r="C63" s="72">
        <v>-1.0989011E-2</v>
      </c>
      <c r="D63" s="24">
        <v>26.8</v>
      </c>
      <c r="E63" s="25">
        <f t="shared" si="26"/>
        <v>-7.4074074074073808E-3</v>
      </c>
      <c r="F63" s="94">
        <f>IF(ISNUMBER(D63), $B64 * E63, "")</f>
        <v>-1111.1111111111072</v>
      </c>
      <c r="G63" s="92">
        <v>26</v>
      </c>
      <c r="H63" s="25">
        <f t="shared" si="27"/>
        <v>-3.7037037037037035E-2</v>
      </c>
      <c r="I63" s="93">
        <f>IF(ISNUMBER(G63), $B64 * H63, "")</f>
        <v>-5555.5555555555557</v>
      </c>
      <c r="J63" s="24">
        <v>26</v>
      </c>
      <c r="K63" s="25">
        <f t="shared" si="28"/>
        <v>-3.7037037037037035E-2</v>
      </c>
      <c r="L63" s="94">
        <f>IF(ISNUMBER(J63), $B64 * K63, "")</f>
        <v>-5555.5555555555557</v>
      </c>
      <c r="M63" s="92">
        <v>26.1</v>
      </c>
      <c r="N63" s="25">
        <f t="shared" si="29"/>
        <v>-3.3333333333333277E-2</v>
      </c>
      <c r="O63" s="94">
        <f>IF(ISNUMBER(M63), $B64 * N63, "")</f>
        <v>-4999.9999999999918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-6.3121710845187324E-3</v>
      </c>
      <c r="F64" s="28">
        <f>SUM(F44:F63)</f>
        <v>-18936.513253556193</v>
      </c>
      <c r="G64" s="26" t="s">
        <v>261</v>
      </c>
      <c r="H64" s="27">
        <f>IF(COUNT(H44:H63), SUM(H44:H63) / COUNT(H44:H63), 0)</f>
        <v>-3.339984413243776E-2</v>
      </c>
      <c r="I64" s="28">
        <f>SUM(I44:I63)</f>
        <v>-100199.53239731331</v>
      </c>
      <c r="J64" s="26" t="s">
        <v>261</v>
      </c>
      <c r="K64" s="27">
        <f>IF(COUNT(K44:K63), SUM(K44:K63) / COUNT(K44:K63), 0)</f>
        <v>-3.3186238199335083E-2</v>
      </c>
      <c r="L64" s="28">
        <f>SUM(L44:L63)</f>
        <v>-99558.714598005288</v>
      </c>
      <c r="M64" s="26" t="s">
        <v>261</v>
      </c>
      <c r="N64" s="27">
        <f>IF(COUNT(N44:N63), SUM(N44:N63) / COUNT(N44:N63), 0)</f>
        <v>-3.4860940041885488E-2</v>
      </c>
      <c r="O64" s="28">
        <f>SUM(O44:O63)</f>
        <v>-104582.82012565646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2022-12-16(금) 오전 00:00</v>
      </c>
      <c r="C69" s="199"/>
      <c r="D69" s="158" t="str">
        <f>TEXT($G$1, "[$-ko-KR]yyyy-mm-dd(ddd) ") &amp; "오후 14:00"</f>
        <v>2022-12-16(금) 오후 14:00</v>
      </c>
      <c r="E69" s="159"/>
      <c r="F69" s="160"/>
      <c r="G69" s="158" t="str">
        <f>TEXT($G$1, "[$-ko-KR]yyyy-mm-dd(ddd) ") &amp; "오후 19:00"</f>
        <v>2022-12-16(금) 오후 19:00</v>
      </c>
      <c r="H69" s="159"/>
      <c r="I69" s="160"/>
      <c r="J69" s="158" t="str">
        <f>TEXT($G$1, "[$-ko-KR]yyyy-mm-dd(ddd) ") &amp; "오후 21:00"</f>
        <v>2022-12-16(금) 오후 21:00</v>
      </c>
      <c r="K69" s="159"/>
      <c r="L69" s="160"/>
      <c r="M69" s="158" t="str">
        <f>TEXT($G$1+1, "[$-ko-KR]yyyy-mm-dd(ddd) ") &amp; "오전 00:00"</f>
        <v>2022-12-17(토)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85</v>
      </c>
      <c r="B71" s="108">
        <v>191</v>
      </c>
      <c r="C71" s="69">
        <v>7.3033707899999994E-2</v>
      </c>
      <c r="D71" s="13">
        <v>187</v>
      </c>
      <c r="E71" s="14">
        <f>IF(ISNUMBER(D71), (D71 - $B71) / $B71, "")</f>
        <v>-2.0942408376963352E-2</v>
      </c>
      <c r="F71" s="16">
        <f>IF(ISNUMBER(D71), $B91 * E71, "")</f>
        <v>-3141.3612565445028</v>
      </c>
      <c r="G71" s="29">
        <v>181</v>
      </c>
      <c r="H71" s="14">
        <f>IF(ISNUMBER(G71), (G71 - $B71) / $B71, "")</f>
        <v>-5.2356020942408377E-2</v>
      </c>
      <c r="I71" s="90">
        <f>IF(ISNUMBER(G71), $B91 * H71, "")</f>
        <v>-7853.4031413612565</v>
      </c>
      <c r="J71" s="13">
        <v>180</v>
      </c>
      <c r="K71" s="14">
        <f>IF(ISNUMBER(J71), (J71 - $B71) / $B71, "")</f>
        <v>-5.7591623036649213E-2</v>
      </c>
      <c r="L71" s="16">
        <f>IF(ISNUMBER(J71), $B91 * K71, "")</f>
        <v>-8638.7434554973825</v>
      </c>
      <c r="M71" s="29">
        <v>180</v>
      </c>
      <c r="N71" s="14">
        <f>IF(ISNUMBER(M71), (M71 - $B71) / $B71, "")</f>
        <v>-5.7591623036649213E-2</v>
      </c>
      <c r="O71" s="16">
        <f>IF(ISNUMBER(M71), $B91 * N71, "")</f>
        <v>-8638.7434554973825</v>
      </c>
      <c r="Q71" s="156"/>
      <c r="R71" s="156"/>
      <c r="S71" s="156"/>
    </row>
    <row r="72" spans="1:19" ht="17.25" thickBot="1">
      <c r="A72" s="109" t="s">
        <v>349</v>
      </c>
      <c r="B72" s="110">
        <v>764</v>
      </c>
      <c r="C72" s="70">
        <v>7.3033707899999994E-2</v>
      </c>
      <c r="D72" s="15">
        <v>772</v>
      </c>
      <c r="E72" s="32">
        <f t="shared" ref="E72:E75" si="30">IF(ISNUMBER(D72), (D72 - $B72) / $B72, "")</f>
        <v>1.0471204188481676E-2</v>
      </c>
      <c r="F72" s="18">
        <f>IF(ISNUMBER(D72), $B91 * E72, "")</f>
        <v>1570.6806282722514</v>
      </c>
      <c r="G72" s="31">
        <v>761</v>
      </c>
      <c r="H72" s="32">
        <f t="shared" ref="H72:H75" si="31">IF(ISNUMBER(G72), (G72 - $B72) / $B72, "")</f>
        <v>-3.9267015706806281E-3</v>
      </c>
      <c r="I72" s="91">
        <f>IF(ISNUMBER(G72), $B91 * H72, "")</f>
        <v>-589.00523560209422</v>
      </c>
      <c r="J72" s="15">
        <v>764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773</v>
      </c>
      <c r="N72" s="32">
        <f t="shared" ref="N72:N75" si="33">IF(ISNUMBER(M72), (M72 - $B72) / $B72, "")</f>
        <v>1.1780104712041885E-2</v>
      </c>
      <c r="O72" s="18">
        <f>IF(ISNUMBER(M72), $B91 * N72, "")</f>
        <v>1767.0157068062827</v>
      </c>
      <c r="Q72" s="156"/>
      <c r="R72" s="156"/>
      <c r="S72" s="156"/>
    </row>
    <row r="73" spans="1:19" ht="17.25" thickBot="1">
      <c r="A73" s="109" t="s">
        <v>51</v>
      </c>
      <c r="B73" s="110">
        <v>110</v>
      </c>
      <c r="C73" s="70">
        <v>1.8518518500000001E-2</v>
      </c>
      <c r="D73" s="15">
        <v>108</v>
      </c>
      <c r="E73" s="32">
        <f t="shared" si="30"/>
        <v>-1.8181818181818181E-2</v>
      </c>
      <c r="F73" s="18">
        <f>IF(ISNUMBER(D73), $B91 * E73, "")</f>
        <v>-2727.272727272727</v>
      </c>
      <c r="G73" s="31">
        <v>105</v>
      </c>
      <c r="H73" s="32">
        <f t="shared" si="31"/>
        <v>-4.5454545454545456E-2</v>
      </c>
      <c r="I73" s="91">
        <f>IF(ISNUMBER(G73), $B91 * H73, "")</f>
        <v>-6818.181818181818</v>
      </c>
      <c r="J73" s="15">
        <v>104</v>
      </c>
      <c r="K73" s="32">
        <f t="shared" si="32"/>
        <v>-5.4545454545454543E-2</v>
      </c>
      <c r="L73" s="18">
        <f>IF(ISNUMBER(J73), $B91 * K73, "")</f>
        <v>-8181.8181818181811</v>
      </c>
      <c r="M73" s="31">
        <v>106</v>
      </c>
      <c r="N73" s="32">
        <f t="shared" si="33"/>
        <v>-3.6363636363636362E-2</v>
      </c>
      <c r="O73" s="18">
        <f>IF(ISNUMBER(M73), $B91 * N73, "")</f>
        <v>-5454.545454545454</v>
      </c>
      <c r="Q73" s="161"/>
      <c r="R73" s="161"/>
      <c r="S73" s="161"/>
    </row>
    <row r="74" spans="1:19" ht="17.25" thickBot="1">
      <c r="A74" s="109" t="s">
        <v>101</v>
      </c>
      <c r="B74" s="110">
        <v>245</v>
      </c>
      <c r="C74" s="70">
        <v>8.2304526999999999E-3</v>
      </c>
      <c r="D74" s="15">
        <v>241</v>
      </c>
      <c r="E74" s="32">
        <f t="shared" si="30"/>
        <v>-1.6326530612244899E-2</v>
      </c>
      <c r="F74" s="18">
        <f>IF(ISNUMBER(D74), $B91 * E74, "")</f>
        <v>-2448.9795918367349</v>
      </c>
      <c r="G74" s="31">
        <v>234</v>
      </c>
      <c r="H74" s="32">
        <f t="shared" si="31"/>
        <v>-4.4897959183673466E-2</v>
      </c>
      <c r="I74" s="91">
        <f>IF(ISNUMBER(G74), $B91 * H74, "")</f>
        <v>-6734.6938775510198</v>
      </c>
      <c r="J74" s="15">
        <v>234</v>
      </c>
      <c r="K74" s="32">
        <f t="shared" si="32"/>
        <v>-4.4897959183673466E-2</v>
      </c>
      <c r="L74" s="18">
        <f>IF(ISNUMBER(J74), $B91 * K74, "")</f>
        <v>-6734.6938775510198</v>
      </c>
      <c r="M74" s="31">
        <v>233</v>
      </c>
      <c r="N74" s="32">
        <f t="shared" si="33"/>
        <v>-4.8979591836734691E-2</v>
      </c>
      <c r="O74" s="18">
        <f>IF(ISNUMBER(M74), $B91 * N74, "")</f>
        <v>-7346.9387755102034</v>
      </c>
      <c r="Q74" s="161"/>
      <c r="R74" s="161"/>
      <c r="S74" s="161"/>
    </row>
    <row r="75" spans="1:19" ht="17.25" thickBot="1">
      <c r="A75" s="111" t="s">
        <v>103</v>
      </c>
      <c r="B75" s="112">
        <v>251</v>
      </c>
      <c r="C75" s="71">
        <v>8.0321284999999992E-3</v>
      </c>
      <c r="D75" s="20">
        <v>248</v>
      </c>
      <c r="E75" s="21">
        <f t="shared" si="30"/>
        <v>-1.1952191235059761E-2</v>
      </c>
      <c r="F75" s="22">
        <f>IF(ISNUMBER(D75), $B91 * E75, "")</f>
        <v>-1792.828685258964</v>
      </c>
      <c r="G75" s="30">
        <v>236</v>
      </c>
      <c r="H75" s="21">
        <f t="shared" si="31"/>
        <v>-5.9760956175298807E-2</v>
      </c>
      <c r="I75" s="95">
        <f>IF(ISNUMBER(G75), $B91 * H75, "")</f>
        <v>-8964.1434262948205</v>
      </c>
      <c r="J75" s="20">
        <v>237</v>
      </c>
      <c r="K75" s="21">
        <f t="shared" si="32"/>
        <v>-5.5776892430278883E-2</v>
      </c>
      <c r="L75" s="22">
        <f>IF(ISNUMBER(J75), $B91 * K75, "")</f>
        <v>-8366.5338645418324</v>
      </c>
      <c r="M75" s="30">
        <v>242</v>
      </c>
      <c r="N75" s="21">
        <f t="shared" si="33"/>
        <v>-3.5856573705179286E-2</v>
      </c>
      <c r="O75" s="22">
        <f>IF(ISNUMBER(M75), $B91 * N75, "")</f>
        <v>-5378.4860557768925</v>
      </c>
      <c r="Q75" s="161"/>
      <c r="R75" s="161"/>
      <c r="S75" s="161"/>
    </row>
    <row r="76" spans="1:19" ht="17.25" thickBot="1">
      <c r="A76" s="109" t="s">
        <v>332</v>
      </c>
      <c r="B76" s="113">
        <v>290</v>
      </c>
      <c r="C76" s="73">
        <v>6.9444444000000003E-3</v>
      </c>
      <c r="D76" s="96">
        <v>277</v>
      </c>
      <c r="E76" s="97">
        <f>IF(ISNUMBER(D76), (D76 - $B76) / $B76, "")</f>
        <v>-4.4827586206896551E-2</v>
      </c>
      <c r="F76" s="98">
        <f>IF(ISNUMBER(D76), $B91 * E76, "")</f>
        <v>-6724.1379310344828</v>
      </c>
      <c r="G76" s="99">
        <v>271</v>
      </c>
      <c r="H76" s="97">
        <f>IF(ISNUMBER(G76), (G76 - $B76) / $B76, "")</f>
        <v>-6.5517241379310351E-2</v>
      </c>
      <c r="I76" s="100">
        <f>IF(ISNUMBER(G76), $B91 * H76, "")</f>
        <v>-9827.5862068965525</v>
      </c>
      <c r="J76" s="96">
        <v>271</v>
      </c>
      <c r="K76" s="97">
        <f>IF(ISNUMBER(J76), (J76 - $B76) / $B76, "")</f>
        <v>-6.5517241379310351E-2</v>
      </c>
      <c r="L76" s="98">
        <f>IF(ISNUMBER(J76), $B91 * K76, "")</f>
        <v>-9827.5862068965525</v>
      </c>
      <c r="M76" s="99">
        <v>270</v>
      </c>
      <c r="N76" s="97">
        <f>IF(ISNUMBER(M76), (M76 - $B76) / $B76, "")</f>
        <v>-6.8965517241379309E-2</v>
      </c>
      <c r="O76" s="98">
        <f>IF(ISNUMBER(M76), $B91 * N76, "")</f>
        <v>-10344.827586206897</v>
      </c>
      <c r="Q76" s="161"/>
      <c r="R76" s="161"/>
      <c r="S76" s="161"/>
    </row>
    <row r="77" spans="1:19" ht="17.25" thickBot="1">
      <c r="A77" s="109" t="s">
        <v>105</v>
      </c>
      <c r="B77" s="110">
        <v>226</v>
      </c>
      <c r="C77" s="70">
        <v>4.4444443999999998E-3</v>
      </c>
      <c r="D77" s="15">
        <v>223</v>
      </c>
      <c r="E77" s="32">
        <f t="shared" ref="E77:E80" si="34">IF(ISNUMBER(D77), (D77 - $B77) / $B77, "")</f>
        <v>-1.3274336283185841E-2</v>
      </c>
      <c r="F77" s="18">
        <f>IF(ISNUMBER(D77), $B91 * E77, "")</f>
        <v>-1991.1504424778761</v>
      </c>
      <c r="G77" s="31">
        <v>214</v>
      </c>
      <c r="H77" s="32">
        <f t="shared" ref="H77:H80" si="35">IF(ISNUMBER(G77), (G77 - $B77) / $B77, "")</f>
        <v>-5.3097345132743362E-2</v>
      </c>
      <c r="I77" s="91">
        <f>IF(ISNUMBER(G77), $B91 * H77, "")</f>
        <v>-7964.6017699115046</v>
      </c>
      <c r="J77" s="15">
        <v>214</v>
      </c>
      <c r="K77" s="32">
        <f t="shared" ref="K77:K80" si="36">IF(ISNUMBER(J77), (J77 - $B77) / $B77, "")</f>
        <v>-5.3097345132743362E-2</v>
      </c>
      <c r="L77" s="18">
        <f>IF(ISNUMBER(J77), $B91 * K77, "")</f>
        <v>-7964.6017699115046</v>
      </c>
      <c r="M77" s="31">
        <v>216</v>
      </c>
      <c r="N77" s="32">
        <f t="shared" ref="N77:N80" si="37">IF(ISNUMBER(M77), (M77 - $B77) / $B77, "")</f>
        <v>-4.4247787610619468E-2</v>
      </c>
      <c r="O77" s="18">
        <f>IF(ISNUMBER(M77), $B91 * N77, "")</f>
        <v>-6637.1681415929206</v>
      </c>
      <c r="Q77" s="161"/>
      <c r="R77" s="161"/>
      <c r="S77" s="161"/>
    </row>
    <row r="78" spans="1:19" ht="17.25" thickBot="1">
      <c r="A78" s="109" t="s">
        <v>340</v>
      </c>
      <c r="B78" s="110">
        <v>565</v>
      </c>
      <c r="C78" s="70">
        <v>3.5523979E-3</v>
      </c>
      <c r="D78" s="15">
        <v>564</v>
      </c>
      <c r="E78" s="32">
        <f t="shared" si="34"/>
        <v>-1.7699115044247787E-3</v>
      </c>
      <c r="F78" s="18">
        <f>IF(ISNUMBER(D78), $B91 * E78, "")</f>
        <v>-265.48672566371681</v>
      </c>
      <c r="G78" s="31">
        <v>544</v>
      </c>
      <c r="H78" s="32">
        <f t="shared" si="35"/>
        <v>-3.7168141592920353E-2</v>
      </c>
      <c r="I78" s="91">
        <f>IF(ISNUMBER(G78), $B91 * H78, "")</f>
        <v>-5575.2212389380529</v>
      </c>
      <c r="J78" s="15">
        <v>545</v>
      </c>
      <c r="K78" s="32">
        <f t="shared" si="36"/>
        <v>-3.5398230088495575E-2</v>
      </c>
      <c r="L78" s="18">
        <f>IF(ISNUMBER(J78), $B91 * K78, "")</f>
        <v>-5309.7345132743358</v>
      </c>
      <c r="M78" s="31">
        <v>548</v>
      </c>
      <c r="N78" s="32">
        <f t="shared" si="37"/>
        <v>-3.0088495575221239E-2</v>
      </c>
      <c r="O78" s="18">
        <f>IF(ISNUMBER(M78), $B91 * N78, "")</f>
        <v>-4513.2743362831861</v>
      </c>
      <c r="Q78" s="161"/>
      <c r="R78" s="161"/>
      <c r="S78" s="161"/>
    </row>
    <row r="79" spans="1:19" ht="17.25" thickBot="1">
      <c r="A79" s="109" t="s">
        <v>165</v>
      </c>
      <c r="B79" s="110">
        <v>975</v>
      </c>
      <c r="C79" s="70">
        <v>2.0554985E-3</v>
      </c>
      <c r="D79" s="15">
        <v>963</v>
      </c>
      <c r="E79" s="32">
        <f t="shared" si="34"/>
        <v>-1.2307692307692308E-2</v>
      </c>
      <c r="F79" s="18">
        <f>IF(ISNUMBER(D79), $B91 * E79, "")</f>
        <v>-1846.1538461538462</v>
      </c>
      <c r="G79" s="31">
        <v>927</v>
      </c>
      <c r="H79" s="32">
        <f t="shared" si="35"/>
        <v>-4.9230769230769231E-2</v>
      </c>
      <c r="I79" s="91">
        <f>IF(ISNUMBER(G79), $B91 * H79, "")</f>
        <v>-7384.6153846153848</v>
      </c>
      <c r="J79" s="15">
        <v>925</v>
      </c>
      <c r="K79" s="32">
        <f t="shared" si="36"/>
        <v>-5.128205128205128E-2</v>
      </c>
      <c r="L79" s="18">
        <f>IF(ISNUMBER(J79), $B91 * K79, "")</f>
        <v>-7692.3076923076924</v>
      </c>
      <c r="M79" s="31">
        <v>927</v>
      </c>
      <c r="N79" s="32">
        <f t="shared" si="37"/>
        <v>-4.9230769230769231E-2</v>
      </c>
      <c r="O79" s="18">
        <f>IF(ISNUMBER(M79), $B91 * N79, "")</f>
        <v>-7384.6153846153848</v>
      </c>
      <c r="Q79" s="33"/>
      <c r="R79" s="33"/>
    </row>
    <row r="80" spans="1:19" ht="17.25" thickBot="1">
      <c r="A80" s="114" t="s">
        <v>89</v>
      </c>
      <c r="B80" s="115">
        <v>505</v>
      </c>
      <c r="C80" s="72">
        <v>1.984127E-3</v>
      </c>
      <c r="D80" s="24">
        <v>496</v>
      </c>
      <c r="E80" s="25">
        <f t="shared" si="34"/>
        <v>-1.782178217821782E-2</v>
      </c>
      <c r="F80" s="94">
        <f>IF(ISNUMBER(D80), $B91 * E80, "")</f>
        <v>-2673.2673267326732</v>
      </c>
      <c r="G80" s="92">
        <v>483</v>
      </c>
      <c r="H80" s="25">
        <f t="shared" si="35"/>
        <v>-4.3564356435643561E-2</v>
      </c>
      <c r="I80" s="93">
        <f>IF(ISNUMBER(G80), $B91 * H80, "")</f>
        <v>-6534.6534653465342</v>
      </c>
      <c r="J80" s="24">
        <v>483</v>
      </c>
      <c r="K80" s="25">
        <f t="shared" si="36"/>
        <v>-4.3564356435643561E-2</v>
      </c>
      <c r="L80" s="94">
        <f>IF(ISNUMBER(J80), $B91 * K80, "")</f>
        <v>-6534.6534653465342</v>
      </c>
      <c r="M80" s="92">
        <v>482</v>
      </c>
      <c r="N80" s="25">
        <f t="shared" si="37"/>
        <v>-4.5544554455445543E-2</v>
      </c>
      <c r="O80" s="94">
        <f>IF(ISNUMBER(M80), $B91 * N80, "")</f>
        <v>-6831.6831683168311</v>
      </c>
      <c r="Q80" s="170"/>
      <c r="R80" s="171"/>
      <c r="S80" s="172"/>
    </row>
    <row r="81" spans="1:19">
      <c r="A81" s="107" t="s">
        <v>342</v>
      </c>
      <c r="B81" s="108">
        <v>135</v>
      </c>
      <c r="C81" s="69">
        <v>0</v>
      </c>
      <c r="D81" s="13">
        <v>133</v>
      </c>
      <c r="E81" s="14">
        <f>IF(ISNUMBER(D81), (D81 - $B81) / $B81, "")</f>
        <v>-1.4814814814814815E-2</v>
      </c>
      <c r="F81" s="16">
        <f>IF(ISNUMBER(D81), $B91 * E81, "")</f>
        <v>-2222.2222222222222</v>
      </c>
      <c r="G81" s="29">
        <v>130</v>
      </c>
      <c r="H81" s="14">
        <f>IF(ISNUMBER(G81), (G81 - $B81) / $B81, "")</f>
        <v>-3.7037037037037035E-2</v>
      </c>
      <c r="I81" s="90">
        <f>IF(ISNUMBER(G81), $B91 * H81, "")</f>
        <v>-5555.5555555555557</v>
      </c>
      <c r="J81" s="13">
        <v>129</v>
      </c>
      <c r="K81" s="14">
        <f>IF(ISNUMBER(J81), (J81 - $B81) / $B81, "")</f>
        <v>-4.4444444444444446E-2</v>
      </c>
      <c r="L81" s="16">
        <f>IF(ISNUMBER(J81), $B91 * K81, "")</f>
        <v>-6666.666666666667</v>
      </c>
      <c r="M81" s="29">
        <v>131</v>
      </c>
      <c r="N81" s="14">
        <f>IF(ISNUMBER(M81), (M81 - $B81) / $B81, "")</f>
        <v>-2.9629629629629631E-2</v>
      </c>
      <c r="O81" s="16">
        <f>IF(ISNUMBER(M81), $B91 * N81, "")</f>
        <v>-4444.4444444444443</v>
      </c>
      <c r="Q81" s="173"/>
      <c r="R81" s="174"/>
      <c r="S81" s="175"/>
    </row>
    <row r="82" spans="1:19" ht="17.25" thickBot="1">
      <c r="A82" s="109" t="s">
        <v>60</v>
      </c>
      <c r="B82" s="110">
        <v>499</v>
      </c>
      <c r="C82" s="70">
        <v>-2E-3</v>
      </c>
      <c r="D82" s="15">
        <v>496</v>
      </c>
      <c r="E82" s="32">
        <f t="shared" ref="E82:E85" si="38">IF(ISNUMBER(D82), (D82 - $B82) / $B82, "")</f>
        <v>-6.0120240480961923E-3</v>
      </c>
      <c r="F82" s="18">
        <f>IF(ISNUMBER(D82), $B91 * E82, "")</f>
        <v>-901.80360721442889</v>
      </c>
      <c r="G82" s="31">
        <v>479</v>
      </c>
      <c r="H82" s="32">
        <f t="shared" ref="H82:H85" si="39">IF(ISNUMBER(G82), (G82 - $B82) / $B82, "")</f>
        <v>-4.0080160320641281E-2</v>
      </c>
      <c r="I82" s="91">
        <f>IF(ISNUMBER(G82), $B91 * H82, "")</f>
        <v>-6012.024048096192</v>
      </c>
      <c r="J82" s="15">
        <v>479</v>
      </c>
      <c r="K82" s="32">
        <f t="shared" ref="K82:K85" si="40">IF(ISNUMBER(J82), (J82 - $B82) / $B82, "")</f>
        <v>-4.0080160320641281E-2</v>
      </c>
      <c r="L82" s="18">
        <f>IF(ISNUMBER(J82), $B91 * K82, "")</f>
        <v>-6012.024048096192</v>
      </c>
      <c r="M82" s="31">
        <v>483</v>
      </c>
      <c r="N82" s="32">
        <f t="shared" ref="N82:N85" si="41">IF(ISNUMBER(M82), (M82 - $B82) / $B82, "")</f>
        <v>-3.2064128256513023E-2</v>
      </c>
      <c r="O82" s="18">
        <f>IF(ISNUMBER(M82), $B91 * N82, "")</f>
        <v>-4809.6192384769538</v>
      </c>
      <c r="Q82" s="176"/>
      <c r="R82" s="177"/>
      <c r="S82" s="178"/>
    </row>
    <row r="83" spans="1:19" ht="17.25" thickBot="1">
      <c r="A83" s="109" t="s">
        <v>149</v>
      </c>
      <c r="B83" s="110">
        <v>391</v>
      </c>
      <c r="C83" s="70">
        <v>-2.5510203999999999E-3</v>
      </c>
      <c r="D83" s="15">
        <v>384</v>
      </c>
      <c r="E83" s="32">
        <f t="shared" si="38"/>
        <v>-1.7902813299232736E-2</v>
      </c>
      <c r="F83" s="18">
        <f>IF(ISNUMBER(D83), $B91 * E83, "")</f>
        <v>-2685.4219948849104</v>
      </c>
      <c r="G83" s="31">
        <v>369</v>
      </c>
      <c r="H83" s="32">
        <f t="shared" si="39"/>
        <v>-5.6265984654731455E-2</v>
      </c>
      <c r="I83" s="91">
        <f>IF(ISNUMBER(G83), $B91 * H83, "")</f>
        <v>-8439.8976982097174</v>
      </c>
      <c r="J83" s="15">
        <v>371</v>
      </c>
      <c r="K83" s="32">
        <f t="shared" si="40"/>
        <v>-5.1150895140664961E-2</v>
      </c>
      <c r="L83" s="18">
        <f>IF(ISNUMBER(J83), $B91 * K83, "")</f>
        <v>-7672.6342710997442</v>
      </c>
      <c r="M83" s="31">
        <v>369</v>
      </c>
      <c r="N83" s="32">
        <f t="shared" si="41"/>
        <v>-5.6265984654731455E-2</v>
      </c>
      <c r="O83" s="18">
        <f>IF(ISNUMBER(M83), $B91 * N83, "")</f>
        <v>-8439.8976982097174</v>
      </c>
      <c r="Q83" s="161"/>
      <c r="R83" s="161"/>
      <c r="S83" s="161"/>
    </row>
    <row r="84" spans="1:19" ht="17.25" thickBot="1">
      <c r="A84" s="109" t="s">
        <v>157</v>
      </c>
      <c r="B84" s="110">
        <v>175</v>
      </c>
      <c r="C84" s="70">
        <v>-5.6818182E-3</v>
      </c>
      <c r="D84" s="15">
        <v>177</v>
      </c>
      <c r="E84" s="32">
        <f t="shared" si="38"/>
        <v>1.1428571428571429E-2</v>
      </c>
      <c r="F84" s="18">
        <f>IF(ISNUMBER(D84), $B91 * E84, "")</f>
        <v>1714.2857142857142</v>
      </c>
      <c r="G84" s="31">
        <v>174</v>
      </c>
      <c r="H84" s="32">
        <f t="shared" si="39"/>
        <v>-5.7142857142857143E-3</v>
      </c>
      <c r="I84" s="91">
        <f>IF(ISNUMBER(G84), $B91 * H84, "")</f>
        <v>-857.14285714285711</v>
      </c>
      <c r="J84" s="15">
        <v>175</v>
      </c>
      <c r="K84" s="32">
        <f t="shared" si="40"/>
        <v>0</v>
      </c>
      <c r="L84" s="18">
        <f>IF(ISNUMBER(J84), $B91 * K84, "")</f>
        <v>0</v>
      </c>
      <c r="M84" s="31">
        <v>176</v>
      </c>
      <c r="N84" s="32">
        <f t="shared" si="41"/>
        <v>5.7142857142857143E-3</v>
      </c>
      <c r="O84" s="18">
        <f>IF(ISNUMBER(M84), $B91 * N84, "")</f>
        <v>857.14285714285711</v>
      </c>
      <c r="Q84" s="156"/>
      <c r="R84" s="156"/>
      <c r="S84" s="156"/>
    </row>
    <row r="85" spans="1:19" ht="17.25" thickBot="1">
      <c r="A85" s="111" t="s">
        <v>216</v>
      </c>
      <c r="B85" s="112">
        <v>518</v>
      </c>
      <c r="C85" s="71">
        <v>-5.7581574E-3</v>
      </c>
      <c r="D85" s="20">
        <v>515</v>
      </c>
      <c r="E85" s="21">
        <f t="shared" si="38"/>
        <v>-5.7915057915057912E-3</v>
      </c>
      <c r="F85" s="22">
        <f>IF(ISNUMBER(D85), $B91 * E85, "")</f>
        <v>-868.72586872586874</v>
      </c>
      <c r="G85" s="30">
        <v>493</v>
      </c>
      <c r="H85" s="21">
        <f t="shared" si="39"/>
        <v>-4.8262548262548263E-2</v>
      </c>
      <c r="I85" s="95">
        <f>IF(ISNUMBER(G85), $B91 * H85, "")</f>
        <v>-7239.3822393822393</v>
      </c>
      <c r="J85" s="20">
        <v>493</v>
      </c>
      <c r="K85" s="21">
        <f t="shared" si="40"/>
        <v>-4.8262548262548263E-2</v>
      </c>
      <c r="L85" s="22">
        <f>IF(ISNUMBER(J85), $B91 * K85, "")</f>
        <v>-7239.3822393822393</v>
      </c>
      <c r="M85" s="30">
        <v>492</v>
      </c>
      <c r="N85" s="21">
        <f t="shared" si="41"/>
        <v>-5.019305019305019E-2</v>
      </c>
      <c r="O85" s="22">
        <f>IF(ISNUMBER(M85), $B91 * N85, "")</f>
        <v>-7528.9575289575287</v>
      </c>
      <c r="Q85" s="156"/>
      <c r="R85" s="156"/>
      <c r="S85" s="156"/>
    </row>
    <row r="86" spans="1:19" ht="17.25" thickBot="1">
      <c r="A86" s="109" t="s">
        <v>111</v>
      </c>
      <c r="B86" s="113">
        <v>720</v>
      </c>
      <c r="C86" s="73">
        <v>-6.8965516999999997E-3</v>
      </c>
      <c r="D86" s="96">
        <v>711</v>
      </c>
      <c r="E86" s="97">
        <f>IF(ISNUMBER(D86), (D86 - $B86) / $B86, "")</f>
        <v>-1.2500000000000001E-2</v>
      </c>
      <c r="F86" s="98">
        <f>IF(ISNUMBER(D86), $B91 * E86, "")</f>
        <v>-1875</v>
      </c>
      <c r="G86" s="99">
        <v>679</v>
      </c>
      <c r="H86" s="97">
        <f>IF(ISNUMBER(G86), (G86 - $B86) / $B86, "")</f>
        <v>-5.6944444444444443E-2</v>
      </c>
      <c r="I86" s="100">
        <f>IF(ISNUMBER(G86), $B91 * H86, "")</f>
        <v>-8541.6666666666661</v>
      </c>
      <c r="J86" s="96">
        <v>681</v>
      </c>
      <c r="K86" s="97">
        <f>IF(ISNUMBER(J86), (J86 - $B86) / $B86, "")</f>
        <v>-5.4166666666666669E-2</v>
      </c>
      <c r="L86" s="98">
        <f>IF(ISNUMBER(J86), $B91 * K86, "")</f>
        <v>-8125</v>
      </c>
      <c r="M86" s="99">
        <v>675</v>
      </c>
      <c r="N86" s="97">
        <f>IF(ISNUMBER(M86), (M86 - $B86) / $B86, "")</f>
        <v>-6.25E-2</v>
      </c>
      <c r="O86" s="98">
        <f>IF(ISNUMBER(M86), $B91 * N86, "")</f>
        <v>-9375</v>
      </c>
      <c r="Q86" s="161"/>
      <c r="R86" s="161"/>
      <c r="S86" s="161"/>
    </row>
    <row r="87" spans="1:19" ht="17.25" thickBot="1">
      <c r="A87" s="109" t="s">
        <v>130</v>
      </c>
      <c r="B87" s="110">
        <v>809</v>
      </c>
      <c r="C87" s="70">
        <v>-7.3619632000000001E-3</v>
      </c>
      <c r="D87" s="15">
        <v>806</v>
      </c>
      <c r="E87" s="32">
        <f t="shared" ref="E87:E90" si="42">IF(ISNUMBER(D87), (D87 - $B87) / $B87, "")</f>
        <v>-3.708281829419036E-3</v>
      </c>
      <c r="F87" s="18">
        <f>IF(ISNUMBER(D87), $B91 * E87, "")</f>
        <v>-556.24227441285541</v>
      </c>
      <c r="G87" s="31">
        <v>768</v>
      </c>
      <c r="H87" s="32">
        <f t="shared" ref="H87:H90" si="43">IF(ISNUMBER(G87), (G87 - $B87) / $B87, "")</f>
        <v>-5.0679851668726822E-2</v>
      </c>
      <c r="I87" s="91">
        <f>IF(ISNUMBER(G87), $B91 * H87, "")</f>
        <v>-7601.9777503090236</v>
      </c>
      <c r="J87" s="15">
        <v>769</v>
      </c>
      <c r="K87" s="32">
        <f t="shared" ref="K87:K90" si="44">IF(ISNUMBER(J87), (J87 - $B87) / $B87, "")</f>
        <v>-4.9443757725587144E-2</v>
      </c>
      <c r="L87" s="18">
        <f>IF(ISNUMBER(J87), $B91 * K87, "")</f>
        <v>-7416.5636588380712</v>
      </c>
      <c r="M87" s="31">
        <v>769</v>
      </c>
      <c r="N87" s="32">
        <f t="shared" ref="N87:N90" si="45">IF(ISNUMBER(M87), (M87 - $B87) / $B87, "")</f>
        <v>-4.9443757725587144E-2</v>
      </c>
      <c r="O87" s="18">
        <f>IF(ISNUMBER(M87), $B91 * N87, "")</f>
        <v>-7416.5636588380712</v>
      </c>
      <c r="Q87" s="161"/>
      <c r="R87" s="161"/>
      <c r="S87" s="161"/>
    </row>
    <row r="88" spans="1:19" ht="17.25" thickBot="1">
      <c r="A88" s="109" t="s">
        <v>120</v>
      </c>
      <c r="B88" s="110">
        <v>128</v>
      </c>
      <c r="C88" s="70">
        <v>-7.7519379999999999E-3</v>
      </c>
      <c r="D88" s="15">
        <v>130</v>
      </c>
      <c r="E88" s="32">
        <f t="shared" si="42"/>
        <v>1.5625E-2</v>
      </c>
      <c r="F88" s="18">
        <f>IF(ISNUMBER(D88), $B91 * E88, "")</f>
        <v>2343.75</v>
      </c>
      <c r="G88" s="31">
        <v>127</v>
      </c>
      <c r="H88" s="32">
        <f t="shared" si="43"/>
        <v>-7.8125E-3</v>
      </c>
      <c r="I88" s="91">
        <f>IF(ISNUMBER(G88), $B91 * H88, "")</f>
        <v>-1171.875</v>
      </c>
      <c r="J88" s="15">
        <v>127</v>
      </c>
      <c r="K88" s="32">
        <f t="shared" si="44"/>
        <v>-7.8125E-3</v>
      </c>
      <c r="L88" s="18">
        <f>IF(ISNUMBER(J88), $B91 * K88, "")</f>
        <v>-1171.875</v>
      </c>
      <c r="M88" s="31">
        <v>129</v>
      </c>
      <c r="N88" s="32">
        <f t="shared" si="45"/>
        <v>7.8125E-3</v>
      </c>
      <c r="O88" s="18">
        <f>IF(ISNUMBER(M88), $B91 * N88, "")</f>
        <v>1171.875</v>
      </c>
      <c r="Q88" s="161"/>
      <c r="R88" s="161"/>
      <c r="S88" s="161"/>
    </row>
    <row r="89" spans="1:19">
      <c r="A89" s="109" t="s">
        <v>256</v>
      </c>
      <c r="B89" s="110">
        <v>115</v>
      </c>
      <c r="C89" s="70">
        <v>-8.6206896999999998E-3</v>
      </c>
      <c r="D89" s="15">
        <v>113</v>
      </c>
      <c r="E89" s="32">
        <f t="shared" si="42"/>
        <v>-1.7391304347826087E-2</v>
      </c>
      <c r="F89" s="18">
        <f>IF(ISNUMBER(D89), $B91 * E89, "")</f>
        <v>-2608.695652173913</v>
      </c>
      <c r="G89" s="31">
        <v>110</v>
      </c>
      <c r="H89" s="32">
        <f t="shared" si="43"/>
        <v>-4.3478260869565216E-2</v>
      </c>
      <c r="I89" s="91">
        <f>IF(ISNUMBER(G89), $B91 * H89, "")</f>
        <v>-6521.7391304347821</v>
      </c>
      <c r="J89" s="15">
        <v>110</v>
      </c>
      <c r="K89" s="32">
        <f t="shared" si="44"/>
        <v>-4.3478260869565216E-2</v>
      </c>
      <c r="L89" s="18">
        <f>IF(ISNUMBER(J89), $B91 * K89, "")</f>
        <v>-6521.7391304347821</v>
      </c>
      <c r="M89" s="31">
        <v>109</v>
      </c>
      <c r="N89" s="32">
        <f t="shared" si="45"/>
        <v>-5.2173913043478258E-2</v>
      </c>
      <c r="O89" s="18">
        <f>IF(ISNUMBER(M89), $B91 * N89, "")</f>
        <v>-7826.086956521739</v>
      </c>
      <c r="Q89" s="183"/>
      <c r="R89" s="184"/>
      <c r="S89" s="185"/>
    </row>
    <row r="90" spans="1:19" ht="17.25" thickBot="1">
      <c r="A90" s="114" t="s">
        <v>218</v>
      </c>
      <c r="B90" s="115">
        <v>342</v>
      </c>
      <c r="C90" s="72">
        <v>-8.6956522000000008E-3</v>
      </c>
      <c r="D90" s="24">
        <v>340</v>
      </c>
      <c r="E90" s="25">
        <f t="shared" si="42"/>
        <v>-5.8479532163742687E-3</v>
      </c>
      <c r="F90" s="94">
        <f>IF(ISNUMBER(D90), $B91 * E90, "")</f>
        <v>-877.19298245614027</v>
      </c>
      <c r="G90" s="92">
        <v>331</v>
      </c>
      <c r="H90" s="25">
        <f t="shared" si="43"/>
        <v>-3.2163742690058478E-2</v>
      </c>
      <c r="I90" s="93">
        <f>IF(ISNUMBER(G90), $B91 * H90, "")</f>
        <v>-4824.5614035087719</v>
      </c>
      <c r="J90" s="24">
        <v>331</v>
      </c>
      <c r="K90" s="25">
        <f t="shared" si="44"/>
        <v>-3.2163742690058478E-2</v>
      </c>
      <c r="L90" s="94">
        <f>IF(ISNUMBER(J90), $B91 * K90, "")</f>
        <v>-4824.5614035087719</v>
      </c>
      <c r="M90" s="92">
        <v>329</v>
      </c>
      <c r="N90" s="25">
        <f t="shared" si="45"/>
        <v>-3.8011695906432746E-2</v>
      </c>
      <c r="O90" s="94">
        <f>IF(ISNUMBER(M90), $B91 * N90, "")</f>
        <v>-5701.7543859649122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-1.0192408930835967E-2</v>
      </c>
      <c r="F91" s="28">
        <f>SUM(F71:F90)</f>
        <v>-30577.226792507896</v>
      </c>
      <c r="G91" s="26" t="s">
        <v>261</v>
      </c>
      <c r="H91" s="27">
        <f>IF(COUNT(H71:H90), SUM(H71:H90) / COUNT(H71:H90), 0)</f>
        <v>-4.1670642638001618E-2</v>
      </c>
      <c r="I91" s="28">
        <f>SUM(I71:I90)</f>
        <v>-125011.92791400486</v>
      </c>
      <c r="J91" s="26" t="s">
        <v>261</v>
      </c>
      <c r="K91" s="27">
        <f>IF(COUNT(K71:K90), SUM(K71:K90) / COUNT(K71:K90), 0)</f>
        <v>-4.1633706481723841E-2</v>
      </c>
      <c r="L91" s="28">
        <f>SUM(L71:L90)</f>
        <v>-124901.11944517151</v>
      </c>
      <c r="M91" s="26" t="s">
        <v>261</v>
      </c>
      <c r="N91" s="27">
        <f>IF(COUNT(N71:N90), SUM(N71:N90) / COUNT(N71:N90), 0)</f>
        <v>-3.8092190901936461E-2</v>
      </c>
      <c r="O91" s="28">
        <f>SUM(O71:O90)</f>
        <v>-114276.57270580941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2022-12-16(금) 오전 00:00</v>
      </c>
      <c r="C96" s="199"/>
      <c r="D96" s="158" t="str">
        <f>TEXT($G$1, "[$-ko-KR]yyyy-mm-dd(ddd) ") &amp; "오후 14:00"</f>
        <v>2022-12-16(금) 오후 14:00</v>
      </c>
      <c r="E96" s="159"/>
      <c r="F96" s="160"/>
      <c r="G96" s="158" t="str">
        <f>TEXT($G$1, "[$-ko-KR]yyyy-mm-dd(ddd) ") &amp; "오후 19:00"</f>
        <v>2022-12-16(금) 오후 19:00</v>
      </c>
      <c r="H96" s="159"/>
      <c r="I96" s="160"/>
      <c r="J96" s="158" t="str">
        <f>TEXT($G$1, "[$-ko-KR]yyyy-mm-dd(ddd) ") &amp; "오후 21:00"</f>
        <v>2022-12-16(금) 오후 21:00</v>
      </c>
      <c r="K96" s="159"/>
      <c r="L96" s="160"/>
      <c r="M96" s="158" t="str">
        <f>TEXT($G$1+1, "[$-ko-KR]yyyy-mm-dd(ddd) ") &amp; "오전 00:00"</f>
        <v>2022-12-17(토)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85</v>
      </c>
      <c r="B98" s="108">
        <v>191</v>
      </c>
      <c r="C98" s="69">
        <v>7.3033707899999994E-2</v>
      </c>
      <c r="D98" s="13">
        <v>187</v>
      </c>
      <c r="E98" s="14">
        <f>IF(ISNUMBER(D98), (D98 - $B98) / $B98, "")</f>
        <v>-2.0942408376963352E-2</v>
      </c>
      <c r="F98" s="16">
        <f>IF(ISNUMBER(D98), $B118 * E98, "")</f>
        <v>-3141.3612565445028</v>
      </c>
      <c r="G98" s="29">
        <v>181</v>
      </c>
      <c r="H98" s="14">
        <f>IF(ISNUMBER(G98), (G98 - $B98) / $B98, "")</f>
        <v>-5.2356020942408377E-2</v>
      </c>
      <c r="I98" s="90">
        <f>IF(ISNUMBER(G98), $B118 * H98, "")</f>
        <v>-7853.4031413612565</v>
      </c>
      <c r="J98" s="13">
        <v>180</v>
      </c>
      <c r="K98" s="14">
        <f>IF(ISNUMBER(J98), (J98 - $B98) / $B98, "")</f>
        <v>-5.7591623036649213E-2</v>
      </c>
      <c r="L98" s="16">
        <f>IF(ISNUMBER(J98), $B118 * K98, "")</f>
        <v>-8638.7434554973825</v>
      </c>
      <c r="M98" s="29">
        <v>180</v>
      </c>
      <c r="N98" s="14">
        <f>IF(ISNUMBER(M98), (M98 - $B98) / $B98, "")</f>
        <v>-5.7591623036649213E-2</v>
      </c>
      <c r="O98" s="16">
        <f>IF(ISNUMBER(M98), $B118 * N98, "")</f>
        <v>-8638.7434554973825</v>
      </c>
      <c r="Q98" s="156"/>
      <c r="R98" s="156"/>
      <c r="S98" s="156"/>
    </row>
    <row r="99" spans="1:19" ht="17.25" thickBot="1">
      <c r="A99" s="109" t="s">
        <v>349</v>
      </c>
      <c r="B99" s="110">
        <v>764</v>
      </c>
      <c r="C99" s="70">
        <v>7.3033707899999994E-2</v>
      </c>
      <c r="D99" s="15">
        <v>772</v>
      </c>
      <c r="E99" s="32">
        <f t="shared" ref="E99:E102" si="46">IF(ISNUMBER(D99), (D99 - $B99) / $B99, "")</f>
        <v>1.0471204188481676E-2</v>
      </c>
      <c r="F99" s="18">
        <f>IF(ISNUMBER(D99), $B118 * E99, "")</f>
        <v>1570.6806282722514</v>
      </c>
      <c r="G99" s="31">
        <v>761</v>
      </c>
      <c r="H99" s="32">
        <f t="shared" ref="H99:H102" si="47">IF(ISNUMBER(G99), (G99 - $B99) / $B99, "")</f>
        <v>-3.9267015706806281E-3</v>
      </c>
      <c r="I99" s="91">
        <f>IF(ISNUMBER(G99), $B118 * H99, "")</f>
        <v>-589.00523560209422</v>
      </c>
      <c r="J99" s="15">
        <v>764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773</v>
      </c>
      <c r="N99" s="32">
        <f t="shared" ref="N99:N102" si="49">IF(ISNUMBER(M99), (M99 - $B99) / $B99, "")</f>
        <v>1.1780104712041885E-2</v>
      </c>
      <c r="O99" s="18">
        <f>IF(ISNUMBER(M99), $B118 * N99, "")</f>
        <v>1767.0157068062827</v>
      </c>
      <c r="Q99" s="156"/>
      <c r="R99" s="156"/>
      <c r="S99" s="156"/>
    </row>
    <row r="100" spans="1:19" ht="17.25" thickBot="1">
      <c r="A100" s="109" t="s">
        <v>113</v>
      </c>
      <c r="B100" s="110">
        <v>1530</v>
      </c>
      <c r="C100" s="70">
        <v>5.51724138E-2</v>
      </c>
      <c r="D100" s="15">
        <v>1570</v>
      </c>
      <c r="E100" s="32">
        <f t="shared" si="46"/>
        <v>2.6143790849673203E-2</v>
      </c>
      <c r="F100" s="18">
        <f>IF(ISNUMBER(D100), $B118 * E100, "")</f>
        <v>3921.5686274509803</v>
      </c>
      <c r="G100" s="31">
        <v>1550</v>
      </c>
      <c r="H100" s="32">
        <f t="shared" si="47"/>
        <v>1.3071895424836602E-2</v>
      </c>
      <c r="I100" s="91">
        <f>IF(ISNUMBER(G100), $B118 * H100, "")</f>
        <v>1960.7843137254902</v>
      </c>
      <c r="J100" s="15">
        <v>1550</v>
      </c>
      <c r="K100" s="32">
        <f t="shared" si="48"/>
        <v>1.3071895424836602E-2</v>
      </c>
      <c r="L100" s="18">
        <f>IF(ISNUMBER(J100), $B118 * K100, "")</f>
        <v>1960.7843137254902</v>
      </c>
      <c r="M100" s="31">
        <v>1520</v>
      </c>
      <c r="N100" s="32">
        <f t="shared" si="49"/>
        <v>-6.5359477124183009E-3</v>
      </c>
      <c r="O100" s="18">
        <f>IF(ISNUMBER(M100), $B118 * N100, "")</f>
        <v>-980.39215686274508</v>
      </c>
      <c r="Q100" s="161"/>
      <c r="R100" s="161"/>
      <c r="S100" s="161"/>
    </row>
    <row r="101" spans="1:19" ht="17.25" thickBot="1">
      <c r="A101" s="109" t="s">
        <v>87</v>
      </c>
      <c r="B101" s="110">
        <v>62100</v>
      </c>
      <c r="C101" s="70">
        <v>4.9518337000000003E-2</v>
      </c>
      <c r="D101" s="15">
        <v>65150</v>
      </c>
      <c r="E101" s="32">
        <f t="shared" si="46"/>
        <v>4.9114331723027378E-2</v>
      </c>
      <c r="F101" s="18">
        <f>IF(ISNUMBER(D101), $B118 * E101, "")</f>
        <v>7367.1497584541066</v>
      </c>
      <c r="G101" s="31">
        <v>64890</v>
      </c>
      <c r="H101" s="32">
        <f t="shared" si="47"/>
        <v>4.4927536231884058E-2</v>
      </c>
      <c r="I101" s="91">
        <f>IF(ISNUMBER(G101), $B118 * H101, "")</f>
        <v>6739.130434782609</v>
      </c>
      <c r="J101" s="15">
        <v>64290</v>
      </c>
      <c r="K101" s="32">
        <f t="shared" si="48"/>
        <v>3.5265700483091786E-2</v>
      </c>
      <c r="L101" s="18">
        <f>IF(ISNUMBER(J101), $B118 * K101, "")</f>
        <v>5289.855072463768</v>
      </c>
      <c r="M101" s="31">
        <v>63330</v>
      </c>
      <c r="N101" s="32">
        <f t="shared" si="49"/>
        <v>1.9806763285024155E-2</v>
      </c>
      <c r="O101" s="18">
        <f>IF(ISNUMBER(M101), $B118 * N101, "")</f>
        <v>2971.0144927536235</v>
      </c>
      <c r="Q101" s="161"/>
      <c r="R101" s="161"/>
      <c r="S101" s="161"/>
    </row>
    <row r="102" spans="1:19" ht="17.25" thickBot="1">
      <c r="A102" s="111" t="s">
        <v>198</v>
      </c>
      <c r="B102" s="112">
        <v>8.89</v>
      </c>
      <c r="C102" s="71">
        <v>3.2520325199999998E-2</v>
      </c>
      <c r="D102" s="20">
        <v>8.75</v>
      </c>
      <c r="E102" s="21">
        <f t="shared" si="46"/>
        <v>-1.5748031496063054E-2</v>
      </c>
      <c r="F102" s="22">
        <f>IF(ISNUMBER(D102), $B118 * E102, "")</f>
        <v>-2362.2047244094583</v>
      </c>
      <c r="G102" s="30">
        <v>8.2799999999999994</v>
      </c>
      <c r="H102" s="21">
        <f t="shared" si="47"/>
        <v>-6.8616422947131744E-2</v>
      </c>
      <c r="I102" s="95">
        <f>IF(ISNUMBER(G102), $B118 * H102, "")</f>
        <v>-10292.463442069762</v>
      </c>
      <c r="J102" s="20">
        <v>8.31</v>
      </c>
      <c r="K102" s="21">
        <f t="shared" si="48"/>
        <v>-6.5241844769403826E-2</v>
      </c>
      <c r="L102" s="22">
        <f>IF(ISNUMBER(J102), $B118 * K102, "")</f>
        <v>-9786.2767154105732</v>
      </c>
      <c r="M102" s="30">
        <v>8.19</v>
      </c>
      <c r="N102" s="21">
        <f t="shared" si="49"/>
        <v>-7.8740157480315071E-2</v>
      </c>
      <c r="O102" s="22">
        <f>IF(ISNUMBER(M102), $B118 * N102, "")</f>
        <v>-11811.02362204726</v>
      </c>
      <c r="Q102" s="161"/>
      <c r="R102" s="161"/>
      <c r="S102" s="161"/>
    </row>
    <row r="103" spans="1:19" ht="17.25" thickBot="1">
      <c r="A103" s="109" t="s">
        <v>51</v>
      </c>
      <c r="B103" s="113">
        <v>110</v>
      </c>
      <c r="C103" s="73">
        <v>1.8518518500000001E-2</v>
      </c>
      <c r="D103" s="96">
        <v>108</v>
      </c>
      <c r="E103" s="97">
        <f>IF(ISNUMBER(D103), (D103 - $B103) / $B103, "")</f>
        <v>-1.8181818181818181E-2</v>
      </c>
      <c r="F103" s="98">
        <f>IF(ISNUMBER(D103), $B118 * E103, "")</f>
        <v>-2727.272727272727</v>
      </c>
      <c r="G103" s="99">
        <v>105</v>
      </c>
      <c r="H103" s="97">
        <f>IF(ISNUMBER(G103), (G103 - $B103) / $B103, "")</f>
        <v>-4.5454545454545456E-2</v>
      </c>
      <c r="I103" s="100">
        <f>IF(ISNUMBER(G103), $B118 * H103, "")</f>
        <v>-6818.181818181818</v>
      </c>
      <c r="J103" s="96">
        <v>104</v>
      </c>
      <c r="K103" s="97">
        <f>IF(ISNUMBER(J103), (J103 - $B103) / $B103, "")</f>
        <v>-5.4545454545454543E-2</v>
      </c>
      <c r="L103" s="98">
        <f>IF(ISNUMBER(J103), $B118 * K103, "")</f>
        <v>-8181.8181818181811</v>
      </c>
      <c r="M103" s="99">
        <v>106</v>
      </c>
      <c r="N103" s="97">
        <f>IF(ISNUMBER(M103), (M103 - $B103) / $B103, "")</f>
        <v>-3.6363636363636362E-2</v>
      </c>
      <c r="O103" s="98">
        <f>IF(ISNUMBER(M103), $B118 * N103, "")</f>
        <v>-5454.545454545454</v>
      </c>
      <c r="Q103" s="161"/>
      <c r="R103" s="161"/>
      <c r="S103" s="161"/>
    </row>
    <row r="104" spans="1:19" ht="17.25" thickBot="1">
      <c r="A104" s="109" t="s">
        <v>172</v>
      </c>
      <c r="B104" s="110">
        <v>3140</v>
      </c>
      <c r="C104" s="70">
        <v>1.7828200999999998E-2</v>
      </c>
      <c r="D104" s="15">
        <v>3060</v>
      </c>
      <c r="E104" s="32">
        <f t="shared" ref="E104:E107" si="50">IF(ISNUMBER(D104), (D104 - $B104) / $B104, "")</f>
        <v>-2.5477707006369428E-2</v>
      </c>
      <c r="F104" s="18">
        <f>IF(ISNUMBER(D104), $B118 * E104, "")</f>
        <v>-3821.6560509554142</v>
      </c>
      <c r="G104" s="31">
        <v>3065</v>
      </c>
      <c r="H104" s="32">
        <f t="shared" ref="H104:H107" si="51">IF(ISNUMBER(G104), (G104 - $B104) / $B104, "")</f>
        <v>-2.3885350318471339E-2</v>
      </c>
      <c r="I104" s="91">
        <f>IF(ISNUMBER(G104), $B118 * H104, "")</f>
        <v>-3582.802547770701</v>
      </c>
      <c r="J104" s="15">
        <v>3065</v>
      </c>
      <c r="K104" s="32">
        <f t="shared" ref="K104:K107" si="52">IF(ISNUMBER(J104), (J104 - $B104) / $B104, "")</f>
        <v>-2.3885350318471339E-2</v>
      </c>
      <c r="L104" s="18">
        <f>IF(ISNUMBER(J104), $B118 * K104, "")</f>
        <v>-3582.802547770701</v>
      </c>
      <c r="M104" s="31">
        <v>3075</v>
      </c>
      <c r="N104" s="32">
        <f t="shared" ref="N104:N107" si="53">IF(ISNUMBER(M104), (M104 - $B104) / $B104, "")</f>
        <v>-2.0700636942675158E-2</v>
      </c>
      <c r="O104" s="18">
        <f>IF(ISNUMBER(M104), $B118 * N104, "")</f>
        <v>-3105.0955414012737</v>
      </c>
      <c r="Q104" s="161"/>
      <c r="R104" s="161"/>
      <c r="S104" s="161"/>
    </row>
    <row r="105" spans="1:19" ht="17.25" thickBot="1">
      <c r="A105" s="109" t="s">
        <v>56</v>
      </c>
      <c r="B105" s="110">
        <v>44.2</v>
      </c>
      <c r="C105" s="70">
        <v>1.6091953999999999E-2</v>
      </c>
      <c r="D105" s="15">
        <v>43.3</v>
      </c>
      <c r="E105" s="32">
        <f t="shared" si="50"/>
        <v>-2.0361990950226373E-2</v>
      </c>
      <c r="F105" s="18">
        <f>IF(ISNUMBER(D105), $B118 * E105, "")</f>
        <v>-3054.2986425339559</v>
      </c>
      <c r="G105" s="31">
        <v>41.9</v>
      </c>
      <c r="H105" s="32">
        <f t="shared" si="51"/>
        <v>-5.2036199095022717E-2</v>
      </c>
      <c r="I105" s="91">
        <f>IF(ISNUMBER(G105), $B118 * H105, "")</f>
        <v>-7805.4298642534077</v>
      </c>
      <c r="J105" s="15">
        <v>42</v>
      </c>
      <c r="K105" s="32">
        <f t="shared" si="52"/>
        <v>-4.9773755656108656E-2</v>
      </c>
      <c r="L105" s="18">
        <f>IF(ISNUMBER(J105), $B118 * K105, "")</f>
        <v>-7466.0633484162981</v>
      </c>
      <c r="M105" s="31">
        <v>42.5</v>
      </c>
      <c r="N105" s="32">
        <f t="shared" si="53"/>
        <v>-3.8461538461538526E-2</v>
      </c>
      <c r="O105" s="18">
        <f>IF(ISNUMBER(M105), $B118 * N105, "")</f>
        <v>-5769.2307692307786</v>
      </c>
      <c r="Q105" s="161"/>
      <c r="R105" s="161"/>
      <c r="S105" s="161"/>
    </row>
    <row r="106" spans="1:19" ht="17.25" thickBot="1">
      <c r="A106" s="109" t="s">
        <v>107</v>
      </c>
      <c r="B106" s="110">
        <v>39.799999999999997</v>
      </c>
      <c r="C106" s="70">
        <v>1.53061224E-2</v>
      </c>
      <c r="D106" s="15">
        <v>40.200000000000003</v>
      </c>
      <c r="E106" s="32">
        <f t="shared" si="50"/>
        <v>1.0050251256281551E-2</v>
      </c>
      <c r="F106" s="18">
        <f>IF(ISNUMBER(D106), $B118 * E106, "")</f>
        <v>1507.5376884422326</v>
      </c>
      <c r="G106" s="31">
        <v>39.5</v>
      </c>
      <c r="H106" s="32">
        <f t="shared" si="51"/>
        <v>-7.5376884422109847E-3</v>
      </c>
      <c r="I106" s="91">
        <f>IF(ISNUMBER(G106), $B118 * H106, "")</f>
        <v>-1130.6532663316477</v>
      </c>
      <c r="J106" s="15">
        <v>39.6</v>
      </c>
      <c r="K106" s="32">
        <f t="shared" si="52"/>
        <v>-5.0251256281405969E-3</v>
      </c>
      <c r="L106" s="18">
        <f>IF(ISNUMBER(J106), $B118 * K106, "")</f>
        <v>-753.76884422108958</v>
      </c>
      <c r="M106" s="31">
        <v>39.700000000000003</v>
      </c>
      <c r="N106" s="32">
        <f t="shared" si="53"/>
        <v>-2.5125628140702091E-3</v>
      </c>
      <c r="O106" s="18">
        <f>IF(ISNUMBER(M106), $B118 * N106, "")</f>
        <v>-376.88442211053137</v>
      </c>
      <c r="Q106" s="33"/>
      <c r="R106" s="33"/>
    </row>
    <row r="107" spans="1:19" ht="17.25" thickBot="1">
      <c r="A107" s="114" t="s">
        <v>145</v>
      </c>
      <c r="B107" s="115">
        <v>73.8</v>
      </c>
      <c r="C107" s="72">
        <v>1.5130674E-2</v>
      </c>
      <c r="D107" s="24">
        <v>72.900000000000006</v>
      </c>
      <c r="E107" s="25">
        <f t="shared" si="50"/>
        <v>-1.2195121951219396E-2</v>
      </c>
      <c r="F107" s="94">
        <f>IF(ISNUMBER(D107), $B118 * E107, "")</f>
        <v>-1829.2682926829095</v>
      </c>
      <c r="G107" s="92">
        <v>72.8</v>
      </c>
      <c r="H107" s="25">
        <f t="shared" si="51"/>
        <v>-1.3550135501355014E-2</v>
      </c>
      <c r="I107" s="93">
        <f>IF(ISNUMBER(G107), $B118 * H107, "")</f>
        <v>-2032.5203252032522</v>
      </c>
      <c r="J107" s="24">
        <v>72.900000000000006</v>
      </c>
      <c r="K107" s="25">
        <f t="shared" si="52"/>
        <v>-1.2195121951219396E-2</v>
      </c>
      <c r="L107" s="94">
        <f>IF(ISNUMBER(J107), $B118 * K107, "")</f>
        <v>-1829.2682926829095</v>
      </c>
      <c r="M107" s="92">
        <v>72.7</v>
      </c>
      <c r="N107" s="25">
        <f t="shared" si="53"/>
        <v>-1.4905149051490438E-2</v>
      </c>
      <c r="O107" s="94">
        <f>IF(ISNUMBER(M107), $B118 * N107, "")</f>
        <v>-2235.7723577235656</v>
      </c>
      <c r="Q107" s="170"/>
      <c r="R107" s="171"/>
      <c r="S107" s="172"/>
    </row>
    <row r="108" spans="1:19">
      <c r="A108" s="107" t="s">
        <v>109</v>
      </c>
      <c r="B108" s="108">
        <v>1095</v>
      </c>
      <c r="C108" s="69">
        <v>1.38888889E-2</v>
      </c>
      <c r="D108" s="13">
        <v>1095</v>
      </c>
      <c r="E108" s="14">
        <f>IF(ISNUMBER(D108), (D108 - $B108) / $B108, "")</f>
        <v>0</v>
      </c>
      <c r="F108" s="16">
        <f>IF(ISNUMBER(D108), $B118 * E108, "")</f>
        <v>0</v>
      </c>
      <c r="G108" s="29">
        <v>1055</v>
      </c>
      <c r="H108" s="14">
        <f>IF(ISNUMBER(G108), (G108 - $B108) / $B108, "")</f>
        <v>-3.6529680365296802E-2</v>
      </c>
      <c r="I108" s="90">
        <f>IF(ISNUMBER(G108), $B118 * H108, "")</f>
        <v>-5479.4520547945203</v>
      </c>
      <c r="J108" s="13">
        <v>1055</v>
      </c>
      <c r="K108" s="14">
        <f>IF(ISNUMBER(J108), (J108 - $B108) / $B108, "")</f>
        <v>-3.6529680365296802E-2</v>
      </c>
      <c r="L108" s="16">
        <f>IF(ISNUMBER(J108), $B118 * K108, "")</f>
        <v>-5479.4520547945203</v>
      </c>
      <c r="M108" s="29">
        <v>1040</v>
      </c>
      <c r="N108" s="14">
        <f>IF(ISNUMBER(M108), (M108 - $B108) / $B108, "")</f>
        <v>-5.0228310502283102E-2</v>
      </c>
      <c r="O108" s="16">
        <f>IF(ISNUMBER(M108), $B118 * N108, "")</f>
        <v>-7534.2465753424649</v>
      </c>
      <c r="Q108" s="173"/>
      <c r="R108" s="174"/>
      <c r="S108" s="175"/>
    </row>
    <row r="109" spans="1:19" ht="17.25" thickBot="1">
      <c r="A109" s="109" t="s">
        <v>344</v>
      </c>
      <c r="B109" s="110">
        <v>6215</v>
      </c>
      <c r="C109" s="70">
        <v>1.30399348E-2</v>
      </c>
      <c r="D109" s="15">
        <v>6150</v>
      </c>
      <c r="E109" s="32">
        <f t="shared" ref="E109:E112" si="54">IF(ISNUMBER(D109), (D109 - $B109) / $B109, "")</f>
        <v>-1.0458567980691875E-2</v>
      </c>
      <c r="F109" s="18">
        <f>IF(ISNUMBER(D109), $B118 * E109, "")</f>
        <v>-1568.7851971037812</v>
      </c>
      <c r="G109" s="31">
        <v>5895</v>
      </c>
      <c r="H109" s="32">
        <f t="shared" ref="H109:H112" si="55">IF(ISNUMBER(G109), (G109 - $B109) / $B109, "")</f>
        <v>-5.1488334674175379E-2</v>
      </c>
      <c r="I109" s="91">
        <f>IF(ISNUMBER(G109), $B118 * H109, "")</f>
        <v>-7723.2502011263068</v>
      </c>
      <c r="J109" s="15">
        <v>5925</v>
      </c>
      <c r="K109" s="32">
        <f t="shared" ref="K109:K112" si="56">IF(ISNUMBER(J109), (J109 - $B109) / $B109, "")</f>
        <v>-4.6661303298471443E-2</v>
      </c>
      <c r="L109" s="18">
        <f>IF(ISNUMBER(J109), $B118 * K109, "")</f>
        <v>-6999.1954947707163</v>
      </c>
      <c r="M109" s="31">
        <v>5815</v>
      </c>
      <c r="N109" s="32">
        <f t="shared" ref="N109:N112" si="57">IF(ISNUMBER(M109), (M109 - $B109) / $B109, "")</f>
        <v>-6.4360418342719231E-2</v>
      </c>
      <c r="O109" s="18">
        <f>IF(ISNUMBER(M109), $B118 * N109, "")</f>
        <v>-9654.0627514078842</v>
      </c>
      <c r="Q109" s="176"/>
      <c r="R109" s="177"/>
      <c r="S109" s="178"/>
    </row>
    <row r="110" spans="1:19" ht="17.25" thickBot="1">
      <c r="A110" s="109" t="s">
        <v>191</v>
      </c>
      <c r="B110" s="110">
        <v>53.7</v>
      </c>
      <c r="C110" s="70">
        <v>1.1299435E-2</v>
      </c>
      <c r="D110" s="15">
        <v>54.9</v>
      </c>
      <c r="E110" s="32">
        <f t="shared" si="54"/>
        <v>2.234636871508372E-2</v>
      </c>
      <c r="F110" s="18">
        <f>IF(ISNUMBER(D110), $B118 * E110, "")</f>
        <v>3351.9553072625581</v>
      </c>
      <c r="G110" s="31">
        <v>53.8</v>
      </c>
      <c r="H110" s="32">
        <f t="shared" si="55"/>
        <v>1.8621973929235439E-3</v>
      </c>
      <c r="I110" s="91">
        <f>IF(ISNUMBER(G110), $B118 * H110, "")</f>
        <v>279.32960893853158</v>
      </c>
      <c r="J110" s="15">
        <v>53.7</v>
      </c>
      <c r="K110" s="32">
        <f t="shared" si="56"/>
        <v>0</v>
      </c>
      <c r="L110" s="18">
        <f>IF(ISNUMBER(J110), $B118 * K110, "")</f>
        <v>0</v>
      </c>
      <c r="M110" s="31">
        <v>53.3</v>
      </c>
      <c r="N110" s="32">
        <f t="shared" si="57"/>
        <v>-7.4487895716947054E-3</v>
      </c>
      <c r="O110" s="18">
        <f>IF(ISNUMBER(M110), $B118 * N110, "")</f>
        <v>-1117.3184357542059</v>
      </c>
      <c r="Q110" s="161"/>
      <c r="R110" s="161"/>
      <c r="S110" s="161"/>
    </row>
    <row r="111" spans="1:19" ht="17.25" thickBot="1">
      <c r="A111" s="109" t="s">
        <v>91</v>
      </c>
      <c r="B111" s="110">
        <v>19730</v>
      </c>
      <c r="C111" s="70">
        <v>1.12762686E-2</v>
      </c>
      <c r="D111" s="15">
        <v>19790</v>
      </c>
      <c r="E111" s="32">
        <f t="shared" si="54"/>
        <v>3.0410542321338066E-3</v>
      </c>
      <c r="F111" s="18">
        <f>IF(ISNUMBER(D111), $B118 * E111, "")</f>
        <v>456.15813482007098</v>
      </c>
      <c r="G111" s="31">
        <v>19210</v>
      </c>
      <c r="H111" s="32">
        <f t="shared" si="55"/>
        <v>-2.6355803345159655E-2</v>
      </c>
      <c r="I111" s="91">
        <f>IF(ISNUMBER(G111), $B118 * H111, "")</f>
        <v>-3953.370501773948</v>
      </c>
      <c r="J111" s="15">
        <v>19100</v>
      </c>
      <c r="K111" s="32">
        <f t="shared" si="56"/>
        <v>-3.1931069437404966E-2</v>
      </c>
      <c r="L111" s="18">
        <f>IF(ISNUMBER(J111), $B118 * K111, "")</f>
        <v>-4789.6604156107451</v>
      </c>
      <c r="M111" s="31">
        <v>18990</v>
      </c>
      <c r="N111" s="32">
        <f t="shared" si="57"/>
        <v>-3.7506335529650277E-2</v>
      </c>
      <c r="O111" s="18">
        <f>IF(ISNUMBER(M111), $B118 * N111, "")</f>
        <v>-5625.9503294475417</v>
      </c>
      <c r="Q111" s="156"/>
      <c r="R111" s="156"/>
      <c r="S111" s="156"/>
    </row>
    <row r="112" spans="1:19" ht="17.25" thickBot="1">
      <c r="A112" s="111" t="s">
        <v>73</v>
      </c>
      <c r="B112" s="112">
        <v>12680</v>
      </c>
      <c r="C112" s="71">
        <v>1.1164274300000001E-2</v>
      </c>
      <c r="D112" s="20">
        <v>12430</v>
      </c>
      <c r="E112" s="21">
        <f t="shared" si="54"/>
        <v>-1.9716088328075709E-2</v>
      </c>
      <c r="F112" s="22">
        <f>IF(ISNUMBER(D112), $B118 * E112, "")</f>
        <v>-2957.4132492113563</v>
      </c>
      <c r="G112" s="30">
        <v>12050</v>
      </c>
      <c r="H112" s="21">
        <f t="shared" si="55"/>
        <v>-4.9684542586750792E-2</v>
      </c>
      <c r="I112" s="95">
        <f>IF(ISNUMBER(G112), $B118 * H112, "")</f>
        <v>-7452.6813880126192</v>
      </c>
      <c r="J112" s="20">
        <v>12090</v>
      </c>
      <c r="K112" s="21">
        <f t="shared" si="56"/>
        <v>-4.6529968454258677E-2</v>
      </c>
      <c r="L112" s="22">
        <f>IF(ISNUMBER(J112), $B118 * K112, "")</f>
        <v>-6979.4952681388013</v>
      </c>
      <c r="M112" s="30">
        <v>12040</v>
      </c>
      <c r="N112" s="21">
        <f t="shared" si="57"/>
        <v>-5.0473186119873815E-2</v>
      </c>
      <c r="O112" s="22">
        <f>IF(ISNUMBER(M112), $B118 * N112, "")</f>
        <v>-7570.9779179810721</v>
      </c>
      <c r="Q112" s="156"/>
      <c r="R112" s="156"/>
      <c r="S112" s="156"/>
    </row>
    <row r="113" spans="1:19" ht="17.25" thickBot="1">
      <c r="A113" s="109" t="s">
        <v>64</v>
      </c>
      <c r="B113" s="113">
        <v>10.9</v>
      </c>
      <c r="C113" s="73">
        <v>9.2592592999999994E-3</v>
      </c>
      <c r="D113" s="96">
        <v>10.7</v>
      </c>
      <c r="E113" s="97">
        <f>IF(ISNUMBER(D113), (D113 - $B113) / $B113, "")</f>
        <v>-1.8348623853211107E-2</v>
      </c>
      <c r="F113" s="98">
        <f>IF(ISNUMBER(D113), $B118 * E113, "")</f>
        <v>-2752.2935779816662</v>
      </c>
      <c r="G113" s="99">
        <v>10.3</v>
      </c>
      <c r="H113" s="97">
        <f>IF(ISNUMBER(G113), (G113 - $B113) / $B113, "")</f>
        <v>-5.5045871559632996E-2</v>
      </c>
      <c r="I113" s="100">
        <f>IF(ISNUMBER(G113), $B118 * H113, "")</f>
        <v>-8256.8807339449486</v>
      </c>
      <c r="J113" s="96">
        <v>10.4</v>
      </c>
      <c r="K113" s="97">
        <f>IF(ISNUMBER(J113), (J113 - $B113) / $B113, "")</f>
        <v>-4.5871559633027519E-2</v>
      </c>
      <c r="L113" s="98">
        <f>IF(ISNUMBER(J113), $B118 * K113, "")</f>
        <v>-6880.7339449541278</v>
      </c>
      <c r="M113" s="99">
        <v>10.3</v>
      </c>
      <c r="N113" s="97">
        <f>IF(ISNUMBER(M113), (M113 - $B113) / $B113, "")</f>
        <v>-5.5045871559632996E-2</v>
      </c>
      <c r="O113" s="98">
        <f>IF(ISNUMBER(M113), $B118 * N113, "")</f>
        <v>-8256.8807339449486</v>
      </c>
      <c r="Q113" s="161"/>
      <c r="R113" s="161"/>
      <c r="S113" s="161"/>
    </row>
    <row r="114" spans="1:19" ht="17.25" thickBot="1">
      <c r="A114" s="109" t="s">
        <v>101</v>
      </c>
      <c r="B114" s="110">
        <v>245</v>
      </c>
      <c r="C114" s="70">
        <v>8.2304526999999999E-3</v>
      </c>
      <c r="D114" s="15">
        <v>241</v>
      </c>
      <c r="E114" s="32">
        <f t="shared" ref="E114:E117" si="58">IF(ISNUMBER(D114), (D114 - $B114) / $B114, "")</f>
        <v>-1.6326530612244899E-2</v>
      </c>
      <c r="F114" s="18">
        <f>IF(ISNUMBER(D114), $B118 * E114, "")</f>
        <v>-2448.9795918367349</v>
      </c>
      <c r="G114" s="31">
        <v>234</v>
      </c>
      <c r="H114" s="32">
        <f t="shared" ref="H114:H117" si="59">IF(ISNUMBER(G114), (G114 - $B114) / $B114, "")</f>
        <v>-4.4897959183673466E-2</v>
      </c>
      <c r="I114" s="91">
        <f>IF(ISNUMBER(G114), $B118 * H114, "")</f>
        <v>-6734.6938775510198</v>
      </c>
      <c r="J114" s="15">
        <v>234</v>
      </c>
      <c r="K114" s="32">
        <f t="shared" ref="K114:K117" si="60">IF(ISNUMBER(J114), (J114 - $B114) / $B114, "")</f>
        <v>-4.4897959183673466E-2</v>
      </c>
      <c r="L114" s="18">
        <f>IF(ISNUMBER(J114), $B118 * K114, "")</f>
        <v>-6734.6938775510198</v>
      </c>
      <c r="M114" s="31">
        <v>233</v>
      </c>
      <c r="N114" s="32">
        <f t="shared" ref="N114:N117" si="61">IF(ISNUMBER(M114), (M114 - $B114) / $B114, "")</f>
        <v>-4.8979591836734691E-2</v>
      </c>
      <c r="O114" s="18">
        <f>IF(ISNUMBER(M114), $B118 * N114, "")</f>
        <v>-7346.9387755102034</v>
      </c>
      <c r="Q114" s="161"/>
      <c r="R114" s="161"/>
      <c r="S114" s="161"/>
    </row>
    <row r="115" spans="1:19" ht="17.25" thickBot="1">
      <c r="A115" s="109" t="s">
        <v>128</v>
      </c>
      <c r="B115" s="110">
        <v>6865</v>
      </c>
      <c r="C115" s="70">
        <v>8.0763582999999993E-3</v>
      </c>
      <c r="D115" s="15">
        <v>6845</v>
      </c>
      <c r="E115" s="32">
        <f t="shared" si="58"/>
        <v>-2.9133284777858705E-3</v>
      </c>
      <c r="F115" s="18">
        <f>IF(ISNUMBER(D115), $B118 * E115, "")</f>
        <v>-436.99927166788058</v>
      </c>
      <c r="G115" s="31">
        <v>6775</v>
      </c>
      <c r="H115" s="32">
        <f t="shared" si="59"/>
        <v>-1.3109978150036417E-2</v>
      </c>
      <c r="I115" s="91">
        <f>IF(ISNUMBER(G115), $B118 * H115, "")</f>
        <v>-1966.4967225054625</v>
      </c>
      <c r="J115" s="15">
        <v>6775</v>
      </c>
      <c r="K115" s="32">
        <f t="shared" si="60"/>
        <v>-1.3109978150036417E-2</v>
      </c>
      <c r="L115" s="18">
        <f>IF(ISNUMBER(J115), $B118 * K115, "")</f>
        <v>-1966.4967225054625</v>
      </c>
      <c r="M115" s="31">
        <v>6720</v>
      </c>
      <c r="N115" s="32">
        <f t="shared" si="61"/>
        <v>-2.1121631463947559E-2</v>
      </c>
      <c r="O115" s="18">
        <f>IF(ISNUMBER(M115), $B118 * N115, "")</f>
        <v>-3168.2447195921341</v>
      </c>
      <c r="Q115" s="161"/>
      <c r="R115" s="161"/>
      <c r="S115" s="161"/>
    </row>
    <row r="116" spans="1:19">
      <c r="A116" s="109" t="s">
        <v>103</v>
      </c>
      <c r="B116" s="110">
        <v>251</v>
      </c>
      <c r="C116" s="70">
        <v>8.0321284999999992E-3</v>
      </c>
      <c r="D116" s="15">
        <v>248</v>
      </c>
      <c r="E116" s="32">
        <f t="shared" si="58"/>
        <v>-1.1952191235059761E-2</v>
      </c>
      <c r="F116" s="18">
        <f>IF(ISNUMBER(D116), $B118 * E116, "")</f>
        <v>-1792.828685258964</v>
      </c>
      <c r="G116" s="31">
        <v>236</v>
      </c>
      <c r="H116" s="32">
        <f t="shared" si="59"/>
        <v>-5.9760956175298807E-2</v>
      </c>
      <c r="I116" s="91">
        <f>IF(ISNUMBER(G116), $B118 * H116, "")</f>
        <v>-8964.1434262948205</v>
      </c>
      <c r="J116" s="15">
        <v>237</v>
      </c>
      <c r="K116" s="32">
        <f t="shared" si="60"/>
        <v>-5.5776892430278883E-2</v>
      </c>
      <c r="L116" s="18">
        <f>IF(ISNUMBER(J116), $B118 * K116, "")</f>
        <v>-8366.5338645418324</v>
      </c>
      <c r="M116" s="31">
        <v>242</v>
      </c>
      <c r="N116" s="32">
        <f t="shared" si="61"/>
        <v>-3.5856573705179286E-2</v>
      </c>
      <c r="O116" s="18">
        <f>IF(ISNUMBER(M116), $B118 * N116, "")</f>
        <v>-5378.4860557768925</v>
      </c>
      <c r="Q116" s="183"/>
      <c r="R116" s="184"/>
      <c r="S116" s="185"/>
    </row>
    <row r="117" spans="1:19" ht="17.25" thickBot="1">
      <c r="A117" s="114" t="s">
        <v>332</v>
      </c>
      <c r="B117" s="115">
        <v>290</v>
      </c>
      <c r="C117" s="72">
        <v>6.9444444000000003E-3</v>
      </c>
      <c r="D117" s="24">
        <v>277</v>
      </c>
      <c r="E117" s="25">
        <f t="shared" si="58"/>
        <v>-4.4827586206896551E-2</v>
      </c>
      <c r="F117" s="94">
        <f>IF(ISNUMBER(D117), $B118 * E117, "")</f>
        <v>-6724.1379310344828</v>
      </c>
      <c r="G117" s="92">
        <v>271</v>
      </c>
      <c r="H117" s="25">
        <f t="shared" si="59"/>
        <v>-6.5517241379310351E-2</v>
      </c>
      <c r="I117" s="93">
        <f>IF(ISNUMBER(G117), $B118 * H117, "")</f>
        <v>-9827.5862068965525</v>
      </c>
      <c r="J117" s="24">
        <v>271</v>
      </c>
      <c r="K117" s="25">
        <f t="shared" si="60"/>
        <v>-6.5517241379310351E-2</v>
      </c>
      <c r="L117" s="94">
        <f>IF(ISNUMBER(J117), $B118 * K117, "")</f>
        <v>-9827.5862068965525</v>
      </c>
      <c r="M117" s="92">
        <v>270</v>
      </c>
      <c r="N117" s="25">
        <f t="shared" si="61"/>
        <v>-6.8965517241379309E-2</v>
      </c>
      <c r="O117" s="94">
        <f>IF(ISNUMBER(M117), $B118 * N117, "")</f>
        <v>-10344.827586206897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-5.8141496845972116E-3</v>
      </c>
      <c r="F118" s="28">
        <f>SUM(F98:F117)</f>
        <v>-17442.449053791632</v>
      </c>
      <c r="G118" s="26" t="s">
        <v>261</v>
      </c>
      <c r="H118" s="27">
        <f>IF(COUNT(H98:H117), SUM(H98:H117) / COUNT(H98:H117), 0)</f>
        <v>-3.0494590132075831E-2</v>
      </c>
      <c r="I118" s="28">
        <f>SUM(I98:I117)</f>
        <v>-91483.770396227497</v>
      </c>
      <c r="J118" s="26" t="s">
        <v>261</v>
      </c>
      <c r="K118" s="27">
        <f>IF(COUNT(K98:K117), SUM(K98:K117) / COUNT(K98:K117), 0)</f>
        <v>-3.0337316616463883E-2</v>
      </c>
      <c r="L118" s="28">
        <f>SUM(L98:L117)</f>
        <v>-91011.949849391647</v>
      </c>
      <c r="M118" s="26" t="s">
        <v>261</v>
      </c>
      <c r="N118" s="27">
        <f>IF(COUNT(N98:N117), SUM(N98:N117) / COUNT(N98:N117), 0)</f>
        <v>-3.3210530486941107E-2</v>
      </c>
      <c r="O118" s="28">
        <f>SUM(O98:O117)</f>
        <v>-99631.591460823329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2022-12-16(금) 오전 00:00</v>
      </c>
      <c r="C123" s="199"/>
      <c r="D123" s="158" t="str">
        <f>TEXT($G$1, "[$-ko-KR]yyyy-mm-dd(ddd) ") &amp; "오후 14:00"</f>
        <v>2022-12-16(금) 오후 14:00</v>
      </c>
      <c r="E123" s="159"/>
      <c r="F123" s="160"/>
      <c r="G123" s="158" t="str">
        <f>TEXT($G$1, "[$-ko-KR]yyyy-mm-dd(ddd) ") &amp; "오후 19:00"</f>
        <v>2022-12-16(금) 오후 19:00</v>
      </c>
      <c r="H123" s="159"/>
      <c r="I123" s="160"/>
      <c r="J123" s="158" t="str">
        <f>TEXT($G$1, "[$-ko-KR]yyyy-mm-dd(ddd) ") &amp; "오후 21:00"</f>
        <v>2022-12-16(금) 오후 21:00</v>
      </c>
      <c r="K123" s="159"/>
      <c r="L123" s="160"/>
      <c r="M123" s="158" t="str">
        <f>TEXT($G$1+1, "[$-ko-KR]yyyy-mm-dd(ddd) ") &amp; "오전 00:00"</f>
        <v>2022-12-17(토)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240</v>
      </c>
      <c r="B125" s="108">
        <v>28.9</v>
      </c>
      <c r="C125" s="69">
        <v>-1.02739726E-2</v>
      </c>
      <c r="D125" s="13">
        <v>28.7</v>
      </c>
      <c r="E125" s="14">
        <f>IF(ISNUMBER(D125), (D125 - $B125) / $B125, "")</f>
        <v>-6.9204152249134707E-3</v>
      </c>
      <c r="F125" s="16">
        <f>IF(ISNUMBER(D125), $B145 * E125, "")</f>
        <v>-1038.0622837370206</v>
      </c>
      <c r="G125" s="29">
        <v>28.2</v>
      </c>
      <c r="H125" s="14">
        <f>IF(ISNUMBER(G125), (G125 - $B125) / $B125, "")</f>
        <v>-2.4221453287197207E-2</v>
      </c>
      <c r="I125" s="90">
        <f>IF(ISNUMBER(G125), $B145 * H125, "")</f>
        <v>-3633.217993079581</v>
      </c>
      <c r="J125" s="13">
        <v>28.1</v>
      </c>
      <c r="K125" s="14">
        <f>IF(ISNUMBER(J125), (J125 - $B125) / $B125, "")</f>
        <v>-2.7681660899653883E-2</v>
      </c>
      <c r="L125" s="16">
        <f>IF(ISNUMBER(J125), $B145 * K125, "")</f>
        <v>-4152.2491349480824</v>
      </c>
      <c r="M125" s="29">
        <v>28.2</v>
      </c>
      <c r="N125" s="14">
        <f>IF(ISNUMBER(M125), (M125 - $B125) / $B125, "")</f>
        <v>-2.4221453287197207E-2</v>
      </c>
      <c r="O125" s="16">
        <f>IF(ISNUMBER(M125), $B145 * N125, "")</f>
        <v>-3633.217993079581</v>
      </c>
      <c r="Q125" s="156"/>
      <c r="R125" s="156"/>
      <c r="S125" s="156"/>
    </row>
    <row r="126" spans="1:19" ht="17.25" thickBot="1">
      <c r="A126" s="109" t="s">
        <v>126</v>
      </c>
      <c r="B126" s="110">
        <v>28.2</v>
      </c>
      <c r="C126" s="70">
        <v>-1.05263158E-2</v>
      </c>
      <c r="D126" s="15">
        <v>27.8</v>
      </c>
      <c r="E126" s="32">
        <f t="shared" ref="E126:E129" si="62">IF(ISNUMBER(D126), (D126 - $B126) / $B126, "")</f>
        <v>-1.4184397163120517E-2</v>
      </c>
      <c r="F126" s="18">
        <f>IF(ISNUMBER(D126), $B145 * E126, "")</f>
        <v>-2127.6595744680776</v>
      </c>
      <c r="G126" s="31">
        <v>27.1</v>
      </c>
      <c r="H126" s="32">
        <f t="shared" ref="H126:H129" si="63">IF(ISNUMBER(G126), (G126 - $B126) / $B126, "")</f>
        <v>-3.9007092198581485E-2</v>
      </c>
      <c r="I126" s="91">
        <f>IF(ISNUMBER(G126), $B145 * H126, "")</f>
        <v>-5851.0638297872229</v>
      </c>
      <c r="J126" s="15">
        <v>27</v>
      </c>
      <c r="K126" s="32">
        <f t="shared" ref="K126:K129" si="64">IF(ISNUMBER(J126), (J126 - $B126) / $B126, "")</f>
        <v>-4.255319148936168E-2</v>
      </c>
      <c r="L126" s="18">
        <f>IF(ISNUMBER(J126), $B145 * K126, "")</f>
        <v>-6382.9787234042524</v>
      </c>
      <c r="M126" s="31">
        <v>27.1</v>
      </c>
      <c r="N126" s="32">
        <f t="shared" ref="N126:N129" si="65">IF(ISNUMBER(M126), (M126 - $B126) / $B126, "")</f>
        <v>-3.9007092198581485E-2</v>
      </c>
      <c r="O126" s="18">
        <f>IF(ISNUMBER(M126), $B145 * N126, "")</f>
        <v>-5851.0638297872229</v>
      </c>
      <c r="Q126" s="156"/>
      <c r="R126" s="156"/>
      <c r="S126" s="156"/>
    </row>
    <row r="127" spans="1:19" ht="17.25" thickBot="1">
      <c r="A127" s="109" t="s">
        <v>138</v>
      </c>
      <c r="B127" s="110">
        <v>27</v>
      </c>
      <c r="C127" s="70">
        <v>-1.0989011E-2</v>
      </c>
      <c r="D127" s="15">
        <v>26.8</v>
      </c>
      <c r="E127" s="32">
        <f t="shared" si="62"/>
        <v>-7.4074074074073808E-3</v>
      </c>
      <c r="F127" s="18">
        <f>IF(ISNUMBER(D127), $B145 * E127, "")</f>
        <v>-1111.1111111111072</v>
      </c>
      <c r="G127" s="31">
        <v>26</v>
      </c>
      <c r="H127" s="32">
        <f t="shared" si="63"/>
        <v>-3.7037037037037035E-2</v>
      </c>
      <c r="I127" s="91">
        <f>IF(ISNUMBER(G127), $B145 * H127, "")</f>
        <v>-5555.5555555555557</v>
      </c>
      <c r="J127" s="15">
        <v>26</v>
      </c>
      <c r="K127" s="32">
        <f t="shared" si="64"/>
        <v>-3.7037037037037035E-2</v>
      </c>
      <c r="L127" s="18">
        <f>IF(ISNUMBER(J127), $B145 * K127, "")</f>
        <v>-5555.5555555555557</v>
      </c>
      <c r="M127" s="31">
        <v>26.1</v>
      </c>
      <c r="N127" s="32">
        <f t="shared" si="65"/>
        <v>-3.3333333333333277E-2</v>
      </c>
      <c r="O127" s="18">
        <f>IF(ISNUMBER(M127), $B145 * N127, "")</f>
        <v>-4999.9999999999918</v>
      </c>
      <c r="Q127" s="161"/>
      <c r="R127" s="161"/>
      <c r="S127" s="161"/>
    </row>
    <row r="128" spans="1:19" ht="17.25" thickBot="1">
      <c r="A128" s="109" t="s">
        <v>212</v>
      </c>
      <c r="B128" s="110">
        <v>83.4</v>
      </c>
      <c r="C128" s="70">
        <v>-1.1848341199999999E-2</v>
      </c>
      <c r="D128" s="15">
        <v>82.9</v>
      </c>
      <c r="E128" s="32">
        <f t="shared" si="62"/>
        <v>-5.9952038369304557E-3</v>
      </c>
      <c r="F128" s="18">
        <f>IF(ISNUMBER(D128), $B145 * E128, "")</f>
        <v>-899.2805755395683</v>
      </c>
      <c r="G128" s="31">
        <v>81.3</v>
      </c>
      <c r="H128" s="32">
        <f t="shared" si="63"/>
        <v>-2.5179856115108014E-2</v>
      </c>
      <c r="I128" s="91">
        <f>IF(ISNUMBER(G128), $B145 * H128, "")</f>
        <v>-3776.9784172662021</v>
      </c>
      <c r="J128" s="15">
        <v>81.5</v>
      </c>
      <c r="K128" s="32">
        <f t="shared" si="64"/>
        <v>-2.2781774580335798E-2</v>
      </c>
      <c r="L128" s="18">
        <f>IF(ISNUMBER(J128), $B145 * K128, "")</f>
        <v>-3417.2661870503698</v>
      </c>
      <c r="M128" s="31">
        <v>80.099999999999994</v>
      </c>
      <c r="N128" s="32">
        <f t="shared" si="65"/>
        <v>-3.9568345323741143E-2</v>
      </c>
      <c r="O128" s="18">
        <f>IF(ISNUMBER(M128), $B145 * N128, "")</f>
        <v>-5935.2517985611712</v>
      </c>
      <c r="Q128" s="161"/>
      <c r="R128" s="161"/>
      <c r="S128" s="161"/>
    </row>
    <row r="129" spans="1:19" ht="17.25" thickBot="1">
      <c r="A129" s="111" t="s">
        <v>338</v>
      </c>
      <c r="B129" s="112">
        <v>4.9000000000000004</v>
      </c>
      <c r="C129" s="71">
        <v>-1.20967742E-2</v>
      </c>
      <c r="D129" s="20">
        <v>4.8600000000000003</v>
      </c>
      <c r="E129" s="21">
        <f t="shared" si="62"/>
        <v>-8.1632653061224549E-3</v>
      </c>
      <c r="F129" s="22">
        <f>IF(ISNUMBER(D129), $B145 * E129, "")</f>
        <v>-1224.4897959183681</v>
      </c>
      <c r="G129" s="30">
        <v>4.75</v>
      </c>
      <c r="H129" s="21">
        <f t="shared" si="63"/>
        <v>-3.0612244897959252E-2</v>
      </c>
      <c r="I129" s="95">
        <f>IF(ISNUMBER(G129), $B145 * H129, "")</f>
        <v>-4591.8367346938876</v>
      </c>
      <c r="J129" s="20">
        <v>4.78</v>
      </c>
      <c r="K129" s="21">
        <f t="shared" si="64"/>
        <v>-2.4489795918367366E-2</v>
      </c>
      <c r="L129" s="22">
        <f>IF(ISNUMBER(J129), $B145 * K129, "")</f>
        <v>-3673.4693877551049</v>
      </c>
      <c r="M129" s="30">
        <v>4.76</v>
      </c>
      <c r="N129" s="21">
        <f t="shared" si="65"/>
        <v>-2.8571428571428685E-2</v>
      </c>
      <c r="O129" s="22">
        <f>IF(ISNUMBER(M129), $B145 * N129, "")</f>
        <v>-4285.7142857143026</v>
      </c>
      <c r="Q129" s="161"/>
      <c r="R129" s="161"/>
      <c r="S129" s="161"/>
    </row>
    <row r="130" spans="1:19" ht="17.25" thickBot="1">
      <c r="A130" s="109" t="s">
        <v>122</v>
      </c>
      <c r="B130" s="113">
        <v>24.2</v>
      </c>
      <c r="C130" s="73">
        <v>-1.2244898000000001E-2</v>
      </c>
      <c r="D130" s="96">
        <v>24.3</v>
      </c>
      <c r="E130" s="97">
        <f>IF(ISNUMBER(D130), (D130 - $B130) / $B130, "")</f>
        <v>4.1322314049587368E-3</v>
      </c>
      <c r="F130" s="98">
        <f>IF(ISNUMBER(D130), $B145 * E130, "")</f>
        <v>619.83471074381055</v>
      </c>
      <c r="G130" s="99">
        <v>23.8</v>
      </c>
      <c r="H130" s="97">
        <f>IF(ISNUMBER(G130), (G130 - $B130) / $B130, "")</f>
        <v>-1.6528925619834652E-2</v>
      </c>
      <c r="I130" s="100">
        <f>IF(ISNUMBER(G130), $B145 * H130, "")</f>
        <v>-2479.3388429751976</v>
      </c>
      <c r="J130" s="96">
        <v>23.7</v>
      </c>
      <c r="K130" s="97">
        <f>IF(ISNUMBER(J130), (J130 - $B130) / $B130, "")</f>
        <v>-2.0661157024793389E-2</v>
      </c>
      <c r="L130" s="98">
        <f>IF(ISNUMBER(J130), $B145 * K130, "")</f>
        <v>-3099.1735537190084</v>
      </c>
      <c r="M130" s="99">
        <v>23.7</v>
      </c>
      <c r="N130" s="97">
        <f>IF(ISNUMBER(M130), (M130 - $B130) / $B130, "")</f>
        <v>-2.0661157024793389E-2</v>
      </c>
      <c r="O130" s="98">
        <f>IF(ISNUMBER(M130), $B145 * N130, "")</f>
        <v>-3099.1735537190084</v>
      </c>
      <c r="Q130" s="161"/>
      <c r="R130" s="161"/>
      <c r="S130" s="161"/>
    </row>
    <row r="131" spans="1:19" ht="17.25" thickBot="1">
      <c r="A131" s="109" t="s">
        <v>118</v>
      </c>
      <c r="B131" s="110">
        <v>6.49</v>
      </c>
      <c r="C131" s="70">
        <v>-1.3677811600000001E-2</v>
      </c>
      <c r="D131" s="15">
        <v>6.26</v>
      </c>
      <c r="E131" s="32">
        <f t="shared" ref="E131:E134" si="66">IF(ISNUMBER(D131), (D131 - $B131) / $B131, "")</f>
        <v>-3.5439137134052452E-2</v>
      </c>
      <c r="F131" s="18">
        <f>IF(ISNUMBER(D131), $B145 * E131, "")</f>
        <v>-5315.8705701078679</v>
      </c>
      <c r="G131" s="31">
        <v>6.08</v>
      </c>
      <c r="H131" s="32">
        <f t="shared" ref="H131:H134" si="67">IF(ISNUMBER(G131), (G131 - $B131) / $B131, "")</f>
        <v>-6.3174114021571665E-2</v>
      </c>
      <c r="I131" s="91">
        <f>IF(ISNUMBER(G131), $B145 * H131, "")</f>
        <v>-9476.1171032357488</v>
      </c>
      <c r="J131" s="15">
        <v>6.1</v>
      </c>
      <c r="K131" s="32">
        <f t="shared" ref="K131:K134" si="68">IF(ISNUMBER(J131), (J131 - $B131) / $B131, "")</f>
        <v>-6.0092449922958487E-2</v>
      </c>
      <c r="L131" s="18">
        <f>IF(ISNUMBER(J131), $B145 * K131, "")</f>
        <v>-9013.8674884437733</v>
      </c>
      <c r="M131" s="31">
        <v>6.07</v>
      </c>
      <c r="N131" s="32">
        <f t="shared" ref="N131:N134" si="69">IF(ISNUMBER(M131), (M131 - $B131) / $B131, "")</f>
        <v>-6.4714946070878257E-2</v>
      </c>
      <c r="O131" s="18">
        <f>IF(ISNUMBER(M131), $B145 * N131, "")</f>
        <v>-9707.2419106317393</v>
      </c>
      <c r="Q131" s="161"/>
      <c r="R131" s="161"/>
      <c r="S131" s="161"/>
    </row>
    <row r="132" spans="1:19" ht="17.25" thickBot="1">
      <c r="A132" s="109" t="s">
        <v>143</v>
      </c>
      <c r="B132" s="110">
        <v>4.04</v>
      </c>
      <c r="C132" s="70">
        <v>-1.4634146299999999E-2</v>
      </c>
      <c r="D132" s="15">
        <v>3.99</v>
      </c>
      <c r="E132" s="32">
        <f t="shared" si="66"/>
        <v>-1.2376237623762332E-2</v>
      </c>
      <c r="F132" s="18">
        <f>IF(ISNUMBER(D132), $B145 * E132, "")</f>
        <v>-1856.4356435643497</v>
      </c>
      <c r="G132" s="31">
        <v>3.88</v>
      </c>
      <c r="H132" s="32">
        <f t="shared" si="67"/>
        <v>-3.9603960396039639E-2</v>
      </c>
      <c r="I132" s="91">
        <f>IF(ISNUMBER(G132), $B145 * H132, "")</f>
        <v>-5940.5940594059457</v>
      </c>
      <c r="J132" s="15">
        <v>3.88</v>
      </c>
      <c r="K132" s="32">
        <f t="shared" si="68"/>
        <v>-3.9603960396039639E-2</v>
      </c>
      <c r="L132" s="18">
        <f>IF(ISNUMBER(J132), $B145 * K132, "")</f>
        <v>-5940.5940594059457</v>
      </c>
      <c r="M132" s="31">
        <v>3.85</v>
      </c>
      <c r="N132" s="32">
        <f t="shared" si="69"/>
        <v>-4.7029702970297016E-2</v>
      </c>
      <c r="O132" s="18">
        <f>IF(ISNUMBER(M132), $B145 * N132, "")</f>
        <v>-7054.4554455445523</v>
      </c>
      <c r="Q132" s="161"/>
      <c r="R132" s="161"/>
      <c r="S132" s="161"/>
    </row>
    <row r="133" spans="1:19" ht="17.25" thickBot="1">
      <c r="A133" s="109" t="s">
        <v>230</v>
      </c>
      <c r="B133" s="110">
        <v>40.200000000000003</v>
      </c>
      <c r="C133" s="70">
        <v>-1.47058824E-2</v>
      </c>
      <c r="D133" s="15">
        <v>40.200000000000003</v>
      </c>
      <c r="E133" s="32">
        <f t="shared" si="66"/>
        <v>0</v>
      </c>
      <c r="F133" s="18">
        <f>IF(ISNUMBER(D133), $B145 * E133, "")</f>
        <v>0</v>
      </c>
      <c r="G133" s="31">
        <v>39.200000000000003</v>
      </c>
      <c r="H133" s="32">
        <f t="shared" si="67"/>
        <v>-2.4875621890547261E-2</v>
      </c>
      <c r="I133" s="91">
        <f>IF(ISNUMBER(G133), $B145 * H133, "")</f>
        <v>-3731.343283582089</v>
      </c>
      <c r="J133" s="15">
        <v>39.1</v>
      </c>
      <c r="K133" s="32">
        <f t="shared" si="68"/>
        <v>-2.7363184079602025E-2</v>
      </c>
      <c r="L133" s="18">
        <f>IF(ISNUMBER(J133), $B145 * K133, "")</f>
        <v>-4104.4776119403041</v>
      </c>
      <c r="M133" s="31">
        <v>39</v>
      </c>
      <c r="N133" s="32">
        <f t="shared" si="69"/>
        <v>-2.9850746268656785E-2</v>
      </c>
      <c r="O133" s="18">
        <f>IF(ISNUMBER(M133), $B145 * N133, "")</f>
        <v>-4477.6119402985178</v>
      </c>
      <c r="Q133" s="33"/>
      <c r="R133" s="33"/>
    </row>
    <row r="134" spans="1:19" ht="17.25" thickBot="1">
      <c r="A134" s="114" t="s">
        <v>244</v>
      </c>
      <c r="B134" s="115">
        <v>96.7</v>
      </c>
      <c r="C134" s="72">
        <v>-1.5274949100000001E-2</v>
      </c>
      <c r="D134" s="24">
        <v>95.7</v>
      </c>
      <c r="E134" s="25">
        <f t="shared" si="66"/>
        <v>-1.0341261633919338E-2</v>
      </c>
      <c r="F134" s="94">
        <f>IF(ISNUMBER(D134), $B145 * E134, "")</f>
        <v>-1551.1892450879006</v>
      </c>
      <c r="G134" s="92">
        <v>94</v>
      </c>
      <c r="H134" s="25">
        <f t="shared" si="67"/>
        <v>-2.7921406411582243E-2</v>
      </c>
      <c r="I134" s="93">
        <f>IF(ISNUMBER(G134), $B145 * H134, "")</f>
        <v>-4188.2109617373362</v>
      </c>
      <c r="J134" s="24">
        <v>94</v>
      </c>
      <c r="K134" s="25">
        <f t="shared" si="68"/>
        <v>-2.7921406411582243E-2</v>
      </c>
      <c r="L134" s="94">
        <f>IF(ISNUMBER(J134), $B145 * K134, "")</f>
        <v>-4188.2109617373362</v>
      </c>
      <c r="M134" s="92">
        <v>94.2</v>
      </c>
      <c r="N134" s="25">
        <f t="shared" si="69"/>
        <v>-2.5853154084798345E-2</v>
      </c>
      <c r="O134" s="94">
        <f>IF(ISNUMBER(M134), $B145 * N134, "")</f>
        <v>-3877.973112719752</v>
      </c>
      <c r="Q134" s="170"/>
      <c r="R134" s="171"/>
      <c r="S134" s="172"/>
    </row>
    <row r="135" spans="1:19">
      <c r="A135" s="107" t="s">
        <v>155</v>
      </c>
      <c r="B135" s="108">
        <v>29.8</v>
      </c>
      <c r="C135" s="69">
        <v>-1.6501650199999999E-2</v>
      </c>
      <c r="D135" s="13">
        <v>29.6</v>
      </c>
      <c r="E135" s="14">
        <f>IF(ISNUMBER(D135), (D135 - $B135) / $B135, "")</f>
        <v>-6.7114093959731299E-3</v>
      </c>
      <c r="F135" s="16">
        <f>IF(ISNUMBER(D135), $B145 * E135, "")</f>
        <v>-1006.7114093959694</v>
      </c>
      <c r="G135" s="29">
        <v>28.7</v>
      </c>
      <c r="H135" s="14">
        <f>IF(ISNUMBER(G135), (G135 - $B135) / $B135, "")</f>
        <v>-3.6912751677852393E-2</v>
      </c>
      <c r="I135" s="90">
        <f>IF(ISNUMBER(G135), $B145 * H135, "")</f>
        <v>-5536.912751677859</v>
      </c>
      <c r="J135" s="13">
        <v>28.7</v>
      </c>
      <c r="K135" s="14">
        <f>IF(ISNUMBER(J135), (J135 - $B135) / $B135, "")</f>
        <v>-3.6912751677852393E-2</v>
      </c>
      <c r="L135" s="16">
        <f>IF(ISNUMBER(J135), $B145 * K135, "")</f>
        <v>-5536.912751677859</v>
      </c>
      <c r="M135" s="29">
        <v>28.5</v>
      </c>
      <c r="N135" s="14">
        <f>IF(ISNUMBER(M135), (M135 - $B135) / $B135, "")</f>
        <v>-4.3624161073825524E-2</v>
      </c>
      <c r="O135" s="16">
        <f>IF(ISNUMBER(M135), $B145 * N135, "")</f>
        <v>-6543.6241610738289</v>
      </c>
      <c r="Q135" s="173"/>
      <c r="R135" s="174"/>
      <c r="S135" s="175"/>
    </row>
    <row r="136" spans="1:19" ht="17.25" thickBot="1">
      <c r="A136" s="109" t="s">
        <v>326</v>
      </c>
      <c r="B136" s="110">
        <v>23.6</v>
      </c>
      <c r="C136" s="70">
        <v>-1.6666666699999999E-2</v>
      </c>
      <c r="D136" s="15">
        <v>23.5</v>
      </c>
      <c r="E136" s="32">
        <f t="shared" ref="E136:E139" si="70">IF(ISNUMBER(D136), (D136 - $B136) / $B136, "")</f>
        <v>-4.2372881355932802E-3</v>
      </c>
      <c r="F136" s="18">
        <f>IF(ISNUMBER(D136), $B145 * E136, "")</f>
        <v>-635.59322033899207</v>
      </c>
      <c r="G136" s="31">
        <v>22.6</v>
      </c>
      <c r="H136" s="32">
        <f t="shared" ref="H136:H139" si="71">IF(ISNUMBER(G136), (G136 - $B136) / $B136, "")</f>
        <v>-4.2372881355932202E-2</v>
      </c>
      <c r="I136" s="91">
        <f>IF(ISNUMBER(G136), $B145 * H136, "")</f>
        <v>-6355.9322033898306</v>
      </c>
      <c r="J136" s="15">
        <v>22.5</v>
      </c>
      <c r="K136" s="32">
        <f t="shared" ref="K136:K139" si="72">IF(ISNUMBER(J136), (J136 - $B136) / $B136, "")</f>
        <v>-4.661016949152548E-2</v>
      </c>
      <c r="L136" s="18">
        <f>IF(ISNUMBER(J136), $B145 * K136, "")</f>
        <v>-6991.5254237288218</v>
      </c>
      <c r="M136" s="31">
        <v>22.5</v>
      </c>
      <c r="N136" s="32">
        <f t="shared" ref="N136:N139" si="73">IF(ISNUMBER(M136), (M136 - $B136) / $B136, "")</f>
        <v>-4.661016949152548E-2</v>
      </c>
      <c r="O136" s="18">
        <f>IF(ISNUMBER(M136), $B145 * N136, "")</f>
        <v>-6991.5254237288218</v>
      </c>
      <c r="Q136" s="176"/>
      <c r="R136" s="177"/>
      <c r="S136" s="178"/>
    </row>
    <row r="137" spans="1:19" ht="17.25" thickBot="1">
      <c r="A137" s="109" t="s">
        <v>71</v>
      </c>
      <c r="B137" s="110">
        <v>11.4</v>
      </c>
      <c r="C137" s="70">
        <v>-1.7241379300000002E-2</v>
      </c>
      <c r="D137" s="15">
        <v>11.3</v>
      </c>
      <c r="E137" s="32">
        <f t="shared" si="70"/>
        <v>-8.7719298245613718E-3</v>
      </c>
      <c r="F137" s="18">
        <f>IF(ISNUMBER(D137), $B145 * E137, "")</f>
        <v>-1315.7894736842059</v>
      </c>
      <c r="G137" s="31">
        <v>11</v>
      </c>
      <c r="H137" s="32">
        <f t="shared" si="71"/>
        <v>-3.5087719298245647E-2</v>
      </c>
      <c r="I137" s="91">
        <f>IF(ISNUMBER(G137), $B145 * H137, "")</f>
        <v>-5263.1578947368471</v>
      </c>
      <c r="J137" s="15">
        <v>11</v>
      </c>
      <c r="K137" s="32">
        <f t="shared" si="72"/>
        <v>-3.5087719298245647E-2</v>
      </c>
      <c r="L137" s="18">
        <f>IF(ISNUMBER(J137), $B145 * K137, "")</f>
        <v>-5263.1578947368471</v>
      </c>
      <c r="M137" s="31">
        <v>11.1</v>
      </c>
      <c r="N137" s="32">
        <f t="shared" si="73"/>
        <v>-2.6315789473684272E-2</v>
      </c>
      <c r="O137" s="18">
        <f>IF(ISNUMBER(M137), $B145 * N137, "")</f>
        <v>-3947.3684210526408</v>
      </c>
      <c r="Q137" s="161"/>
      <c r="R137" s="161"/>
      <c r="S137" s="161"/>
    </row>
    <row r="138" spans="1:19" ht="17.25" thickBot="1">
      <c r="A138" s="109" t="s">
        <v>200</v>
      </c>
      <c r="B138" s="110">
        <v>6.76</v>
      </c>
      <c r="C138" s="70">
        <v>-1.74418605E-2</v>
      </c>
      <c r="D138" s="15">
        <v>6.75</v>
      </c>
      <c r="E138" s="32">
        <f t="shared" si="70"/>
        <v>-1.4792899408283709E-3</v>
      </c>
      <c r="F138" s="18">
        <f>IF(ISNUMBER(D138), $B145 * E138, "")</f>
        <v>-221.89349112425563</v>
      </c>
      <c r="G138" s="31">
        <v>6.79</v>
      </c>
      <c r="H138" s="32">
        <f t="shared" si="71"/>
        <v>4.4378698224852436E-3</v>
      </c>
      <c r="I138" s="91">
        <f>IF(ISNUMBER(G138), $B145 * H138, "")</f>
        <v>665.68047337278654</v>
      </c>
      <c r="J138" s="15">
        <v>6.9</v>
      </c>
      <c r="K138" s="32">
        <f t="shared" si="72"/>
        <v>2.0710059171597718E-2</v>
      </c>
      <c r="L138" s="18">
        <f>IF(ISNUMBER(J138), $B145 * K138, "")</f>
        <v>3106.5088757396579</v>
      </c>
      <c r="M138" s="31">
        <v>6.64</v>
      </c>
      <c r="N138" s="32">
        <f t="shared" si="73"/>
        <v>-1.7751479289940846E-2</v>
      </c>
      <c r="O138" s="18">
        <f>IF(ISNUMBER(M138), $B145 * N138, "")</f>
        <v>-2662.721893491127</v>
      </c>
      <c r="Q138" s="156"/>
      <c r="R138" s="156"/>
      <c r="S138" s="156"/>
    </row>
    <row r="139" spans="1:19" ht="17.25" thickBot="1">
      <c r="A139" s="111" t="s">
        <v>181</v>
      </c>
      <c r="B139" s="112">
        <v>4.71</v>
      </c>
      <c r="C139" s="71">
        <v>-1.8749999999999999E-2</v>
      </c>
      <c r="D139" s="20">
        <v>4.66</v>
      </c>
      <c r="E139" s="21">
        <f t="shared" si="70"/>
        <v>-1.0615711252653891E-2</v>
      </c>
      <c r="F139" s="22">
        <f>IF(ISNUMBER(D139), $B145 * E139, "")</f>
        <v>-1592.3566878980837</v>
      </c>
      <c r="G139" s="30">
        <v>4.53</v>
      </c>
      <c r="H139" s="21">
        <f t="shared" si="71"/>
        <v>-3.8216560509554083E-2</v>
      </c>
      <c r="I139" s="95">
        <f>IF(ISNUMBER(G139), $B145 * H139, "")</f>
        <v>-5732.484076433112</v>
      </c>
      <c r="J139" s="20">
        <v>4.53</v>
      </c>
      <c r="K139" s="21">
        <f t="shared" si="72"/>
        <v>-3.8216560509554083E-2</v>
      </c>
      <c r="L139" s="22">
        <f>IF(ISNUMBER(J139), $B145 * K139, "")</f>
        <v>-5732.484076433112</v>
      </c>
      <c r="M139" s="30">
        <v>4.58</v>
      </c>
      <c r="N139" s="21">
        <f t="shared" si="73"/>
        <v>-2.7600849256900189E-2</v>
      </c>
      <c r="O139" s="22">
        <f>IF(ISNUMBER(M139), $B145 * N139, "")</f>
        <v>-4140.1273885350283</v>
      </c>
      <c r="Q139" s="156"/>
      <c r="R139" s="156"/>
      <c r="S139" s="156"/>
    </row>
    <row r="140" spans="1:19" ht="17.25" thickBot="1">
      <c r="A140" s="109" t="s">
        <v>210</v>
      </c>
      <c r="B140" s="113">
        <v>66.599999999999994</v>
      </c>
      <c r="C140" s="73">
        <v>-2.05882353E-2</v>
      </c>
      <c r="D140" s="96">
        <v>66.599999999999994</v>
      </c>
      <c r="E140" s="97">
        <f>IF(ISNUMBER(D140), (D140 - $B140) / $B140, "")</f>
        <v>0</v>
      </c>
      <c r="F140" s="98">
        <f>IF(ISNUMBER(D140), $B145 * E140, "")</f>
        <v>0</v>
      </c>
      <c r="G140" s="99">
        <v>64.8</v>
      </c>
      <c r="H140" s="97">
        <f>IF(ISNUMBER(G140), (G140 - $B140) / $B140, "")</f>
        <v>-2.7027027027026987E-2</v>
      </c>
      <c r="I140" s="100">
        <f>IF(ISNUMBER(G140), $B145 * H140, "")</f>
        <v>-4054.0540540540478</v>
      </c>
      <c r="J140" s="96">
        <v>64.8</v>
      </c>
      <c r="K140" s="97">
        <f>IF(ISNUMBER(J140), (J140 - $B140) / $B140, "")</f>
        <v>-2.7027027027026987E-2</v>
      </c>
      <c r="L140" s="98">
        <f>IF(ISNUMBER(J140), $B145 * K140, "")</f>
        <v>-4054.0540540540478</v>
      </c>
      <c r="M140" s="99">
        <v>65.099999999999994</v>
      </c>
      <c r="N140" s="97">
        <f>IF(ISNUMBER(M140), (M140 - $B140) / $B140, "")</f>
        <v>-2.2522522522522525E-2</v>
      </c>
      <c r="O140" s="98">
        <f>IF(ISNUMBER(M140), $B145 * N140, "")</f>
        <v>-3378.3783783783788</v>
      </c>
      <c r="Q140" s="161"/>
      <c r="R140" s="161"/>
      <c r="S140" s="161"/>
    </row>
    <row r="141" spans="1:19" ht="17.25" thickBot="1">
      <c r="A141" s="109" t="s">
        <v>124</v>
      </c>
      <c r="B141" s="110">
        <v>32</v>
      </c>
      <c r="C141" s="70">
        <v>-2.1406727800000001E-2</v>
      </c>
      <c r="D141" s="15">
        <v>31.9</v>
      </c>
      <c r="E141" s="32">
        <f t="shared" ref="E141:E144" si="74">IF(ISNUMBER(D141), (D141 - $B141) / $B141, "")</f>
        <v>-3.1250000000000444E-3</v>
      </c>
      <c r="F141" s="18">
        <f>IF(ISNUMBER(D141), $B145 * E141, "")</f>
        <v>-468.75000000000665</v>
      </c>
      <c r="G141" s="31">
        <v>31.3</v>
      </c>
      <c r="H141" s="32">
        <f t="shared" ref="H141:H144" si="75">IF(ISNUMBER(G141), (G141 - $B141) / $B141, "")</f>
        <v>-2.1874999999999978E-2</v>
      </c>
      <c r="I141" s="91">
        <f>IF(ISNUMBER(G141), $B145 * H141, "")</f>
        <v>-3281.2499999999968</v>
      </c>
      <c r="J141" s="15">
        <v>31.2</v>
      </c>
      <c r="K141" s="32">
        <f t="shared" ref="K141:K144" si="76">IF(ISNUMBER(J141), (J141 - $B141) / $B141, "")</f>
        <v>-2.5000000000000022E-2</v>
      </c>
      <c r="L141" s="18">
        <f>IF(ISNUMBER(J141), $B145 * K141, "")</f>
        <v>-3750.0000000000032</v>
      </c>
      <c r="M141" s="31">
        <v>31.4</v>
      </c>
      <c r="N141" s="32">
        <f t="shared" ref="N141:N144" si="77">IF(ISNUMBER(M141), (M141 - $B141) / $B141, "")</f>
        <v>-1.8750000000000044E-2</v>
      </c>
      <c r="O141" s="18">
        <f>IF(ISNUMBER(M141), $B145 * N141, "")</f>
        <v>-2812.5000000000068</v>
      </c>
      <c r="Q141" s="161"/>
      <c r="R141" s="161"/>
      <c r="S141" s="161"/>
    </row>
    <row r="142" spans="1:19" ht="17.25" thickBot="1">
      <c r="A142" s="109" t="s">
        <v>350</v>
      </c>
      <c r="B142" s="110">
        <v>7.3</v>
      </c>
      <c r="C142" s="70">
        <v>-3.1830238699999999E-2</v>
      </c>
      <c r="D142" s="15">
        <v>7.14</v>
      </c>
      <c r="E142" s="32">
        <f t="shared" si="74"/>
        <v>-2.1917808219178103E-2</v>
      </c>
      <c r="F142" s="18">
        <f>IF(ISNUMBER(D142), $B145 * E142, "")</f>
        <v>-3287.6712328767153</v>
      </c>
      <c r="G142" s="31">
        <v>6.97</v>
      </c>
      <c r="H142" s="32">
        <f t="shared" si="75"/>
        <v>-4.5205479452054803E-2</v>
      </c>
      <c r="I142" s="91">
        <f>IF(ISNUMBER(G142), $B145 * H142, "")</f>
        <v>-6780.8219178082209</v>
      </c>
      <c r="J142" s="15">
        <v>6.98</v>
      </c>
      <c r="K142" s="32">
        <f t="shared" si="76"/>
        <v>-4.3835616438356081E-2</v>
      </c>
      <c r="L142" s="18">
        <f>IF(ISNUMBER(J142), $B145 * K142, "")</f>
        <v>-6575.3424657534124</v>
      </c>
      <c r="M142" s="31">
        <v>6.92</v>
      </c>
      <c r="N142" s="32">
        <f t="shared" si="77"/>
        <v>-5.2054794520547933E-2</v>
      </c>
      <c r="O142" s="18">
        <f>IF(ISNUMBER(M142), $B145 * N142, "")</f>
        <v>-7808.2191780821895</v>
      </c>
      <c r="Q142" s="161"/>
      <c r="R142" s="161"/>
      <c r="S142" s="161"/>
    </row>
    <row r="143" spans="1:19">
      <c r="A143" s="109" t="s">
        <v>141</v>
      </c>
      <c r="B143" s="110">
        <v>3.58</v>
      </c>
      <c r="C143" s="70">
        <v>-4.53333333E-2</v>
      </c>
      <c r="D143" s="15">
        <v>3.51</v>
      </c>
      <c r="E143" s="32">
        <f t="shared" si="74"/>
        <v>-1.9553072625698404E-2</v>
      </c>
      <c r="F143" s="18">
        <f>IF(ISNUMBER(D143), $B145 * E143, "")</f>
        <v>-2932.9608938547608</v>
      </c>
      <c r="G143" s="31">
        <v>3.43</v>
      </c>
      <c r="H143" s="32">
        <f t="shared" si="75"/>
        <v>-4.18994413407821E-2</v>
      </c>
      <c r="I143" s="91">
        <f>IF(ISNUMBER(G143), $B145 * H143, "")</f>
        <v>-6284.9162011173148</v>
      </c>
      <c r="J143" s="15">
        <v>3.44</v>
      </c>
      <c r="K143" s="32">
        <f t="shared" si="76"/>
        <v>-3.9106145251396683E-2</v>
      </c>
      <c r="L143" s="18">
        <f>IF(ISNUMBER(J143), $B145 * K143, "")</f>
        <v>-5865.9217877095025</v>
      </c>
      <c r="M143" s="31">
        <v>3.42</v>
      </c>
      <c r="N143" s="32">
        <f t="shared" si="77"/>
        <v>-4.4692737430167634E-2</v>
      </c>
      <c r="O143" s="18">
        <f>IF(ISNUMBER(M143), $B145 * N143, "")</f>
        <v>-6703.9106145251453</v>
      </c>
      <c r="Q143" s="183"/>
      <c r="R143" s="184"/>
      <c r="S143" s="185"/>
    </row>
    <row r="144" spans="1:19" ht="17.25" thickBot="1">
      <c r="A144" s="114" t="s">
        <v>97</v>
      </c>
      <c r="B144" s="115">
        <v>8.0000000000000004E-4</v>
      </c>
      <c r="C144" s="72">
        <v>-0.11111111110000001</v>
      </c>
      <c r="D144" s="24">
        <v>8.0000000000000004E-4</v>
      </c>
      <c r="E144" s="25">
        <f t="shared" si="74"/>
        <v>0</v>
      </c>
      <c r="F144" s="94">
        <f>IF(ISNUMBER(D144), $B145 * E144, "")</f>
        <v>0</v>
      </c>
      <c r="G144" s="92">
        <v>8.0000000000000004E-4</v>
      </c>
      <c r="H144" s="25">
        <f t="shared" si="75"/>
        <v>0</v>
      </c>
      <c r="I144" s="93">
        <f>IF(ISNUMBER(G144), $B145 * H144, "")</f>
        <v>0</v>
      </c>
      <c r="J144" s="24">
        <v>8.9999999999999998E-4</v>
      </c>
      <c r="K144" s="25">
        <f t="shared" si="76"/>
        <v>0.12499999999999992</v>
      </c>
      <c r="L144" s="94">
        <f>IF(ISNUMBER(J144), $B145 * K144, "")</f>
        <v>18749.999999999989</v>
      </c>
      <c r="M144" s="92">
        <v>8.9999999999999998E-4</v>
      </c>
      <c r="N144" s="25">
        <f t="shared" si="77"/>
        <v>0.12499999999999992</v>
      </c>
      <c r="O144" s="94">
        <f>IF(ISNUMBER(M144), $B145 * N144, "")</f>
        <v>18749.999999999989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-8.655330165987813E-3</v>
      </c>
      <c r="F145" s="28">
        <f>SUM(F125:F144)</f>
        <v>-25965.990497963438</v>
      </c>
      <c r="G145" s="26" t="s">
        <v>261</v>
      </c>
      <c r="H145" s="27">
        <f>IF(COUNT(H125:H144), SUM(H125:H144) / COUNT(H125:H144), 0)</f>
        <v>-3.061603513572107E-2</v>
      </c>
      <c r="I145" s="28">
        <f>SUM(I125:I144)</f>
        <v>-91848.10540716321</v>
      </c>
      <c r="J145" s="26" t="s">
        <v>261</v>
      </c>
      <c r="K145" s="27">
        <f>IF(COUNT(K125:K144), SUM(K125:K144) / COUNT(K125:K144), 0)</f>
        <v>-2.3813577414104566E-2</v>
      </c>
      <c r="L145" s="28">
        <f>SUM(L125:L144)</f>
        <v>-71440.732242313708</v>
      </c>
      <c r="M145" s="26" t="s">
        <v>261</v>
      </c>
      <c r="N145" s="27">
        <f>IF(COUNT(N125:N144), SUM(N125:N144) / COUNT(N125:N144), 0)</f>
        <v>-2.6386693109641014E-2</v>
      </c>
      <c r="O145" s="28">
        <f>SUM(O125:O144)</f>
        <v>-79160.079328923006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2022-12-16(금) 오전 00:00</v>
      </c>
      <c r="C150" s="199"/>
      <c r="D150" s="158" t="str">
        <f>TEXT($G$1, "[$-ko-KR]yyyy-mm-dd(ddd) ") &amp; "오후 14:00"</f>
        <v>2022-12-16(금) 오후 14:00</v>
      </c>
      <c r="E150" s="159"/>
      <c r="F150" s="160"/>
      <c r="G150" s="158" t="str">
        <f>TEXT($G$1, "[$-ko-KR]yyyy-mm-dd(ddd) ") &amp; "오후 19:00"</f>
        <v>2022-12-16(금) 오후 19:00</v>
      </c>
      <c r="H150" s="159"/>
      <c r="I150" s="160"/>
      <c r="J150" s="158" t="str">
        <f>TEXT($G$1, "[$-ko-KR]yyyy-mm-dd(ddd) ") &amp; "오후 21:00"</f>
        <v>2022-12-16(금) 오후 21:00</v>
      </c>
      <c r="K150" s="159"/>
      <c r="L150" s="160"/>
      <c r="M150" s="158" t="str">
        <f>TEXT($G$1+1, "[$-ko-KR]yyyy-mm-dd(ddd) ") &amp; "오전 00:00"</f>
        <v>2022-12-17(토)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79</v>
      </c>
      <c r="B152" s="108">
        <v>289</v>
      </c>
      <c r="C152" s="69">
        <v>-1.3651877099999999E-2</v>
      </c>
      <c r="D152" s="13">
        <v>284</v>
      </c>
      <c r="E152" s="14">
        <f>IF(ISNUMBER(D152), (D152 - $B152) / $B152, "")</f>
        <v>-1.7301038062283738E-2</v>
      </c>
      <c r="F152" s="16">
        <f>IF(ISNUMBER(D152), $B172 * E152, "")</f>
        <v>-2595.1557093425608</v>
      </c>
      <c r="G152" s="29">
        <v>275</v>
      </c>
      <c r="H152" s="14">
        <f>IF(ISNUMBER(G152), (G152 - $B152) / $B152, "")</f>
        <v>-4.8442906574394463E-2</v>
      </c>
      <c r="I152" s="90">
        <f>IF(ISNUMBER(G152), $B172 * H152, "")</f>
        <v>-7266.4359861591693</v>
      </c>
      <c r="J152" s="13">
        <v>276</v>
      </c>
      <c r="K152" s="14">
        <f>IF(ISNUMBER(J152), (J152 - $B152) / $B152, "")</f>
        <v>-4.4982698961937718E-2</v>
      </c>
      <c r="L152" s="16">
        <f>IF(ISNUMBER(J152), $B172 * K152, "")</f>
        <v>-6747.4048442906578</v>
      </c>
      <c r="M152" s="29">
        <v>273</v>
      </c>
      <c r="N152" s="14">
        <f>IF(ISNUMBER(M152), (M152 - $B152) / $B152, "")</f>
        <v>-5.536332179930796E-2</v>
      </c>
      <c r="O152" s="16">
        <f>IF(ISNUMBER(M152), $B172 * N152, "")</f>
        <v>-8304.498269896194</v>
      </c>
      <c r="Q152" s="156"/>
      <c r="R152" s="156"/>
      <c r="S152" s="156"/>
    </row>
    <row r="153" spans="1:19" ht="17.25" thickBot="1">
      <c r="A153" s="109" t="s">
        <v>183</v>
      </c>
      <c r="B153" s="110">
        <v>142</v>
      </c>
      <c r="C153" s="70">
        <v>-1.38888889E-2</v>
      </c>
      <c r="D153" s="15">
        <v>142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136</v>
      </c>
      <c r="H153" s="32">
        <f t="shared" ref="H153:H156" si="79">IF(ISNUMBER(G153), (G153 - $B153) / $B153, "")</f>
        <v>-4.2253521126760563E-2</v>
      </c>
      <c r="I153" s="91">
        <f>IF(ISNUMBER(G153), $B172 * H153, "")</f>
        <v>-6338.0281690140846</v>
      </c>
      <c r="J153" s="15">
        <v>136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136</v>
      </c>
      <c r="N153" s="32">
        <f t="shared" ref="N153:N156" si="81">IF(ISNUMBER(M153), (M153 - $B153) / $B153, "")</f>
        <v>-4.2253521126760563E-2</v>
      </c>
      <c r="O153" s="18">
        <f>IF(ISNUMBER(M153), $B172 * N153, "")</f>
        <v>-6338.0281690140846</v>
      </c>
      <c r="Q153" s="156"/>
      <c r="R153" s="156"/>
      <c r="S153" s="156"/>
    </row>
    <row r="154" spans="1:19" ht="17.25" thickBot="1">
      <c r="A154" s="109" t="s">
        <v>222</v>
      </c>
      <c r="B154" s="110">
        <v>444</v>
      </c>
      <c r="C154" s="70">
        <v>-1.55210643E-2</v>
      </c>
      <c r="D154" s="15">
        <v>441</v>
      </c>
      <c r="E154" s="32">
        <f t="shared" si="78"/>
        <v>-6.7567567567567571E-3</v>
      </c>
      <c r="F154" s="18">
        <f>IF(ISNUMBER(D154), $B172 * E154, "")</f>
        <v>-1013.5135135135135</v>
      </c>
      <c r="G154" s="31">
        <v>428</v>
      </c>
      <c r="H154" s="32">
        <f t="shared" si="79"/>
        <v>-3.6036036036036036E-2</v>
      </c>
      <c r="I154" s="91">
        <f>IF(ISNUMBER(G154), $B172 * H154, "")</f>
        <v>-5405.405405405405</v>
      </c>
      <c r="J154" s="15">
        <v>428</v>
      </c>
      <c r="K154" s="32">
        <f t="shared" si="80"/>
        <v>-3.6036036036036036E-2</v>
      </c>
      <c r="L154" s="18">
        <f>IF(ISNUMBER(J154), $B172 * K154, "")</f>
        <v>-5405.405405405405</v>
      </c>
      <c r="M154" s="31">
        <v>427</v>
      </c>
      <c r="N154" s="32">
        <f t="shared" si="81"/>
        <v>-3.8288288288288286E-2</v>
      </c>
      <c r="O154" s="18">
        <f>IF(ISNUMBER(M154), $B172 * N154, "")</f>
        <v>-5743.2432432432424</v>
      </c>
      <c r="Q154" s="161"/>
      <c r="R154" s="161"/>
      <c r="S154" s="161"/>
    </row>
    <row r="155" spans="1:19" ht="17.25" thickBot="1">
      <c r="A155" s="109" t="s">
        <v>169</v>
      </c>
      <c r="B155" s="110">
        <v>253</v>
      </c>
      <c r="C155" s="70">
        <v>-1.55642023E-2</v>
      </c>
      <c r="D155" s="15">
        <v>245</v>
      </c>
      <c r="E155" s="32">
        <f t="shared" si="78"/>
        <v>-3.1620553359683792E-2</v>
      </c>
      <c r="F155" s="18">
        <f>IF(ISNUMBER(D155), $B172 * E155, "")</f>
        <v>-4743.083003952569</v>
      </c>
      <c r="G155" s="31">
        <v>237</v>
      </c>
      <c r="H155" s="32">
        <f t="shared" si="79"/>
        <v>-6.3241106719367585E-2</v>
      </c>
      <c r="I155" s="91">
        <f>IF(ISNUMBER(G155), $B172 * H155, "")</f>
        <v>-9486.166007905138</v>
      </c>
      <c r="J155" s="15">
        <v>238</v>
      </c>
      <c r="K155" s="32">
        <f t="shared" si="80"/>
        <v>-5.9288537549407112E-2</v>
      </c>
      <c r="L155" s="18">
        <f>IF(ISNUMBER(J155), $B172 * K155, "")</f>
        <v>-8893.2806324110661</v>
      </c>
      <c r="M155" s="31">
        <v>237</v>
      </c>
      <c r="N155" s="32">
        <f t="shared" si="81"/>
        <v>-6.3241106719367585E-2</v>
      </c>
      <c r="O155" s="18">
        <f>IF(ISNUMBER(M155), $B172 * N155, "")</f>
        <v>-9486.166007905138</v>
      </c>
      <c r="Q155" s="161"/>
      <c r="R155" s="161"/>
      <c r="S155" s="161"/>
    </row>
    <row r="156" spans="1:19" ht="17.25" thickBot="1">
      <c r="A156" s="111" t="s">
        <v>159</v>
      </c>
      <c r="B156" s="112">
        <v>189</v>
      </c>
      <c r="C156" s="71">
        <v>-1.5625E-2</v>
      </c>
      <c r="D156" s="20">
        <v>187</v>
      </c>
      <c r="E156" s="21">
        <f t="shared" si="78"/>
        <v>-1.0582010582010581E-2</v>
      </c>
      <c r="F156" s="22">
        <f>IF(ISNUMBER(D156), $B172 * E156, "")</f>
        <v>-1587.3015873015872</v>
      </c>
      <c r="G156" s="30">
        <v>181</v>
      </c>
      <c r="H156" s="21">
        <f t="shared" si="79"/>
        <v>-4.2328042328042326E-2</v>
      </c>
      <c r="I156" s="95">
        <f>IF(ISNUMBER(G156), $B172 * H156, "")</f>
        <v>-6349.2063492063489</v>
      </c>
      <c r="J156" s="20">
        <v>181</v>
      </c>
      <c r="K156" s="21">
        <f t="shared" si="80"/>
        <v>-4.2328042328042326E-2</v>
      </c>
      <c r="L156" s="22">
        <f>IF(ISNUMBER(J156), $B172 * K156, "")</f>
        <v>-6349.2063492063489</v>
      </c>
      <c r="M156" s="30">
        <v>182</v>
      </c>
      <c r="N156" s="21">
        <f t="shared" si="81"/>
        <v>-3.7037037037037035E-2</v>
      </c>
      <c r="O156" s="22">
        <f>IF(ISNUMBER(M156), $B172 * N156, "")</f>
        <v>-5555.5555555555557</v>
      </c>
      <c r="Q156" s="161"/>
      <c r="R156" s="161"/>
      <c r="S156" s="161"/>
    </row>
    <row r="157" spans="1:19" ht="17.25" thickBot="1">
      <c r="A157" s="109" t="s">
        <v>238</v>
      </c>
      <c r="B157" s="113">
        <v>615</v>
      </c>
      <c r="C157" s="73">
        <v>-1.6E-2</v>
      </c>
      <c r="D157" s="96">
        <v>613</v>
      </c>
      <c r="E157" s="97">
        <f>IF(ISNUMBER(D157), (D157 - $B157) / $B157, "")</f>
        <v>-3.2520325203252032E-3</v>
      </c>
      <c r="F157" s="98">
        <f>IF(ISNUMBER(D157), $B172 * E157, "")</f>
        <v>-487.80487804878049</v>
      </c>
      <c r="G157" s="99">
        <v>598</v>
      </c>
      <c r="H157" s="97">
        <f>IF(ISNUMBER(G157), (G157 - $B157) / $B157, "")</f>
        <v>-2.7642276422764227E-2</v>
      </c>
      <c r="I157" s="100">
        <f>IF(ISNUMBER(G157), $B172 * H157, "")</f>
        <v>-4146.3414634146338</v>
      </c>
      <c r="J157" s="96">
        <v>598</v>
      </c>
      <c r="K157" s="97">
        <f>IF(ISNUMBER(J157), (J157 - $B157) / $B157, "")</f>
        <v>-2.7642276422764227E-2</v>
      </c>
      <c r="L157" s="98">
        <f>IF(ISNUMBER(J157), $B172 * K157, "")</f>
        <v>-4146.3414634146338</v>
      </c>
      <c r="M157" s="99">
        <v>602</v>
      </c>
      <c r="N157" s="97">
        <f>IF(ISNUMBER(M157), (M157 - $B157) / $B157, "")</f>
        <v>-2.113821138211382E-2</v>
      </c>
      <c r="O157" s="98">
        <f>IF(ISNUMBER(M157), $B172 * N157, "")</f>
        <v>-3170.731707317073</v>
      </c>
      <c r="Q157" s="161"/>
      <c r="R157" s="161"/>
      <c r="S157" s="161"/>
    </row>
    <row r="158" spans="1:19" ht="17.25" thickBot="1">
      <c r="A158" s="109" t="s">
        <v>226</v>
      </c>
      <c r="B158" s="110">
        <v>228</v>
      </c>
      <c r="C158" s="70">
        <v>-1.7241379300000002E-2</v>
      </c>
      <c r="D158" s="15">
        <v>227</v>
      </c>
      <c r="E158" s="32">
        <f t="shared" ref="E158:E161" si="82">IF(ISNUMBER(D158), (D158 - $B158) / $B158, "")</f>
        <v>-4.3859649122807015E-3</v>
      </c>
      <c r="F158" s="18">
        <f>IF(ISNUMBER(D158), $B172 * E158, "")</f>
        <v>-657.8947368421052</v>
      </c>
      <c r="G158" s="31">
        <v>220</v>
      </c>
      <c r="H158" s="32">
        <f t="shared" ref="H158:H161" si="83">IF(ISNUMBER(G158), (G158 - $B158) / $B158, "")</f>
        <v>-3.5087719298245612E-2</v>
      </c>
      <c r="I158" s="91">
        <f>IF(ISNUMBER(G158), $B172 * H158, "")</f>
        <v>-5263.1578947368416</v>
      </c>
      <c r="J158" s="15">
        <v>219</v>
      </c>
      <c r="K158" s="32">
        <f t="shared" ref="K158:K161" si="84">IF(ISNUMBER(J158), (J158 - $B158) / $B158, "")</f>
        <v>-3.9473684210526314E-2</v>
      </c>
      <c r="L158" s="18">
        <f>IF(ISNUMBER(J158), $B172 * K158, "")</f>
        <v>-5921.0526315789466</v>
      </c>
      <c r="M158" s="31">
        <v>222</v>
      </c>
      <c r="N158" s="32">
        <f t="shared" ref="N158:N161" si="85">IF(ISNUMBER(M158), (M158 - $B158) / $B158, "")</f>
        <v>-2.6315789473684209E-2</v>
      </c>
      <c r="O158" s="18">
        <f>IF(ISNUMBER(M158), $B172 * N158, "")</f>
        <v>-3947.3684210526312</v>
      </c>
      <c r="Q158" s="161"/>
      <c r="R158" s="161"/>
      <c r="S158" s="161"/>
    </row>
    <row r="159" spans="1:19" ht="17.25" thickBot="1">
      <c r="A159" s="109" t="s">
        <v>346</v>
      </c>
      <c r="B159" s="110">
        <v>497</v>
      </c>
      <c r="C159" s="70">
        <v>-1.77865613E-2</v>
      </c>
      <c r="D159" s="15">
        <v>494</v>
      </c>
      <c r="E159" s="32">
        <f t="shared" si="82"/>
        <v>-6.0362173038229373E-3</v>
      </c>
      <c r="F159" s="18">
        <f>IF(ISNUMBER(D159), $B172 * E159, "")</f>
        <v>-905.43259557344061</v>
      </c>
      <c r="G159" s="31">
        <v>467</v>
      </c>
      <c r="H159" s="32">
        <f t="shared" si="83"/>
        <v>-6.0362173038229376E-2</v>
      </c>
      <c r="I159" s="91">
        <f>IF(ISNUMBER(G159), $B172 * H159, "")</f>
        <v>-9054.3259557344063</v>
      </c>
      <c r="J159" s="15">
        <v>467</v>
      </c>
      <c r="K159" s="32">
        <f t="shared" si="84"/>
        <v>-6.0362173038229376E-2</v>
      </c>
      <c r="L159" s="18">
        <f>IF(ISNUMBER(J159), $B172 * K159, "")</f>
        <v>-9054.3259557344063</v>
      </c>
      <c r="M159" s="31">
        <v>462</v>
      </c>
      <c r="N159" s="32">
        <f t="shared" si="85"/>
        <v>-7.0422535211267609E-2</v>
      </c>
      <c r="O159" s="18">
        <f>IF(ISNUMBER(M159), $B172 * N159, "")</f>
        <v>-10563.380281690141</v>
      </c>
      <c r="Q159" s="161"/>
      <c r="R159" s="161"/>
      <c r="S159" s="161"/>
    </row>
    <row r="160" spans="1:19" ht="17.25" thickBot="1">
      <c r="A160" s="109" t="s">
        <v>204</v>
      </c>
      <c r="B160" s="110">
        <v>265</v>
      </c>
      <c r="C160" s="70">
        <v>-1.8518518500000001E-2</v>
      </c>
      <c r="D160" s="15">
        <v>261</v>
      </c>
      <c r="E160" s="32">
        <f t="shared" si="82"/>
        <v>-1.509433962264151E-2</v>
      </c>
      <c r="F160" s="18">
        <f>IF(ISNUMBER(D160), $B172 * E160, "")</f>
        <v>-2264.1509433962265</v>
      </c>
      <c r="G160" s="31">
        <v>251</v>
      </c>
      <c r="H160" s="32">
        <f t="shared" si="83"/>
        <v>-5.2830188679245285E-2</v>
      </c>
      <c r="I160" s="91">
        <f>IF(ISNUMBER(G160), $B172 * H160, "")</f>
        <v>-7924.5283018867931</v>
      </c>
      <c r="J160" s="15">
        <v>252</v>
      </c>
      <c r="K160" s="32">
        <f t="shared" si="84"/>
        <v>-4.9056603773584909E-2</v>
      </c>
      <c r="L160" s="18">
        <f>IF(ISNUMBER(J160), $B172 * K160, "")</f>
        <v>-7358.4905660377362</v>
      </c>
      <c r="M160" s="31">
        <v>249</v>
      </c>
      <c r="N160" s="32">
        <f t="shared" si="85"/>
        <v>-6.0377358490566038E-2</v>
      </c>
      <c r="O160" s="18">
        <f>IF(ISNUMBER(M160), $B172 * N160, "")</f>
        <v>-9056.6037735849059</v>
      </c>
      <c r="Q160" s="33"/>
      <c r="R160" s="33"/>
    </row>
    <row r="161" spans="1:19" ht="17.25" thickBot="1">
      <c r="A161" s="114" t="s">
        <v>66</v>
      </c>
      <c r="B161" s="115">
        <v>742</v>
      </c>
      <c r="C161" s="72">
        <v>-1.8518518500000001E-2</v>
      </c>
      <c r="D161" s="24">
        <v>732</v>
      </c>
      <c r="E161" s="25">
        <f t="shared" si="82"/>
        <v>-1.3477088948787063E-2</v>
      </c>
      <c r="F161" s="94">
        <f>IF(ISNUMBER(D161), $B172 * E161, "")</f>
        <v>-2021.5633423180593</v>
      </c>
      <c r="G161" s="92">
        <v>716</v>
      </c>
      <c r="H161" s="25">
        <f t="shared" si="83"/>
        <v>-3.5040431266846361E-2</v>
      </c>
      <c r="I161" s="93">
        <f>IF(ISNUMBER(G161), $B172 * H161, "")</f>
        <v>-5256.0646900269539</v>
      </c>
      <c r="J161" s="24">
        <v>717</v>
      </c>
      <c r="K161" s="25">
        <f t="shared" si="84"/>
        <v>-3.3692722371967652E-2</v>
      </c>
      <c r="L161" s="94">
        <f>IF(ISNUMBER(J161), $B172 * K161, "")</f>
        <v>-5053.9083557951481</v>
      </c>
      <c r="M161" s="92">
        <v>720</v>
      </c>
      <c r="N161" s="25">
        <f t="shared" si="85"/>
        <v>-2.9649595687331536E-2</v>
      </c>
      <c r="O161" s="94">
        <f>IF(ISNUMBER(M161), $B172 * N161, "")</f>
        <v>-4447.4393530997304</v>
      </c>
      <c r="Q161" s="170"/>
      <c r="R161" s="171"/>
      <c r="S161" s="172"/>
    </row>
    <row r="162" spans="1:19">
      <c r="A162" s="107" t="s">
        <v>208</v>
      </c>
      <c r="B162" s="108">
        <v>102</v>
      </c>
      <c r="C162" s="69">
        <v>-1.9230769200000001E-2</v>
      </c>
      <c r="D162" s="13">
        <v>103</v>
      </c>
      <c r="E162" s="14">
        <f>IF(ISNUMBER(D162), (D162 - $B162) / $B162, "")</f>
        <v>9.8039215686274508E-3</v>
      </c>
      <c r="F162" s="16">
        <f>IF(ISNUMBER(D162), $B172 * E162, "")</f>
        <v>1470.5882352941176</v>
      </c>
      <c r="G162" s="29">
        <v>99.1</v>
      </c>
      <c r="H162" s="14">
        <f>IF(ISNUMBER(G162), (G162 - $B162) / $B162, "")</f>
        <v>-2.8431372549019663E-2</v>
      </c>
      <c r="I162" s="90">
        <f>IF(ISNUMBER(G162), $B172 * H162, "")</f>
        <v>-4264.7058823529496</v>
      </c>
      <c r="J162" s="13">
        <v>99.2</v>
      </c>
      <c r="K162" s="14">
        <f>IF(ISNUMBER(J162), (J162 - $B162) / $B162, "")</f>
        <v>-2.7450980392156835E-2</v>
      </c>
      <c r="L162" s="16">
        <f>IF(ISNUMBER(J162), $B172 * K162, "")</f>
        <v>-4117.6470588235252</v>
      </c>
      <c r="M162" s="29">
        <v>99.3</v>
      </c>
      <c r="N162" s="14">
        <f>IF(ISNUMBER(M162), (M162 - $B162) / $B162, "")</f>
        <v>-2.6470588235294145E-2</v>
      </c>
      <c r="O162" s="16">
        <f>IF(ISNUMBER(M162), $B172 * N162, "")</f>
        <v>-3970.5882352941217</v>
      </c>
      <c r="Q162" s="173"/>
      <c r="R162" s="174"/>
      <c r="S162" s="175"/>
    </row>
    <row r="163" spans="1:19" ht="17.25" thickBot="1">
      <c r="A163" s="109" t="s">
        <v>242</v>
      </c>
      <c r="B163" s="110">
        <v>450</v>
      </c>
      <c r="C163" s="70">
        <v>-1.9607843100000001E-2</v>
      </c>
      <c r="D163" s="15">
        <v>446</v>
      </c>
      <c r="E163" s="32">
        <f t="shared" ref="E163:E166" si="86">IF(ISNUMBER(D163), (D163 - $B163) / $B163, "")</f>
        <v>-8.8888888888888889E-3</v>
      </c>
      <c r="F163" s="18">
        <f>IF(ISNUMBER(D163), $B172 * E163, "")</f>
        <v>-1333.3333333333333</v>
      </c>
      <c r="G163" s="31">
        <v>438</v>
      </c>
      <c r="H163" s="32">
        <f t="shared" ref="H163:H166" si="87">IF(ISNUMBER(G163), (G163 - $B163) / $B163, "")</f>
        <v>-2.6666666666666668E-2</v>
      </c>
      <c r="I163" s="91">
        <f>IF(ISNUMBER(G163), $B172 * H163, "")</f>
        <v>-4000.0000000000005</v>
      </c>
      <c r="J163" s="15">
        <v>438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440</v>
      </c>
      <c r="N163" s="32">
        <f t="shared" ref="N163:N166" si="89">IF(ISNUMBER(M163), (M163 - $B163) / $B163, "")</f>
        <v>-2.2222222222222223E-2</v>
      </c>
      <c r="O163" s="18">
        <f>IF(ISNUMBER(M163), $B172 * N163, "")</f>
        <v>-3333.3333333333335</v>
      </c>
      <c r="Q163" s="176"/>
      <c r="R163" s="177"/>
      <c r="S163" s="178"/>
    </row>
    <row r="164" spans="1:19" ht="17.25" thickBot="1">
      <c r="A164" s="109" t="s">
        <v>167</v>
      </c>
      <c r="B164" s="110">
        <v>191</v>
      </c>
      <c r="C164" s="70">
        <v>-2.0512820500000001E-2</v>
      </c>
      <c r="D164" s="15">
        <v>190</v>
      </c>
      <c r="E164" s="32">
        <f t="shared" si="86"/>
        <v>-5.235602094240838E-3</v>
      </c>
      <c r="F164" s="18">
        <f>IF(ISNUMBER(D164), $B172 * E164, "")</f>
        <v>-785.3403141361257</v>
      </c>
      <c r="G164" s="31">
        <v>186</v>
      </c>
      <c r="H164" s="32">
        <f t="shared" si="87"/>
        <v>-2.6178010471204188E-2</v>
      </c>
      <c r="I164" s="91">
        <f>IF(ISNUMBER(G164), $B172 * H164, "")</f>
        <v>-3926.7015706806283</v>
      </c>
      <c r="J164" s="15">
        <v>186</v>
      </c>
      <c r="K164" s="32">
        <f t="shared" si="88"/>
        <v>-2.6178010471204188E-2</v>
      </c>
      <c r="L164" s="18">
        <f>IF(ISNUMBER(J164), $B172 * K164, "")</f>
        <v>-3926.7015706806283</v>
      </c>
      <c r="M164" s="31">
        <v>184</v>
      </c>
      <c r="N164" s="32">
        <f t="shared" si="89"/>
        <v>-3.6649214659685861E-2</v>
      </c>
      <c r="O164" s="18">
        <f>IF(ISNUMBER(M164), $B172 * N164, "")</f>
        <v>-5497.3821989528788</v>
      </c>
      <c r="Q164" s="161"/>
      <c r="R164" s="161"/>
      <c r="S164" s="161"/>
    </row>
    <row r="165" spans="1:19" ht="17.25" thickBot="1">
      <c r="A165" s="109" t="s">
        <v>352</v>
      </c>
      <c r="B165" s="110">
        <v>238</v>
      </c>
      <c r="C165" s="70">
        <v>-2.05761317E-2</v>
      </c>
      <c r="D165" s="15">
        <v>234</v>
      </c>
      <c r="E165" s="32">
        <f t="shared" si="86"/>
        <v>-1.680672268907563E-2</v>
      </c>
      <c r="F165" s="18">
        <f>IF(ISNUMBER(D165), $B172 * E165, "")</f>
        <v>-2521.0084033613443</v>
      </c>
      <c r="G165" s="31">
        <v>223</v>
      </c>
      <c r="H165" s="32">
        <f t="shared" si="87"/>
        <v>-6.3025210084033612E-2</v>
      </c>
      <c r="I165" s="91">
        <f>IF(ISNUMBER(G165), $B172 * H165, "")</f>
        <v>-9453.7815126050409</v>
      </c>
      <c r="J165" s="15">
        <v>222</v>
      </c>
      <c r="K165" s="32">
        <f t="shared" si="88"/>
        <v>-6.7226890756302518E-2</v>
      </c>
      <c r="L165" s="18">
        <f>IF(ISNUMBER(J165), $B172 * K165, "")</f>
        <v>-10084.033613445377</v>
      </c>
      <c r="M165" s="31">
        <v>221</v>
      </c>
      <c r="N165" s="32">
        <f t="shared" si="89"/>
        <v>-7.1428571428571425E-2</v>
      </c>
      <c r="O165" s="18">
        <f>IF(ISNUMBER(M165), $B172 * N165, "")</f>
        <v>-10714.285714285714</v>
      </c>
      <c r="Q165" s="156"/>
      <c r="R165" s="156"/>
      <c r="S165" s="156"/>
    </row>
    <row r="166" spans="1:19" ht="17.25" thickBot="1">
      <c r="A166" s="111" t="s">
        <v>234</v>
      </c>
      <c r="B166" s="112">
        <v>398</v>
      </c>
      <c r="C166" s="71">
        <v>-2.2113022100000001E-2</v>
      </c>
      <c r="D166" s="20">
        <v>391</v>
      </c>
      <c r="E166" s="21">
        <f t="shared" si="86"/>
        <v>-1.7587939698492462E-2</v>
      </c>
      <c r="F166" s="22">
        <f>IF(ISNUMBER(D166), $B172 * E166, "")</f>
        <v>-2638.1909547738692</v>
      </c>
      <c r="G166" s="30">
        <v>380</v>
      </c>
      <c r="H166" s="21">
        <f t="shared" si="87"/>
        <v>-4.5226130653266333E-2</v>
      </c>
      <c r="I166" s="95">
        <f>IF(ISNUMBER(G166), $B172 * H166, "")</f>
        <v>-6783.9195979899496</v>
      </c>
      <c r="J166" s="20">
        <v>378</v>
      </c>
      <c r="K166" s="21">
        <f t="shared" si="88"/>
        <v>-5.0251256281407038E-2</v>
      </c>
      <c r="L166" s="22">
        <f>IF(ISNUMBER(J166), $B172 * K166, "")</f>
        <v>-7537.6884422110561</v>
      </c>
      <c r="M166" s="30">
        <v>379</v>
      </c>
      <c r="N166" s="21">
        <f t="shared" si="89"/>
        <v>-4.7738693467336682E-2</v>
      </c>
      <c r="O166" s="22">
        <f>IF(ISNUMBER(M166), $B172 * N166, "")</f>
        <v>-7160.8040201005024</v>
      </c>
      <c r="Q166" s="156"/>
      <c r="R166" s="156"/>
      <c r="S166" s="156"/>
    </row>
    <row r="167" spans="1:19" ht="17.25" thickBot="1">
      <c r="A167" s="109" t="s">
        <v>68</v>
      </c>
      <c r="B167" s="113">
        <v>318</v>
      </c>
      <c r="C167" s="73">
        <v>-2.4539877299999999E-2</v>
      </c>
      <c r="D167" s="96">
        <v>313</v>
      </c>
      <c r="E167" s="97">
        <f>IF(ISNUMBER(D167), (D167 - $B167) / $B167, "")</f>
        <v>-1.5723270440251572E-2</v>
      </c>
      <c r="F167" s="98">
        <f>IF(ISNUMBER(D167), $B172 * E167, "")</f>
        <v>-2358.4905660377358</v>
      </c>
      <c r="G167" s="99">
        <v>306</v>
      </c>
      <c r="H167" s="97">
        <f>IF(ISNUMBER(G167), (G167 - $B167) / $B167, "")</f>
        <v>-3.7735849056603772E-2</v>
      </c>
      <c r="I167" s="100">
        <f>IF(ISNUMBER(G167), $B172 * H167, "")</f>
        <v>-5660.3773584905657</v>
      </c>
      <c r="J167" s="96">
        <v>308</v>
      </c>
      <c r="K167" s="97">
        <f>IF(ISNUMBER(J167), (J167 - $B167) / $B167, "")</f>
        <v>-3.1446540880503145E-2</v>
      </c>
      <c r="L167" s="98">
        <f>IF(ISNUMBER(J167), $B172 * K167, "")</f>
        <v>-4716.9811320754716</v>
      </c>
      <c r="M167" s="99">
        <v>303</v>
      </c>
      <c r="N167" s="97">
        <f>IF(ISNUMBER(M167), (M167 - $B167) / $B167, "")</f>
        <v>-4.716981132075472E-2</v>
      </c>
      <c r="O167" s="98">
        <f>IF(ISNUMBER(M167), $B172 * N167, "")</f>
        <v>-7075.4716981132078</v>
      </c>
      <c r="Q167" s="161"/>
      <c r="R167" s="161"/>
      <c r="S167" s="161"/>
    </row>
    <row r="168" spans="1:19" ht="17.25" thickBot="1">
      <c r="A168" s="109" t="s">
        <v>153</v>
      </c>
      <c r="B168" s="110">
        <v>426</v>
      </c>
      <c r="C168" s="70">
        <v>-2.5171624699999999E-2</v>
      </c>
      <c r="D168" s="15">
        <v>416</v>
      </c>
      <c r="E168" s="32">
        <f t="shared" ref="E168:E171" si="90">IF(ISNUMBER(D168), (D168 - $B168) / $B168, "")</f>
        <v>-2.3474178403755867E-2</v>
      </c>
      <c r="F168" s="18">
        <f>IF(ISNUMBER(D168), $B172 * E168, "")</f>
        <v>-3521.1267605633802</v>
      </c>
      <c r="G168" s="31">
        <v>399</v>
      </c>
      <c r="H168" s="32">
        <f t="shared" ref="H168:H171" si="91">IF(ISNUMBER(G168), (G168 - $B168) / $B168, "")</f>
        <v>-6.3380281690140844E-2</v>
      </c>
      <c r="I168" s="91">
        <f>IF(ISNUMBER(G168), $B172 * H168, "")</f>
        <v>-9507.0422535211273</v>
      </c>
      <c r="J168" s="15">
        <v>400</v>
      </c>
      <c r="K168" s="32">
        <f t="shared" ref="K168:K171" si="92">IF(ISNUMBER(J168), (J168 - $B168) / $B168, "")</f>
        <v>-6.1032863849765258E-2</v>
      </c>
      <c r="L168" s="18">
        <f>IF(ISNUMBER(J168), $B172 * K168, "")</f>
        <v>-9154.929577464789</v>
      </c>
      <c r="M168" s="31">
        <v>403</v>
      </c>
      <c r="N168" s="32">
        <f t="shared" ref="N168:N171" si="93">IF(ISNUMBER(M168), (M168 - $B168) / $B168, "")</f>
        <v>-5.39906103286385E-2</v>
      </c>
      <c r="O168" s="18">
        <f>IF(ISNUMBER(M168), $B172 * N168, "")</f>
        <v>-8098.5915492957747</v>
      </c>
      <c r="Q168" s="161"/>
      <c r="R168" s="161"/>
      <c r="S168" s="161"/>
    </row>
    <row r="169" spans="1:19" ht="17.25" thickBot="1">
      <c r="A169" s="109" t="s">
        <v>161</v>
      </c>
      <c r="B169" s="110">
        <v>350</v>
      </c>
      <c r="C169" s="70">
        <v>-3.3149171300000002E-2</v>
      </c>
      <c r="D169" s="15">
        <v>355</v>
      </c>
      <c r="E169" s="32">
        <f t="shared" si="90"/>
        <v>1.4285714285714285E-2</v>
      </c>
      <c r="F169" s="18">
        <f>IF(ISNUMBER(D169), $B172 * E169, "")</f>
        <v>2142.8571428571427</v>
      </c>
      <c r="G169" s="31">
        <v>354</v>
      </c>
      <c r="H169" s="32">
        <f t="shared" si="91"/>
        <v>1.1428571428571429E-2</v>
      </c>
      <c r="I169" s="91">
        <f>IF(ISNUMBER(G169), $B172 * H169, "")</f>
        <v>1714.2857142857142</v>
      </c>
      <c r="J169" s="15">
        <v>353</v>
      </c>
      <c r="K169" s="32">
        <f t="shared" si="92"/>
        <v>8.5714285714285719E-3</v>
      </c>
      <c r="L169" s="18">
        <f>IF(ISNUMBER(J169), $B172 * K169, "")</f>
        <v>1285.7142857142858</v>
      </c>
      <c r="M169" s="31">
        <v>343</v>
      </c>
      <c r="N169" s="32">
        <f t="shared" si="93"/>
        <v>-0.02</v>
      </c>
      <c r="O169" s="18">
        <f>IF(ISNUMBER(M169), $B172 * N169, "")</f>
        <v>-3000</v>
      </c>
      <c r="Q169" s="161"/>
      <c r="R169" s="161"/>
      <c r="S169" s="161"/>
    </row>
    <row r="170" spans="1:19">
      <c r="A170" s="109" t="s">
        <v>176</v>
      </c>
      <c r="B170" s="110">
        <v>335</v>
      </c>
      <c r="C170" s="70">
        <v>-3.4582132600000003E-2</v>
      </c>
      <c r="D170" s="15">
        <v>335</v>
      </c>
      <c r="E170" s="32">
        <f t="shared" si="90"/>
        <v>0</v>
      </c>
      <c r="F170" s="18">
        <f>IF(ISNUMBER(D170), $B172 * E170, "")</f>
        <v>0</v>
      </c>
      <c r="G170" s="31">
        <v>323</v>
      </c>
      <c r="H170" s="32">
        <f t="shared" si="91"/>
        <v>-3.5820895522388062E-2</v>
      </c>
      <c r="I170" s="91">
        <f>IF(ISNUMBER(G170), $B172 * H170, "")</f>
        <v>-5373.1343283582091</v>
      </c>
      <c r="J170" s="15">
        <v>322</v>
      </c>
      <c r="K170" s="32">
        <f t="shared" si="92"/>
        <v>-3.880597014925373E-2</v>
      </c>
      <c r="L170" s="18">
        <f>IF(ISNUMBER(J170), $B172 * K170, "")</f>
        <v>-5820.8955223880594</v>
      </c>
      <c r="M170" s="31">
        <v>322</v>
      </c>
      <c r="N170" s="32">
        <f t="shared" si="93"/>
        <v>-3.880597014925373E-2</v>
      </c>
      <c r="O170" s="18">
        <f>IF(ISNUMBER(M170), $B172 * N170, "")</f>
        <v>-5820.8955223880594</v>
      </c>
      <c r="Q170" s="183"/>
      <c r="R170" s="184"/>
      <c r="S170" s="185"/>
    </row>
    <row r="171" spans="1:19" ht="17.25" thickBot="1">
      <c r="A171" s="114" t="s">
        <v>187</v>
      </c>
      <c r="B171" s="115">
        <v>826</v>
      </c>
      <c r="C171" s="72">
        <v>-4.2873696400000001E-2</v>
      </c>
      <c r="D171" s="24">
        <v>845</v>
      </c>
      <c r="E171" s="25">
        <f t="shared" si="90"/>
        <v>2.3002421307506054E-2</v>
      </c>
      <c r="F171" s="94">
        <f>IF(ISNUMBER(D171), $B172 * E171, "")</f>
        <v>3450.363196125908</v>
      </c>
      <c r="G171" s="92">
        <v>829</v>
      </c>
      <c r="H171" s="25">
        <f t="shared" si="91"/>
        <v>3.6319612590799033E-3</v>
      </c>
      <c r="I171" s="93">
        <f>IF(ISNUMBER(G171), $B172 * H171, "")</f>
        <v>544.7941888619855</v>
      </c>
      <c r="J171" s="24">
        <v>828</v>
      </c>
      <c r="K171" s="25">
        <f t="shared" si="92"/>
        <v>2.4213075060532689E-3</v>
      </c>
      <c r="L171" s="94">
        <f>IF(ISNUMBER(J171), $B172 * K171, "")</f>
        <v>363.19612590799034</v>
      </c>
      <c r="M171" s="92">
        <v>810</v>
      </c>
      <c r="N171" s="25">
        <f t="shared" si="93"/>
        <v>-1.9370460048426151E-2</v>
      </c>
      <c r="O171" s="94">
        <f>IF(ISNUMBER(M171), $B172 * N171, "")</f>
        <v>-2905.5690072639227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-7.4565273560724867E-3</v>
      </c>
      <c r="F172" s="28">
        <f>SUM(F152:F171)</f>
        <v>-22369.582068217467</v>
      </c>
      <c r="G172" s="26" t="s">
        <v>261</v>
      </c>
      <c r="H172" s="27">
        <f>IF(COUNT(H152:H171), SUM(H152:H171) / COUNT(H152:H171), 0)</f>
        <v>-3.7733414274780178E-2</v>
      </c>
      <c r="I172" s="28">
        <f>SUM(I152:I171)</f>
        <v>-113200.24282434054</v>
      </c>
      <c r="J172" s="26" t="s">
        <v>261</v>
      </c>
      <c r="K172" s="27">
        <f>IF(COUNT(K152:K171), SUM(K152:K171) / COUNT(K152:K171), 0)</f>
        <v>-3.7659136959451681E-2</v>
      </c>
      <c r="L172" s="28">
        <f>SUM(L152:L171)</f>
        <v>-112977.41087835506</v>
      </c>
      <c r="M172" s="26" t="s">
        <v>261</v>
      </c>
      <c r="N172" s="27">
        <f>IF(COUNT(N152:N171), SUM(N152:N171) / COUNT(N152:N171), 0)</f>
        <v>-4.1396645353795405E-2</v>
      </c>
      <c r="O172" s="28">
        <f>SUM(O152:O171)</f>
        <v>-124189.93606138622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2022-12-16(금) 오전 00:00</v>
      </c>
      <c r="C177" s="199"/>
      <c r="D177" s="158" t="str">
        <f>TEXT($G$1, "[$-ko-KR]yyyy-mm-dd(ddd) ") &amp; "오후 14:00"</f>
        <v>2022-12-16(금) 오후 14:00</v>
      </c>
      <c r="E177" s="159"/>
      <c r="F177" s="160"/>
      <c r="G177" s="158" t="str">
        <f>TEXT($G$1, "[$-ko-KR]yyyy-mm-dd(ddd) ") &amp; "오후 19:00"</f>
        <v>2022-12-16(금) 오후 19:00</v>
      </c>
      <c r="H177" s="159"/>
      <c r="I177" s="160"/>
      <c r="J177" s="158" t="str">
        <f>TEXT($G$1, "[$-ko-KR]yyyy-mm-dd(ddd) ") &amp; "오후 21:00"</f>
        <v>2022-12-16(금) 오후 21:00</v>
      </c>
      <c r="K177" s="159"/>
      <c r="L177" s="160"/>
      <c r="M177" s="158" t="str">
        <f>TEXT($G$1+1, "[$-ko-KR]yyyy-mm-dd(ddd) ") &amp; "오전 00:00"</f>
        <v>2022-12-17(토)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181</v>
      </c>
      <c r="B179" s="108">
        <v>4.71</v>
      </c>
      <c r="C179" s="69">
        <v>-1.8749999999999999E-2</v>
      </c>
      <c r="D179" s="13">
        <v>4.66</v>
      </c>
      <c r="E179" s="14">
        <f>IF(ISNUMBER(D179), (D179 - $B179) / $B179, "")</f>
        <v>-1.0615711252653891E-2</v>
      </c>
      <c r="F179" s="16">
        <f>IF(ISNUMBER(D179), $B199 * E179, "")</f>
        <v>-1592.3566878980837</v>
      </c>
      <c r="G179" s="29">
        <v>4.53</v>
      </c>
      <c r="H179" s="14">
        <f>IF(ISNUMBER(G179), (G179 - $B179) / $B179, "")</f>
        <v>-3.8216560509554083E-2</v>
      </c>
      <c r="I179" s="90">
        <f>IF(ISNUMBER(G179), $B199 * H179, "")</f>
        <v>-5732.484076433112</v>
      </c>
      <c r="J179" s="13">
        <v>4.53</v>
      </c>
      <c r="K179" s="14">
        <f>IF(ISNUMBER(J179), (J179 - $B179) / $B179, "")</f>
        <v>-3.8216560509554083E-2</v>
      </c>
      <c r="L179" s="16">
        <f>IF(ISNUMBER(J179), $B199 * K179, "")</f>
        <v>-5732.484076433112</v>
      </c>
      <c r="M179" s="29">
        <v>4.58</v>
      </c>
      <c r="N179" s="14">
        <f>IF(ISNUMBER(M179), (M179 - $B179) / $B179, "")</f>
        <v>-2.7600849256900189E-2</v>
      </c>
      <c r="O179" s="16">
        <f>IF(ISNUMBER(M179), $B199 * N179, "")</f>
        <v>-4140.1273885350283</v>
      </c>
      <c r="Q179" s="156"/>
      <c r="R179" s="156"/>
      <c r="S179" s="156"/>
    </row>
    <row r="180" spans="1:19" ht="17.25" thickBot="1">
      <c r="A180" s="109" t="s">
        <v>208</v>
      </c>
      <c r="B180" s="110">
        <v>102</v>
      </c>
      <c r="C180" s="70">
        <v>-1.9230769200000001E-2</v>
      </c>
      <c r="D180" s="15">
        <v>103</v>
      </c>
      <c r="E180" s="32">
        <f t="shared" ref="E180:E183" si="94">IF(ISNUMBER(D180), (D180 - $B180) / $B180, "")</f>
        <v>9.8039215686274508E-3</v>
      </c>
      <c r="F180" s="18">
        <f>IF(ISNUMBER(D180), $B199 * E180, "")</f>
        <v>1470.5882352941176</v>
      </c>
      <c r="G180" s="31">
        <v>99.1</v>
      </c>
      <c r="H180" s="32">
        <f t="shared" ref="H180:H183" si="95">IF(ISNUMBER(G180), (G180 - $B180) / $B180, "")</f>
        <v>-2.8431372549019663E-2</v>
      </c>
      <c r="I180" s="91">
        <f>IF(ISNUMBER(G180), $B199 * H180, "")</f>
        <v>-4264.7058823529496</v>
      </c>
      <c r="J180" s="15">
        <v>99.2</v>
      </c>
      <c r="K180" s="32">
        <f t="shared" ref="K180:K183" si="96">IF(ISNUMBER(J180), (J180 - $B180) / $B180, "")</f>
        <v>-2.7450980392156835E-2</v>
      </c>
      <c r="L180" s="18">
        <f>IF(ISNUMBER(J180), $B199 * K180, "")</f>
        <v>-4117.6470588235252</v>
      </c>
      <c r="M180" s="31">
        <v>99.3</v>
      </c>
      <c r="N180" s="32">
        <f t="shared" ref="N180:N183" si="97">IF(ISNUMBER(M180), (M180 - $B180) / $B180, "")</f>
        <v>-2.6470588235294145E-2</v>
      </c>
      <c r="O180" s="18">
        <f>IF(ISNUMBER(M180), $B199 * N180, "")</f>
        <v>-3970.5882352941217</v>
      </c>
      <c r="Q180" s="156"/>
      <c r="R180" s="156"/>
      <c r="S180" s="156"/>
    </row>
    <row r="181" spans="1:19" ht="17.25" thickBot="1">
      <c r="A181" s="109" t="s">
        <v>62</v>
      </c>
      <c r="B181" s="110">
        <v>10160</v>
      </c>
      <c r="C181" s="70">
        <v>-1.93050193E-2</v>
      </c>
      <c r="D181" s="15">
        <v>9775</v>
      </c>
      <c r="E181" s="32">
        <f t="shared" si="94"/>
        <v>-3.7893700787401577E-2</v>
      </c>
      <c r="F181" s="18">
        <f>IF(ISNUMBER(D181), $B199 * E181, "")</f>
        <v>-5684.0551181102364</v>
      </c>
      <c r="G181" s="31">
        <v>9610</v>
      </c>
      <c r="H181" s="32">
        <f t="shared" si="95"/>
        <v>-5.4133858267716536E-2</v>
      </c>
      <c r="I181" s="91">
        <f>IF(ISNUMBER(G181), $B199 * H181, "")</f>
        <v>-8120.0787401574808</v>
      </c>
      <c r="J181" s="15">
        <v>9600</v>
      </c>
      <c r="K181" s="32">
        <f t="shared" si="96"/>
        <v>-5.5118110236220472E-2</v>
      </c>
      <c r="L181" s="18">
        <f>IF(ISNUMBER(J181), $B199 * K181, "")</f>
        <v>-8267.71653543307</v>
      </c>
      <c r="M181" s="31">
        <v>9550</v>
      </c>
      <c r="N181" s="32">
        <f t="shared" si="97"/>
        <v>-6.0039370078740155E-2</v>
      </c>
      <c r="O181" s="18">
        <f>IF(ISNUMBER(M181), $B199 * N181, "")</f>
        <v>-9005.9055118110227</v>
      </c>
      <c r="Q181" s="161"/>
      <c r="R181" s="161"/>
      <c r="S181" s="161"/>
    </row>
    <row r="182" spans="1:19" ht="17.25" thickBot="1">
      <c r="A182" s="109" t="s">
        <v>242</v>
      </c>
      <c r="B182" s="110">
        <v>450</v>
      </c>
      <c r="C182" s="70">
        <v>-1.9607843100000001E-2</v>
      </c>
      <c r="D182" s="15">
        <v>446</v>
      </c>
      <c r="E182" s="32">
        <f t="shared" si="94"/>
        <v>-8.8888888888888889E-3</v>
      </c>
      <c r="F182" s="18">
        <f>IF(ISNUMBER(D182), $B199 * E182, "")</f>
        <v>-1333.3333333333333</v>
      </c>
      <c r="G182" s="31">
        <v>438</v>
      </c>
      <c r="H182" s="32">
        <f t="shared" si="95"/>
        <v>-2.6666666666666668E-2</v>
      </c>
      <c r="I182" s="91">
        <f>IF(ISNUMBER(G182), $B199 * H182, "")</f>
        <v>-4000.0000000000005</v>
      </c>
      <c r="J182" s="15">
        <v>438</v>
      </c>
      <c r="K182" s="32">
        <f t="shared" si="96"/>
        <v>-2.6666666666666668E-2</v>
      </c>
      <c r="L182" s="18">
        <f>IF(ISNUMBER(J182), $B199 * K182, "")</f>
        <v>-4000.0000000000005</v>
      </c>
      <c r="M182" s="31">
        <v>440</v>
      </c>
      <c r="N182" s="32">
        <f t="shared" si="97"/>
        <v>-2.2222222222222223E-2</v>
      </c>
      <c r="O182" s="18">
        <f>IF(ISNUMBER(M182), $B199 * N182, "")</f>
        <v>-3333.3333333333335</v>
      </c>
      <c r="Q182" s="161"/>
      <c r="R182" s="161"/>
      <c r="S182" s="161"/>
    </row>
    <row r="183" spans="1:19" ht="17.25" thickBot="1">
      <c r="A183" s="111" t="s">
        <v>167</v>
      </c>
      <c r="B183" s="112">
        <v>191</v>
      </c>
      <c r="C183" s="71">
        <v>-2.0512820500000001E-2</v>
      </c>
      <c r="D183" s="20">
        <v>190</v>
      </c>
      <c r="E183" s="21">
        <f t="shared" si="94"/>
        <v>-5.235602094240838E-3</v>
      </c>
      <c r="F183" s="22">
        <f>IF(ISNUMBER(D183), $B199 * E183, "")</f>
        <v>-785.3403141361257</v>
      </c>
      <c r="G183" s="30">
        <v>186</v>
      </c>
      <c r="H183" s="21">
        <f t="shared" si="95"/>
        <v>-2.6178010471204188E-2</v>
      </c>
      <c r="I183" s="95">
        <f>IF(ISNUMBER(G183), $B199 * H183, "")</f>
        <v>-3926.7015706806283</v>
      </c>
      <c r="J183" s="20">
        <v>186</v>
      </c>
      <c r="K183" s="21">
        <f t="shared" si="96"/>
        <v>-2.6178010471204188E-2</v>
      </c>
      <c r="L183" s="22">
        <f>IF(ISNUMBER(J183), $B199 * K183, "")</f>
        <v>-3926.7015706806283</v>
      </c>
      <c r="M183" s="30">
        <v>184</v>
      </c>
      <c r="N183" s="21">
        <f t="shared" si="97"/>
        <v>-3.6649214659685861E-2</v>
      </c>
      <c r="O183" s="22">
        <f>IF(ISNUMBER(M183), $B199 * N183, "")</f>
        <v>-5497.3821989528788</v>
      </c>
      <c r="Q183" s="161"/>
      <c r="R183" s="161"/>
      <c r="S183" s="161"/>
    </row>
    <row r="184" spans="1:19" ht="17.25" thickBot="1">
      <c r="A184" s="109" t="s">
        <v>352</v>
      </c>
      <c r="B184" s="113">
        <v>238</v>
      </c>
      <c r="C184" s="73">
        <v>-2.05761317E-2</v>
      </c>
      <c r="D184" s="96">
        <v>234</v>
      </c>
      <c r="E184" s="97">
        <f>IF(ISNUMBER(D184), (D184 - $B184) / $B184, "")</f>
        <v>-1.680672268907563E-2</v>
      </c>
      <c r="F184" s="98">
        <f>IF(ISNUMBER(D184), $B199 * E184, "")</f>
        <v>-2521.0084033613443</v>
      </c>
      <c r="G184" s="99">
        <v>223</v>
      </c>
      <c r="H184" s="97">
        <f>IF(ISNUMBER(G184), (G184 - $B184) / $B184, "")</f>
        <v>-6.3025210084033612E-2</v>
      </c>
      <c r="I184" s="100">
        <f>IF(ISNUMBER(G184), $B199 * H184, "")</f>
        <v>-9453.7815126050409</v>
      </c>
      <c r="J184" s="96">
        <v>222</v>
      </c>
      <c r="K184" s="97">
        <f>IF(ISNUMBER(J184), (J184 - $B184) / $B184, "")</f>
        <v>-6.7226890756302518E-2</v>
      </c>
      <c r="L184" s="98">
        <f>IF(ISNUMBER(J184), $B199 * K184, "")</f>
        <v>-10084.033613445377</v>
      </c>
      <c r="M184" s="99">
        <v>221</v>
      </c>
      <c r="N184" s="97">
        <f>IF(ISNUMBER(M184), (M184 - $B184) / $B184, "")</f>
        <v>-7.1428571428571425E-2</v>
      </c>
      <c r="O184" s="98">
        <f>IF(ISNUMBER(M184), $B199 * N184, "")</f>
        <v>-10714.285714285714</v>
      </c>
      <c r="Q184" s="161"/>
      <c r="R184" s="161"/>
      <c r="S184" s="161"/>
    </row>
    <row r="185" spans="1:19" ht="17.25" thickBot="1">
      <c r="A185" s="109" t="s">
        <v>210</v>
      </c>
      <c r="B185" s="110">
        <v>66.599999999999994</v>
      </c>
      <c r="C185" s="70">
        <v>-2.05882353E-2</v>
      </c>
      <c r="D185" s="15">
        <v>66.599999999999994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64.8</v>
      </c>
      <c r="H185" s="32">
        <f t="shared" ref="H185:H188" si="99">IF(ISNUMBER(G185), (G185 - $B185) / $B185, "")</f>
        <v>-2.7027027027026987E-2</v>
      </c>
      <c r="I185" s="91">
        <f>IF(ISNUMBER(G185), $B199 * H185, "")</f>
        <v>-4054.0540540540478</v>
      </c>
      <c r="J185" s="15">
        <v>64.8</v>
      </c>
      <c r="K185" s="32">
        <f t="shared" ref="K185:K188" si="100">IF(ISNUMBER(J185), (J185 - $B185) / $B185, "")</f>
        <v>-2.7027027027026987E-2</v>
      </c>
      <c r="L185" s="18">
        <f>IF(ISNUMBER(J185), $B199 * K185, "")</f>
        <v>-4054.0540540540478</v>
      </c>
      <c r="M185" s="31">
        <v>65.099999999999994</v>
      </c>
      <c r="N185" s="32">
        <f t="shared" ref="N185:N188" si="101">IF(ISNUMBER(M185), (M185 - $B185) / $B185, "")</f>
        <v>-2.2522522522522525E-2</v>
      </c>
      <c r="O185" s="18">
        <f>IF(ISNUMBER(M185), $B199 * N185, "")</f>
        <v>-3378.3783783783788</v>
      </c>
      <c r="Q185" s="161"/>
      <c r="R185" s="161"/>
      <c r="S185" s="161"/>
    </row>
    <row r="186" spans="1:19" ht="17.25" thickBot="1">
      <c r="A186" s="109" t="s">
        <v>124</v>
      </c>
      <c r="B186" s="110">
        <v>32</v>
      </c>
      <c r="C186" s="70">
        <v>-2.1406727800000001E-2</v>
      </c>
      <c r="D186" s="15">
        <v>31.9</v>
      </c>
      <c r="E186" s="32">
        <f t="shared" si="98"/>
        <v>-3.1250000000000444E-3</v>
      </c>
      <c r="F186" s="18">
        <f>IF(ISNUMBER(D186), $B199 * E186, "")</f>
        <v>-468.75000000000665</v>
      </c>
      <c r="G186" s="31">
        <v>31.3</v>
      </c>
      <c r="H186" s="32">
        <f t="shared" si="99"/>
        <v>-2.1874999999999978E-2</v>
      </c>
      <c r="I186" s="91">
        <f>IF(ISNUMBER(G186), $B199 * H186, "")</f>
        <v>-3281.2499999999968</v>
      </c>
      <c r="J186" s="15">
        <v>31.2</v>
      </c>
      <c r="K186" s="32">
        <f t="shared" si="100"/>
        <v>-2.5000000000000022E-2</v>
      </c>
      <c r="L186" s="18">
        <f>IF(ISNUMBER(J186), $B199 * K186, "")</f>
        <v>-3750.0000000000032</v>
      </c>
      <c r="M186" s="31">
        <v>31.4</v>
      </c>
      <c r="N186" s="32">
        <f t="shared" si="101"/>
        <v>-1.8750000000000044E-2</v>
      </c>
      <c r="O186" s="18">
        <f>IF(ISNUMBER(M186), $B199 * N186, "")</f>
        <v>-2812.5000000000068</v>
      </c>
      <c r="Q186" s="161"/>
      <c r="R186" s="161"/>
      <c r="S186" s="161"/>
    </row>
    <row r="187" spans="1:19" ht="17.25" thickBot="1">
      <c r="A187" s="109" t="s">
        <v>234</v>
      </c>
      <c r="B187" s="110">
        <v>398</v>
      </c>
      <c r="C187" s="70">
        <v>-2.2113022100000001E-2</v>
      </c>
      <c r="D187" s="15">
        <v>391</v>
      </c>
      <c r="E187" s="32">
        <f t="shared" si="98"/>
        <v>-1.7587939698492462E-2</v>
      </c>
      <c r="F187" s="18">
        <f>IF(ISNUMBER(D187), $B199 * E187, "")</f>
        <v>-2638.1909547738692</v>
      </c>
      <c r="G187" s="31">
        <v>380</v>
      </c>
      <c r="H187" s="32">
        <f t="shared" si="99"/>
        <v>-4.5226130653266333E-2</v>
      </c>
      <c r="I187" s="91">
        <f>IF(ISNUMBER(G187), $B199 * H187, "")</f>
        <v>-6783.9195979899496</v>
      </c>
      <c r="J187" s="15">
        <v>378</v>
      </c>
      <c r="K187" s="32">
        <f t="shared" si="100"/>
        <v>-5.0251256281407038E-2</v>
      </c>
      <c r="L187" s="18">
        <f>IF(ISNUMBER(J187), $B199 * K187, "")</f>
        <v>-7537.6884422110561</v>
      </c>
      <c r="M187" s="31">
        <v>379</v>
      </c>
      <c r="N187" s="32">
        <f t="shared" si="101"/>
        <v>-4.7738693467336682E-2</v>
      </c>
      <c r="O187" s="18">
        <f>IF(ISNUMBER(M187), $B199 * N187, "")</f>
        <v>-7160.8040201005024</v>
      </c>
      <c r="Q187" s="33"/>
      <c r="R187" s="33"/>
    </row>
    <row r="188" spans="1:19" ht="17.25" thickBot="1">
      <c r="A188" s="114" t="s">
        <v>136</v>
      </c>
      <c r="B188" s="115">
        <v>2970</v>
      </c>
      <c r="C188" s="72">
        <v>-2.3026315799999999E-2</v>
      </c>
      <c r="D188" s="24">
        <v>2935</v>
      </c>
      <c r="E188" s="25">
        <f t="shared" si="98"/>
        <v>-1.1784511784511785E-2</v>
      </c>
      <c r="F188" s="94">
        <f>IF(ISNUMBER(D188), $B199 * E188, "")</f>
        <v>-1767.6767676767677</v>
      </c>
      <c r="G188" s="92">
        <v>2895</v>
      </c>
      <c r="H188" s="25">
        <f t="shared" si="99"/>
        <v>-2.5252525252525252E-2</v>
      </c>
      <c r="I188" s="93">
        <f>IF(ISNUMBER(G188), $B199 * H188, "")</f>
        <v>-3787.878787878788</v>
      </c>
      <c r="J188" s="24">
        <v>2890</v>
      </c>
      <c r="K188" s="25">
        <f t="shared" si="100"/>
        <v>-2.6936026936026935E-2</v>
      </c>
      <c r="L188" s="94">
        <f>IF(ISNUMBER(J188), $B199 * K188, "")</f>
        <v>-4040.4040404040402</v>
      </c>
      <c r="M188" s="92">
        <v>2875</v>
      </c>
      <c r="N188" s="25">
        <f t="shared" si="101"/>
        <v>-3.1986531986531987E-2</v>
      </c>
      <c r="O188" s="94">
        <f>IF(ISNUMBER(M188), $B199 * N188, "")</f>
        <v>-4797.9797979797977</v>
      </c>
      <c r="Q188" s="170"/>
      <c r="R188" s="171"/>
      <c r="S188" s="172"/>
    </row>
    <row r="189" spans="1:19">
      <c r="A189" s="107" t="s">
        <v>68</v>
      </c>
      <c r="B189" s="108">
        <v>318</v>
      </c>
      <c r="C189" s="69">
        <v>-2.4539877299999999E-2</v>
      </c>
      <c r="D189" s="13">
        <v>313</v>
      </c>
      <c r="E189" s="14">
        <f>IF(ISNUMBER(D189), (D189 - $B189) / $B189, "")</f>
        <v>-1.5723270440251572E-2</v>
      </c>
      <c r="F189" s="16">
        <f>IF(ISNUMBER(D189), $B199 * E189, "")</f>
        <v>-2358.4905660377358</v>
      </c>
      <c r="G189" s="29">
        <v>306</v>
      </c>
      <c r="H189" s="14">
        <f>IF(ISNUMBER(G189), (G189 - $B189) / $B189, "")</f>
        <v>-3.7735849056603772E-2</v>
      </c>
      <c r="I189" s="90">
        <f>IF(ISNUMBER(G189), $B199 * H189, "")</f>
        <v>-5660.3773584905657</v>
      </c>
      <c r="J189" s="13">
        <v>308</v>
      </c>
      <c r="K189" s="14">
        <f>IF(ISNUMBER(J189), (J189 - $B189) / $B189, "")</f>
        <v>-3.1446540880503145E-2</v>
      </c>
      <c r="L189" s="16">
        <f>IF(ISNUMBER(J189), $B199 * K189, "")</f>
        <v>-4716.9811320754716</v>
      </c>
      <c r="M189" s="29">
        <v>303</v>
      </c>
      <c r="N189" s="14">
        <f>IF(ISNUMBER(M189), (M189 - $B189) / $B189, "")</f>
        <v>-4.716981132075472E-2</v>
      </c>
      <c r="O189" s="16">
        <f>IF(ISNUMBER(M189), $B199 * N189, "")</f>
        <v>-7075.4716981132078</v>
      </c>
      <c r="Q189" s="173"/>
      <c r="R189" s="174"/>
      <c r="S189" s="175"/>
    </row>
    <row r="190" spans="1:19" ht="17.25" thickBot="1">
      <c r="A190" s="109" t="s">
        <v>153</v>
      </c>
      <c r="B190" s="110">
        <v>426</v>
      </c>
      <c r="C190" s="70">
        <v>-2.5171624699999999E-2</v>
      </c>
      <c r="D190" s="15">
        <v>416</v>
      </c>
      <c r="E190" s="32">
        <f t="shared" ref="E190:E193" si="102">IF(ISNUMBER(D190), (D190 - $B190) / $B190, "")</f>
        <v>-2.3474178403755867E-2</v>
      </c>
      <c r="F190" s="18">
        <f>IF(ISNUMBER(D190), $B199 * E190, "")</f>
        <v>-3521.1267605633802</v>
      </c>
      <c r="G190" s="31">
        <v>399</v>
      </c>
      <c r="H190" s="32">
        <f t="shared" ref="H190:H193" si="103">IF(ISNUMBER(G190), (G190 - $B190) / $B190, "")</f>
        <v>-6.3380281690140844E-2</v>
      </c>
      <c r="I190" s="91">
        <f>IF(ISNUMBER(G190), $B199 * H190, "")</f>
        <v>-9507.0422535211273</v>
      </c>
      <c r="J190" s="15">
        <v>400</v>
      </c>
      <c r="K190" s="32">
        <f t="shared" ref="K190:K193" si="104">IF(ISNUMBER(J190), (J190 - $B190) / $B190, "")</f>
        <v>-6.1032863849765258E-2</v>
      </c>
      <c r="L190" s="18">
        <f>IF(ISNUMBER(J190), $B199 * K190, "")</f>
        <v>-9154.929577464789</v>
      </c>
      <c r="M190" s="31">
        <v>403</v>
      </c>
      <c r="N190" s="32">
        <f t="shared" ref="N190:N193" si="105">IF(ISNUMBER(M190), (M190 - $B190) / $B190, "")</f>
        <v>-5.39906103286385E-2</v>
      </c>
      <c r="O190" s="18">
        <f>IF(ISNUMBER(M190), $B199 * N190, "")</f>
        <v>-8098.5915492957747</v>
      </c>
      <c r="Q190" s="176"/>
      <c r="R190" s="177"/>
      <c r="S190" s="178"/>
    </row>
    <row r="191" spans="1:19" ht="17.25" thickBot="1">
      <c r="A191" s="109" t="s">
        <v>350</v>
      </c>
      <c r="B191" s="110">
        <v>7.3</v>
      </c>
      <c r="C191" s="70">
        <v>-3.1830238699999999E-2</v>
      </c>
      <c r="D191" s="15">
        <v>7.14</v>
      </c>
      <c r="E191" s="32">
        <f t="shared" si="102"/>
        <v>-2.1917808219178103E-2</v>
      </c>
      <c r="F191" s="18">
        <f>IF(ISNUMBER(D191), $B199 * E191, "")</f>
        <v>-3287.6712328767153</v>
      </c>
      <c r="G191" s="31">
        <v>6.97</v>
      </c>
      <c r="H191" s="32">
        <f t="shared" si="103"/>
        <v>-4.5205479452054803E-2</v>
      </c>
      <c r="I191" s="91">
        <f>IF(ISNUMBER(G191), $B199 * H191, "")</f>
        <v>-6780.8219178082209</v>
      </c>
      <c r="J191" s="15">
        <v>6.98</v>
      </c>
      <c r="K191" s="32">
        <f t="shared" si="104"/>
        <v>-4.3835616438356081E-2</v>
      </c>
      <c r="L191" s="18">
        <f>IF(ISNUMBER(J191), $B199 * K191, "")</f>
        <v>-6575.3424657534124</v>
      </c>
      <c r="M191" s="31">
        <v>6.92</v>
      </c>
      <c r="N191" s="32">
        <f t="shared" si="105"/>
        <v>-5.2054794520547933E-2</v>
      </c>
      <c r="O191" s="18">
        <f>IF(ISNUMBER(M191), $B199 * N191, "")</f>
        <v>-7808.2191780821895</v>
      </c>
      <c r="Q191" s="161"/>
      <c r="R191" s="161"/>
      <c r="S191" s="161"/>
    </row>
    <row r="192" spans="1:19" ht="17.25" thickBot="1">
      <c r="A192" s="109" t="s">
        <v>163</v>
      </c>
      <c r="B192" s="110">
        <v>7095</v>
      </c>
      <c r="C192" s="70">
        <v>-3.2060027300000002E-2</v>
      </c>
      <c r="D192" s="15">
        <v>7060</v>
      </c>
      <c r="E192" s="32">
        <f t="shared" si="102"/>
        <v>-4.9330514446793514E-3</v>
      </c>
      <c r="F192" s="18">
        <f>IF(ISNUMBER(D192), $B199 * E192, "")</f>
        <v>-739.95771670190277</v>
      </c>
      <c r="G192" s="31">
        <v>6775</v>
      </c>
      <c r="H192" s="32">
        <f t="shared" si="103"/>
        <v>-4.510218463706836E-2</v>
      </c>
      <c r="I192" s="91">
        <f>IF(ISNUMBER(G192), $B199 * H192, "")</f>
        <v>-6765.3276955602541</v>
      </c>
      <c r="J192" s="15">
        <v>6765</v>
      </c>
      <c r="K192" s="32">
        <f t="shared" si="104"/>
        <v>-4.6511627906976744E-2</v>
      </c>
      <c r="L192" s="18">
        <f>IF(ISNUMBER(J192), $B199 * K192, "")</f>
        <v>-6976.7441860465115</v>
      </c>
      <c r="M192" s="31">
        <v>6815</v>
      </c>
      <c r="N192" s="32">
        <f t="shared" si="105"/>
        <v>-3.9464411557434811E-2</v>
      </c>
      <c r="O192" s="18">
        <f>IF(ISNUMBER(M192), $B199 * N192, "")</f>
        <v>-5919.6617336152221</v>
      </c>
      <c r="Q192" s="156"/>
      <c r="R192" s="156"/>
      <c r="S192" s="156"/>
    </row>
    <row r="193" spans="1:19" ht="17.25" thickBot="1">
      <c r="A193" s="111" t="s">
        <v>161</v>
      </c>
      <c r="B193" s="112">
        <v>350</v>
      </c>
      <c r="C193" s="71">
        <v>-3.3149171300000002E-2</v>
      </c>
      <c r="D193" s="20">
        <v>355</v>
      </c>
      <c r="E193" s="21">
        <f t="shared" si="102"/>
        <v>1.4285714285714285E-2</v>
      </c>
      <c r="F193" s="22">
        <f>IF(ISNUMBER(D193), $B199 * E193, "")</f>
        <v>2142.8571428571427</v>
      </c>
      <c r="G193" s="30">
        <v>354</v>
      </c>
      <c r="H193" s="21">
        <f t="shared" si="103"/>
        <v>1.1428571428571429E-2</v>
      </c>
      <c r="I193" s="95">
        <f>IF(ISNUMBER(G193), $B199 * H193, "")</f>
        <v>1714.2857142857142</v>
      </c>
      <c r="J193" s="20">
        <v>353</v>
      </c>
      <c r="K193" s="21">
        <f t="shared" si="104"/>
        <v>8.5714285714285719E-3</v>
      </c>
      <c r="L193" s="22">
        <f>IF(ISNUMBER(J193), $B199 * K193, "")</f>
        <v>1285.7142857142858</v>
      </c>
      <c r="M193" s="30">
        <v>343</v>
      </c>
      <c r="N193" s="21">
        <f t="shared" si="105"/>
        <v>-0.02</v>
      </c>
      <c r="O193" s="22">
        <f>IF(ISNUMBER(M193), $B199 * N193, "")</f>
        <v>-3000</v>
      </c>
      <c r="Q193" s="156"/>
      <c r="R193" s="156"/>
      <c r="S193" s="156"/>
    </row>
    <row r="194" spans="1:19" ht="17.25" thickBot="1">
      <c r="A194" s="109" t="s">
        <v>176</v>
      </c>
      <c r="B194" s="113">
        <v>335</v>
      </c>
      <c r="C194" s="73">
        <v>-3.4582132600000003E-2</v>
      </c>
      <c r="D194" s="96">
        <v>335</v>
      </c>
      <c r="E194" s="97">
        <f>IF(ISNUMBER(D194), (D194 - $B194) / $B194, "")</f>
        <v>0</v>
      </c>
      <c r="F194" s="98">
        <f>IF(ISNUMBER(D194), $B199 * E194, "")</f>
        <v>0</v>
      </c>
      <c r="G194" s="99">
        <v>323</v>
      </c>
      <c r="H194" s="97">
        <f>IF(ISNUMBER(G194), (G194 - $B194) / $B194, "")</f>
        <v>-3.5820895522388062E-2</v>
      </c>
      <c r="I194" s="100">
        <f>IF(ISNUMBER(G194), $B199 * H194, "")</f>
        <v>-5373.1343283582091</v>
      </c>
      <c r="J194" s="96">
        <v>322</v>
      </c>
      <c r="K194" s="97">
        <f>IF(ISNUMBER(J194), (J194 - $B194) / $B194, "")</f>
        <v>-3.880597014925373E-2</v>
      </c>
      <c r="L194" s="98">
        <f>IF(ISNUMBER(J194), $B199 * K194, "")</f>
        <v>-5820.8955223880594</v>
      </c>
      <c r="M194" s="99">
        <v>322</v>
      </c>
      <c r="N194" s="97">
        <f>IF(ISNUMBER(M194), (M194 - $B194) / $B194, "")</f>
        <v>-3.880597014925373E-2</v>
      </c>
      <c r="O194" s="98">
        <f>IF(ISNUMBER(M194), $B199 * N194, "")</f>
        <v>-5820.8955223880594</v>
      </c>
      <c r="Q194" s="161"/>
      <c r="R194" s="161"/>
      <c r="S194" s="161"/>
    </row>
    <row r="195" spans="1:19" ht="17.25" thickBot="1">
      <c r="A195" s="109" t="s">
        <v>116</v>
      </c>
      <c r="B195" s="110">
        <v>1095</v>
      </c>
      <c r="C195" s="70">
        <v>-3.9473684199999998E-2</v>
      </c>
      <c r="D195" s="15">
        <v>1085</v>
      </c>
      <c r="E195" s="32">
        <f t="shared" ref="E195:E198" si="106">IF(ISNUMBER(D195), (D195 - $B195) / $B195, "")</f>
        <v>-9.1324200913242004E-3</v>
      </c>
      <c r="F195" s="18">
        <f>IF(ISNUMBER(D195), $B199 * E195, "")</f>
        <v>-1369.8630136986301</v>
      </c>
      <c r="G195" s="31">
        <v>1055</v>
      </c>
      <c r="H195" s="32">
        <f t="shared" ref="H195:H198" si="107">IF(ISNUMBER(G195), (G195 - $B195) / $B195, "")</f>
        <v>-3.6529680365296802E-2</v>
      </c>
      <c r="I195" s="91">
        <f>IF(ISNUMBER(G195), $B199 * H195, "")</f>
        <v>-5479.4520547945203</v>
      </c>
      <c r="J195" s="15">
        <v>1060</v>
      </c>
      <c r="K195" s="32">
        <f t="shared" ref="K195:K198" si="108">IF(ISNUMBER(J195), (J195 - $B195) / $B195, "")</f>
        <v>-3.1963470319634701E-2</v>
      </c>
      <c r="L195" s="18">
        <f>IF(ISNUMBER(J195), $B199 * K195, "")</f>
        <v>-4794.5205479452052</v>
      </c>
      <c r="M195" s="31">
        <v>1055</v>
      </c>
      <c r="N195" s="32">
        <f t="shared" ref="N195:N198" si="109">IF(ISNUMBER(M195), (M195 - $B195) / $B195, "")</f>
        <v>-3.6529680365296802E-2</v>
      </c>
      <c r="O195" s="18">
        <f>IF(ISNUMBER(M195), $B199 * N195, "")</f>
        <v>-5479.4520547945203</v>
      </c>
      <c r="Q195" s="161"/>
      <c r="R195" s="161"/>
      <c r="S195" s="161"/>
    </row>
    <row r="196" spans="1:19" ht="17.25" thickBot="1">
      <c r="A196" s="109" t="s">
        <v>187</v>
      </c>
      <c r="B196" s="110">
        <v>826</v>
      </c>
      <c r="C196" s="70">
        <v>-4.2873696400000001E-2</v>
      </c>
      <c r="D196" s="15">
        <v>845</v>
      </c>
      <c r="E196" s="32">
        <f t="shared" si="106"/>
        <v>2.3002421307506054E-2</v>
      </c>
      <c r="F196" s="18">
        <f>IF(ISNUMBER(D196), $B199 * E196, "")</f>
        <v>3450.363196125908</v>
      </c>
      <c r="G196" s="31">
        <v>829</v>
      </c>
      <c r="H196" s="32">
        <f t="shared" si="107"/>
        <v>3.6319612590799033E-3</v>
      </c>
      <c r="I196" s="91">
        <f>IF(ISNUMBER(G196), $B199 * H196, "")</f>
        <v>544.7941888619855</v>
      </c>
      <c r="J196" s="15">
        <v>828</v>
      </c>
      <c r="K196" s="32">
        <f t="shared" si="108"/>
        <v>2.4213075060532689E-3</v>
      </c>
      <c r="L196" s="18">
        <f>IF(ISNUMBER(J196), $B199 * K196, "")</f>
        <v>363.19612590799034</v>
      </c>
      <c r="M196" s="31">
        <v>810</v>
      </c>
      <c r="N196" s="32">
        <f t="shared" si="109"/>
        <v>-1.9370460048426151E-2</v>
      </c>
      <c r="O196" s="18">
        <f>IF(ISNUMBER(M196), $B199 * N196, "")</f>
        <v>-2905.5690072639227</v>
      </c>
      <c r="Q196" s="161"/>
      <c r="R196" s="161"/>
      <c r="S196" s="161"/>
    </row>
    <row r="197" spans="1:19">
      <c r="A197" s="109" t="s">
        <v>141</v>
      </c>
      <c r="B197" s="110">
        <v>3.58</v>
      </c>
      <c r="C197" s="70">
        <v>-4.53333333E-2</v>
      </c>
      <c r="D197" s="15">
        <v>3.51</v>
      </c>
      <c r="E197" s="32">
        <f t="shared" si="106"/>
        <v>-1.9553072625698404E-2</v>
      </c>
      <c r="F197" s="18">
        <f>IF(ISNUMBER(D197), $B199 * E197, "")</f>
        <v>-2932.9608938547608</v>
      </c>
      <c r="G197" s="31">
        <v>3.43</v>
      </c>
      <c r="H197" s="32">
        <f t="shared" si="107"/>
        <v>-4.18994413407821E-2</v>
      </c>
      <c r="I197" s="91">
        <f>IF(ISNUMBER(G197), $B199 * H197, "")</f>
        <v>-6284.9162011173148</v>
      </c>
      <c r="J197" s="15">
        <v>3.44</v>
      </c>
      <c r="K197" s="32">
        <f t="shared" si="108"/>
        <v>-3.9106145251396683E-2</v>
      </c>
      <c r="L197" s="18">
        <f>IF(ISNUMBER(J197), $B199 * K197, "")</f>
        <v>-5865.9217877095025</v>
      </c>
      <c r="M197" s="31">
        <v>3.42</v>
      </c>
      <c r="N197" s="32">
        <f t="shared" si="109"/>
        <v>-4.4692737430167634E-2</v>
      </c>
      <c r="O197" s="18">
        <f>IF(ISNUMBER(M197), $B199 * N197, "")</f>
        <v>-6703.9106145251453</v>
      </c>
      <c r="Q197" s="183"/>
      <c r="R197" s="184"/>
      <c r="S197" s="185"/>
    </row>
    <row r="198" spans="1:19" ht="17.25" thickBot="1">
      <c r="A198" s="114" t="s">
        <v>97</v>
      </c>
      <c r="B198" s="115">
        <v>8.0000000000000004E-4</v>
      </c>
      <c r="C198" s="72">
        <v>-0.11111111110000001</v>
      </c>
      <c r="D198" s="24">
        <v>8.0000000000000004E-4</v>
      </c>
      <c r="E198" s="25">
        <f t="shared" si="106"/>
        <v>0</v>
      </c>
      <c r="F198" s="94">
        <f>IF(ISNUMBER(D198), $B199 * E198, "")</f>
        <v>0</v>
      </c>
      <c r="G198" s="92">
        <v>8.0000000000000004E-4</v>
      </c>
      <c r="H198" s="25">
        <f t="shared" si="107"/>
        <v>0</v>
      </c>
      <c r="I198" s="93">
        <f>IF(ISNUMBER(G198), $B199 * H198, "")</f>
        <v>0</v>
      </c>
      <c r="J198" s="24">
        <v>8.9999999999999998E-4</v>
      </c>
      <c r="K198" s="25">
        <f t="shared" si="108"/>
        <v>0.12499999999999992</v>
      </c>
      <c r="L198" s="94">
        <f>IF(ISNUMBER(J198), $B199 * K198, "")</f>
        <v>18749.999999999989</v>
      </c>
      <c r="M198" s="92">
        <v>8.9999999999999998E-4</v>
      </c>
      <c r="N198" s="25">
        <f t="shared" si="109"/>
        <v>0.12499999999999992</v>
      </c>
      <c r="O198" s="94">
        <f>IF(ISNUMBER(M198), $B199 * N198, "")</f>
        <v>18749.999999999989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-7.978991062915242E-3</v>
      </c>
      <c r="F199" s="28">
        <f>SUM(F179:F198)</f>
        <v>-23936.973188745724</v>
      </c>
      <c r="G199" s="26" t="s">
        <v>261</v>
      </c>
      <c r="H199" s="27">
        <f>IF(COUNT(H179:H198), SUM(H179:H198) / COUNT(H179:H198), 0)</f>
        <v>-3.2332282042884831E-2</v>
      </c>
      <c r="I199" s="28">
        <f>SUM(I179:I198)</f>
        <v>-96996.846128654521</v>
      </c>
      <c r="J199" s="26" t="s">
        <v>261</v>
      </c>
      <c r="K199" s="27">
        <f>IF(COUNT(K179:K198), SUM(K179:K198) / COUNT(K179:K198), 0)</f>
        <v>-2.6339051399748514E-2</v>
      </c>
      <c r="L199" s="28">
        <f>SUM(L179:L198)</f>
        <v>-79017.154199245546</v>
      </c>
      <c r="M199" s="26" t="s">
        <v>261</v>
      </c>
      <c r="N199" s="27">
        <f>IF(COUNT(N179:N198), SUM(N179:N198) / COUNT(N179:N198), 0)</f>
        <v>-2.9624351978916282E-2</v>
      </c>
      <c r="O199" s="28">
        <f>SUM(O179:O198)</f>
        <v>-88873.055936748846</v>
      </c>
      <c r="Q199" s="189"/>
      <c r="R199" s="190"/>
      <c r="S199" s="19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C48AD-27CF-4D84-BABB-959CD7977384}">
  <sheetPr codeName="Sheet23"/>
  <dimension ref="A1:S199"/>
  <sheetViews>
    <sheetView topLeftCell="A18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44912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-210,134 KRW (-7.00%)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-210,380 KRW (-7.01%)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-226,660 KRW (-7.56%)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-272,374 KRW (-9.08%)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2022-12-17(토) 오전 00:00</v>
      </c>
      <c r="C15" s="202"/>
      <c r="D15" s="158" t="str">
        <f>TEXT($G$1, "[$-ko-KR]yyyy-mm-dd(ddd) ") &amp; "오후 14:00"</f>
        <v>2022-12-17(토) 오후 14:00</v>
      </c>
      <c r="E15" s="159"/>
      <c r="F15" s="160"/>
      <c r="G15" s="158" t="str">
        <f>TEXT($G$1, "[$-ko-KR]yyyy-mm-dd(ddd) ") &amp; "오후 19:00"</f>
        <v>2022-12-17(토) 오후 19:00</v>
      </c>
      <c r="H15" s="159"/>
      <c r="I15" s="160"/>
      <c r="J15" s="158" t="str">
        <f>TEXT($G$1, "[$-ko-KR]yyyy-mm-dd(ddd) ") &amp; "오후 21:00"</f>
        <v>2022-12-17(토) 오후 21:00</v>
      </c>
      <c r="K15" s="159"/>
      <c r="L15" s="160"/>
      <c r="M15" s="158" t="str">
        <f>TEXT($G$1+1, "[$-ko-KR]yyyy-mm-dd(ddd) ") &amp; "오전 00:00"</f>
        <v>2022-12-18(일)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2022-12-17(토) 오전 00:00</v>
      </c>
      <c r="C42" s="199"/>
      <c r="D42" s="158" t="str">
        <f>TEXT($G$1, "[$-ko-KR]yyyy-mm-dd(ddd) ") &amp; "오후 14:00"</f>
        <v>2022-12-17(토) 오후 14:00</v>
      </c>
      <c r="E42" s="159"/>
      <c r="F42" s="160"/>
      <c r="G42" s="158" t="str">
        <f>TEXT($G$1, "[$-ko-KR]yyyy-mm-dd(ddd) ") &amp; "오후 19:00"</f>
        <v>2022-12-17(토) 오후 19:00</v>
      </c>
      <c r="H42" s="159"/>
      <c r="I42" s="160"/>
      <c r="J42" s="158" t="str">
        <f>TEXT($G$1, "[$-ko-KR]yyyy-mm-dd(ddd) ") &amp; "오후 21:00"</f>
        <v>2022-12-17(토) 오후 21:00</v>
      </c>
      <c r="K42" s="159"/>
      <c r="L42" s="160"/>
      <c r="M42" s="158" t="str">
        <f>TEXT($G$1+1, "[$-ko-KR]yyyy-mm-dd(ddd) ") &amp; "오전 00:00"</f>
        <v>2022-12-18(일)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107</v>
      </c>
      <c r="B44" s="108">
        <v>39.700000000000003</v>
      </c>
      <c r="C44" s="69">
        <v>2.5252525000000001E-3</v>
      </c>
      <c r="D44" s="13">
        <v>36.299999999999997</v>
      </c>
      <c r="E44" s="14">
        <f>IF(ISNUMBER(D44), (D44 - $B44) / $B44, "")</f>
        <v>-8.5642317380352787E-2</v>
      </c>
      <c r="F44" s="16">
        <f>IF(ISNUMBER(D44), $B64 * E44, "")</f>
        <v>-12846.347607052918</v>
      </c>
      <c r="G44" s="29">
        <v>36.299999999999997</v>
      </c>
      <c r="H44" s="14">
        <f>IF(ISNUMBER(G44), (G44 - $B44) / $B44, "")</f>
        <v>-8.5642317380352787E-2</v>
      </c>
      <c r="I44" s="90">
        <f>IF(ISNUMBER(G44), $B64 * H44, "")</f>
        <v>-12846.347607052918</v>
      </c>
      <c r="J44" s="13">
        <v>36.299999999999997</v>
      </c>
      <c r="K44" s="14">
        <f>IF(ISNUMBER(J44), (J44 - $B44) / $B44, "")</f>
        <v>-8.5642317380352787E-2</v>
      </c>
      <c r="L44" s="16">
        <f>IF(ISNUMBER(J44), $B64 * K44, "")</f>
        <v>-12846.347607052918</v>
      </c>
      <c r="M44" s="29">
        <v>36.6</v>
      </c>
      <c r="N44" s="14">
        <f>IF(ISNUMBER(M44), (M44 - $B44) / $B44, "")</f>
        <v>-7.8085642317380383E-2</v>
      </c>
      <c r="O44" s="16">
        <f>IF(ISNUMBER(M44), $B64 * N44, "")</f>
        <v>-11712.846347607057</v>
      </c>
      <c r="Q44" s="156"/>
      <c r="R44" s="156"/>
      <c r="S44" s="156"/>
    </row>
    <row r="45" spans="1:19" ht="17.25" customHeight="1" thickBot="1">
      <c r="A45" s="109" t="s">
        <v>97</v>
      </c>
      <c r="B45" s="110">
        <v>8.9999999999999998E-4</v>
      </c>
      <c r="C45" s="70">
        <v>0</v>
      </c>
      <c r="D45" s="15">
        <v>8.0000000000000004E-4</v>
      </c>
      <c r="E45" s="32">
        <f t="shared" ref="E45:E48" si="14">IF(ISNUMBER(D45), (D45 - $B45) / $B45, "")</f>
        <v>-0.11111111111111105</v>
      </c>
      <c r="F45" s="18">
        <f>IF(ISNUMBER(D45), $B64 * E45, "")</f>
        <v>-16666.666666666657</v>
      </c>
      <c r="G45" s="31">
        <v>8.0000000000000004E-4</v>
      </c>
      <c r="H45" s="32">
        <f t="shared" ref="H45:H48" si="15">IF(ISNUMBER(G45), (G45 - $B45) / $B45, "")</f>
        <v>-0.11111111111111105</v>
      </c>
      <c r="I45" s="91">
        <f>IF(ISNUMBER(G45), $B64 * H45, "")</f>
        <v>-16666.666666666657</v>
      </c>
      <c r="J45" s="15">
        <v>8.0000000000000004E-4</v>
      </c>
      <c r="K45" s="32">
        <f t="shared" ref="K45:K48" si="16">IF(ISNUMBER(J45), (J45 - $B45) / $B45, "")</f>
        <v>-0.11111111111111105</v>
      </c>
      <c r="L45" s="18">
        <f>IF(ISNUMBER(J45), $B64 * K45, "")</f>
        <v>-16666.666666666657</v>
      </c>
      <c r="M45" s="31">
        <v>8.0000000000000004E-4</v>
      </c>
      <c r="N45" s="32">
        <f t="shared" ref="N45:N48" si="17">IF(ISNUMBER(M45), (M45 - $B45) / $B45, "")</f>
        <v>-0.11111111111111105</v>
      </c>
      <c r="O45" s="18">
        <f>IF(ISNUMBER(M45), $B64 * N45, "")</f>
        <v>-16666.666666666657</v>
      </c>
      <c r="Q45" s="156"/>
      <c r="R45" s="156"/>
      <c r="S45" s="156"/>
    </row>
    <row r="46" spans="1:19" ht="17.25" customHeight="1" thickBot="1">
      <c r="A46" s="109" t="s">
        <v>195</v>
      </c>
      <c r="B46" s="110">
        <v>6.51</v>
      </c>
      <c r="C46" s="70">
        <v>-9.1324201000000001E-3</v>
      </c>
      <c r="D46" s="15">
        <v>5.9</v>
      </c>
      <c r="E46" s="32">
        <f t="shared" si="14"/>
        <v>-9.3701996927803288E-2</v>
      </c>
      <c r="F46" s="18">
        <f>IF(ISNUMBER(D46), $B64 * E46, "")</f>
        <v>-14055.299539170494</v>
      </c>
      <c r="G46" s="31">
        <v>5.9</v>
      </c>
      <c r="H46" s="32">
        <f t="shared" si="15"/>
        <v>-9.3701996927803288E-2</v>
      </c>
      <c r="I46" s="91">
        <f>IF(ISNUMBER(G46), $B64 * H46, "")</f>
        <v>-14055.299539170494</v>
      </c>
      <c r="J46" s="15">
        <v>5.9</v>
      </c>
      <c r="K46" s="32">
        <f t="shared" si="16"/>
        <v>-9.3701996927803288E-2</v>
      </c>
      <c r="L46" s="18">
        <f>IF(ISNUMBER(J46), $B64 * K46, "")</f>
        <v>-14055.299539170494</v>
      </c>
      <c r="M46" s="31">
        <v>5.86</v>
      </c>
      <c r="N46" s="32">
        <f t="shared" si="17"/>
        <v>-9.9846390168970733E-2</v>
      </c>
      <c r="O46" s="18">
        <f>IF(ISNUMBER(M46), $B64 * N46, "")</f>
        <v>-14976.95852534561</v>
      </c>
      <c r="Q46" s="161"/>
      <c r="R46" s="161"/>
      <c r="S46" s="161"/>
    </row>
    <row r="47" spans="1:19" ht="17.25" customHeight="1" thickBot="1">
      <c r="A47" s="109" t="s">
        <v>124</v>
      </c>
      <c r="B47" s="110">
        <v>31.4</v>
      </c>
      <c r="C47" s="70">
        <v>-9.4637223999999992E-3</v>
      </c>
      <c r="D47" s="15">
        <v>28.8</v>
      </c>
      <c r="E47" s="32">
        <f t="shared" si="14"/>
        <v>-8.2802547770700577E-2</v>
      </c>
      <c r="F47" s="18">
        <f>IF(ISNUMBER(D47), $B64 * E47, "")</f>
        <v>-12420.382165605086</v>
      </c>
      <c r="G47" s="31">
        <v>28.8</v>
      </c>
      <c r="H47" s="32">
        <f t="shared" si="15"/>
        <v>-8.2802547770700577E-2</v>
      </c>
      <c r="I47" s="91">
        <f>IF(ISNUMBER(G47), $B64 * H47, "")</f>
        <v>-12420.382165605086</v>
      </c>
      <c r="J47" s="15">
        <v>28.8</v>
      </c>
      <c r="K47" s="32">
        <f t="shared" si="16"/>
        <v>-8.2802547770700577E-2</v>
      </c>
      <c r="L47" s="18">
        <f>IF(ISNUMBER(J47), $B64 * K47, "")</f>
        <v>-12420.382165605086</v>
      </c>
      <c r="M47" s="31">
        <v>28.8</v>
      </c>
      <c r="N47" s="32">
        <f t="shared" si="17"/>
        <v>-8.2802547770700577E-2</v>
      </c>
      <c r="O47" s="18">
        <f>IF(ISNUMBER(M47), $B64 * N47, "")</f>
        <v>-12420.382165605086</v>
      </c>
      <c r="Q47" s="161"/>
      <c r="R47" s="161"/>
      <c r="S47" s="161"/>
    </row>
    <row r="48" spans="1:19" ht="17.25" customHeight="1" thickBot="1">
      <c r="A48" s="111" t="s">
        <v>200</v>
      </c>
      <c r="B48" s="112">
        <v>6.64</v>
      </c>
      <c r="C48" s="71">
        <v>-1.19047619E-2</v>
      </c>
      <c r="D48" s="20">
        <v>6.1</v>
      </c>
      <c r="E48" s="21">
        <f t="shared" si="14"/>
        <v>-8.1325301204819289E-2</v>
      </c>
      <c r="F48" s="22">
        <f>IF(ISNUMBER(D48), $B64 * E48, "")</f>
        <v>-12198.795180722893</v>
      </c>
      <c r="G48" s="30">
        <v>6.1</v>
      </c>
      <c r="H48" s="21">
        <f t="shared" si="15"/>
        <v>-8.1325301204819289E-2</v>
      </c>
      <c r="I48" s="95">
        <f>IF(ISNUMBER(G48), $B64 * H48, "")</f>
        <v>-12198.795180722893</v>
      </c>
      <c r="J48" s="20">
        <v>6.1</v>
      </c>
      <c r="K48" s="21">
        <f t="shared" si="16"/>
        <v>-8.1325301204819289E-2</v>
      </c>
      <c r="L48" s="22">
        <f>IF(ISNUMBER(J48), $B64 * K48, "")</f>
        <v>-12198.795180722893</v>
      </c>
      <c r="M48" s="30">
        <v>6.11</v>
      </c>
      <c r="N48" s="21">
        <f t="shared" si="17"/>
        <v>-7.9819277108433645E-2</v>
      </c>
      <c r="O48" s="22">
        <f>IF(ISNUMBER(M48), $B64 * N48, "")</f>
        <v>-11972.891566265047</v>
      </c>
      <c r="Q48" s="161"/>
      <c r="R48" s="161"/>
      <c r="S48" s="161"/>
    </row>
    <row r="49" spans="1:19" ht="17.25" customHeight="1" thickBot="1">
      <c r="A49" s="109" t="s">
        <v>122</v>
      </c>
      <c r="B49" s="113">
        <v>23.7</v>
      </c>
      <c r="C49" s="73">
        <v>-1.2500000000000001E-2</v>
      </c>
      <c r="D49" s="96">
        <v>22.2</v>
      </c>
      <c r="E49" s="97">
        <f>IF(ISNUMBER(D49), (D49 - $B49) / $B49, "")</f>
        <v>-6.3291139240506333E-2</v>
      </c>
      <c r="F49" s="98">
        <f>IF(ISNUMBER(D49), $B64 * E49, "")</f>
        <v>-9493.67088607595</v>
      </c>
      <c r="G49" s="99">
        <v>22.2</v>
      </c>
      <c r="H49" s="97">
        <f>IF(ISNUMBER(G49), (G49 - $B49) / $B49, "")</f>
        <v>-6.3291139240506333E-2</v>
      </c>
      <c r="I49" s="100">
        <f>IF(ISNUMBER(G49), $B64 * H49, "")</f>
        <v>-9493.67088607595</v>
      </c>
      <c r="J49" s="96">
        <v>22.2</v>
      </c>
      <c r="K49" s="97">
        <f>IF(ISNUMBER(J49), (J49 - $B49) / $B49, "")</f>
        <v>-6.3291139240506333E-2</v>
      </c>
      <c r="L49" s="98">
        <f>IF(ISNUMBER(J49), $B64 * K49, "")</f>
        <v>-9493.67088607595</v>
      </c>
      <c r="M49" s="99">
        <v>22.1</v>
      </c>
      <c r="N49" s="97">
        <f>IF(ISNUMBER(M49), (M49 - $B49) / $B49, "")</f>
        <v>-6.7510548523206662E-2</v>
      </c>
      <c r="O49" s="98">
        <f>IF(ISNUMBER(M49), $B64 * N49, "")</f>
        <v>-10126.582278480999</v>
      </c>
      <c r="Q49" s="161"/>
      <c r="R49" s="161"/>
      <c r="S49" s="161"/>
    </row>
    <row r="50" spans="1:19" ht="17.25" customHeight="1" thickBot="1">
      <c r="A50" s="109" t="s">
        <v>145</v>
      </c>
      <c r="B50" s="110">
        <v>72.7</v>
      </c>
      <c r="C50" s="70">
        <v>-1.3568521E-2</v>
      </c>
      <c r="D50" s="15">
        <v>71.5</v>
      </c>
      <c r="E50" s="32">
        <f t="shared" ref="E50:E53" si="18">IF(ISNUMBER(D50), (D50 - $B50) / $B50, "")</f>
        <v>-1.6506189821182984E-2</v>
      </c>
      <c r="F50" s="18">
        <f>IF(ISNUMBER(D50), $B64 * E50, "")</f>
        <v>-2475.9284731774474</v>
      </c>
      <c r="G50" s="31">
        <v>71.5</v>
      </c>
      <c r="H50" s="32">
        <f t="shared" ref="H50:H53" si="19">IF(ISNUMBER(G50), (G50 - $B50) / $B50, "")</f>
        <v>-1.6506189821182984E-2</v>
      </c>
      <c r="I50" s="91">
        <f>IF(ISNUMBER(G50), $B64 * H50, "")</f>
        <v>-2475.9284731774474</v>
      </c>
      <c r="J50" s="15">
        <v>71.5</v>
      </c>
      <c r="K50" s="32">
        <f t="shared" ref="K50:K53" si="20">IF(ISNUMBER(J50), (J50 - $B50) / $B50, "")</f>
        <v>-1.6506189821182984E-2</v>
      </c>
      <c r="L50" s="18">
        <f>IF(ISNUMBER(J50), $B64 * K50, "")</f>
        <v>-2475.9284731774474</v>
      </c>
      <c r="M50" s="31">
        <v>71.099999999999994</v>
      </c>
      <c r="N50" s="32">
        <f t="shared" ref="N50:N53" si="21">IF(ISNUMBER(M50), (M50 - $B50) / $B50, "")</f>
        <v>-2.2008253094910706E-2</v>
      </c>
      <c r="O50" s="18">
        <f>IF(ISNUMBER(M50), $B64 * N50, "")</f>
        <v>-3301.2379642366059</v>
      </c>
      <c r="Q50" s="161"/>
      <c r="R50" s="161"/>
      <c r="S50" s="161"/>
    </row>
    <row r="51" spans="1:19" ht="17.25" customHeight="1" thickBot="1">
      <c r="A51" s="109" t="s">
        <v>208</v>
      </c>
      <c r="B51" s="110">
        <v>99.3</v>
      </c>
      <c r="C51" s="70">
        <v>-1.6831683199999999E-2</v>
      </c>
      <c r="D51" s="15">
        <v>95.3</v>
      </c>
      <c r="E51" s="32">
        <f t="shared" si="18"/>
        <v>-4.0281973816717019E-2</v>
      </c>
      <c r="F51" s="18">
        <f>IF(ISNUMBER(D51), $B64 * E51, "")</f>
        <v>-6042.2960725075527</v>
      </c>
      <c r="G51" s="31">
        <v>95.3</v>
      </c>
      <c r="H51" s="32">
        <f t="shared" si="19"/>
        <v>-4.0281973816717019E-2</v>
      </c>
      <c r="I51" s="91">
        <f>IF(ISNUMBER(G51), $B64 * H51, "")</f>
        <v>-6042.2960725075527</v>
      </c>
      <c r="J51" s="15">
        <v>95.3</v>
      </c>
      <c r="K51" s="32">
        <f t="shared" si="20"/>
        <v>-4.0281973816717019E-2</v>
      </c>
      <c r="L51" s="18">
        <f>IF(ISNUMBER(J51), $B64 * K51, "")</f>
        <v>-6042.2960725075527</v>
      </c>
      <c r="M51" s="31">
        <v>94.8</v>
      </c>
      <c r="N51" s="32">
        <f t="shared" si="21"/>
        <v>-4.5317220543806651E-2</v>
      </c>
      <c r="O51" s="18">
        <f>IF(ISNUMBER(M51), $B64 * N51, "")</f>
        <v>-6797.5830815709978</v>
      </c>
      <c r="Q51" s="161"/>
      <c r="R51" s="161"/>
      <c r="S51" s="161"/>
    </row>
    <row r="52" spans="1:19" ht="17.25" customHeight="1" thickBot="1">
      <c r="A52" s="109" t="s">
        <v>191</v>
      </c>
      <c r="B52" s="110">
        <v>53.3</v>
      </c>
      <c r="C52" s="70">
        <v>-1.8416206300000001E-2</v>
      </c>
      <c r="D52" s="15">
        <v>50.7</v>
      </c>
      <c r="E52" s="32">
        <f t="shared" si="18"/>
        <v>-4.8780487804877946E-2</v>
      </c>
      <c r="F52" s="18">
        <f>IF(ISNUMBER(D52), $B64 * E52, "")</f>
        <v>-7317.0731707316918</v>
      </c>
      <c r="G52" s="31">
        <v>50.7</v>
      </c>
      <c r="H52" s="32">
        <f t="shared" si="19"/>
        <v>-4.8780487804877946E-2</v>
      </c>
      <c r="I52" s="91">
        <f>IF(ISNUMBER(G52), $B64 * H52, "")</f>
        <v>-7317.0731707316918</v>
      </c>
      <c r="J52" s="15">
        <v>50.7</v>
      </c>
      <c r="K52" s="32">
        <f t="shared" si="20"/>
        <v>-4.8780487804877946E-2</v>
      </c>
      <c r="L52" s="18">
        <f>IF(ISNUMBER(J52), $B64 * K52, "")</f>
        <v>-7317.0731707316918</v>
      </c>
      <c r="M52" s="31">
        <v>50.7</v>
      </c>
      <c r="N52" s="32">
        <f t="shared" si="21"/>
        <v>-4.8780487804877946E-2</v>
      </c>
      <c r="O52" s="18">
        <f>IF(ISNUMBER(M52), $B64 * N52, "")</f>
        <v>-7317.0731707316918</v>
      </c>
      <c r="Q52" s="33"/>
      <c r="R52" s="33"/>
    </row>
    <row r="53" spans="1:19" ht="17.25" customHeight="1" thickBot="1">
      <c r="A53" s="114" t="s">
        <v>244</v>
      </c>
      <c r="B53" s="115">
        <v>94.2</v>
      </c>
      <c r="C53" s="72">
        <v>-1.8749999999999999E-2</v>
      </c>
      <c r="D53" s="24">
        <v>87.4</v>
      </c>
      <c r="E53" s="25">
        <f t="shared" si="18"/>
        <v>-7.2186836518046679E-2</v>
      </c>
      <c r="F53" s="94">
        <f>IF(ISNUMBER(D53), $B64 * E53, "")</f>
        <v>-10828.025477707002</v>
      </c>
      <c r="G53" s="92">
        <v>87.4</v>
      </c>
      <c r="H53" s="25">
        <f t="shared" si="19"/>
        <v>-7.2186836518046679E-2</v>
      </c>
      <c r="I53" s="93">
        <f>IF(ISNUMBER(G53), $B64 * H53, "")</f>
        <v>-10828.025477707002</v>
      </c>
      <c r="J53" s="24">
        <v>87.4</v>
      </c>
      <c r="K53" s="25">
        <f t="shared" si="20"/>
        <v>-7.2186836518046679E-2</v>
      </c>
      <c r="L53" s="94">
        <f>IF(ISNUMBER(J53), $B64 * K53, "")</f>
        <v>-10828.025477707002</v>
      </c>
      <c r="M53" s="92">
        <v>87.1</v>
      </c>
      <c r="N53" s="25">
        <f t="shared" si="21"/>
        <v>-7.5371549893842982E-2</v>
      </c>
      <c r="O53" s="94">
        <f>IF(ISNUMBER(M53), $B64 * N53, "")</f>
        <v>-11305.732484076447</v>
      </c>
      <c r="Q53" s="170"/>
      <c r="R53" s="171"/>
      <c r="S53" s="172"/>
    </row>
    <row r="54" spans="1:19" ht="17.25" customHeight="1">
      <c r="A54" s="107" t="s">
        <v>338</v>
      </c>
      <c r="B54" s="108">
        <v>4.76</v>
      </c>
      <c r="C54" s="69">
        <v>-2.05761317E-2</v>
      </c>
      <c r="D54" s="13">
        <v>4.41</v>
      </c>
      <c r="E54" s="14">
        <f>IF(ISNUMBER(D54), (D54 - $B54) / $B54, "")</f>
        <v>-7.3529411764705815E-2</v>
      </c>
      <c r="F54" s="16">
        <f>IF(ISNUMBER(D54), $B64 * E54, "")</f>
        <v>-11029.411764705872</v>
      </c>
      <c r="G54" s="29">
        <v>4.41</v>
      </c>
      <c r="H54" s="14">
        <f>IF(ISNUMBER(G54), (G54 - $B54) / $B54, "")</f>
        <v>-7.3529411764705815E-2</v>
      </c>
      <c r="I54" s="90">
        <f>IF(ISNUMBER(G54), $B64 * H54, "")</f>
        <v>-11029.411764705872</v>
      </c>
      <c r="J54" s="13">
        <v>4.41</v>
      </c>
      <c r="K54" s="14">
        <f>IF(ISNUMBER(J54), (J54 - $B54) / $B54, "")</f>
        <v>-7.3529411764705815E-2</v>
      </c>
      <c r="L54" s="16">
        <f>IF(ISNUMBER(J54), $B64 * K54, "")</f>
        <v>-11029.411764705872</v>
      </c>
      <c r="M54" s="29">
        <v>4.42</v>
      </c>
      <c r="N54" s="14">
        <f>IF(ISNUMBER(M54), (M54 - $B54) / $B54, "")</f>
        <v>-7.1428571428571397E-2</v>
      </c>
      <c r="O54" s="16">
        <f>IF(ISNUMBER(M54), $B64 * N54, "")</f>
        <v>-10714.28571428571</v>
      </c>
      <c r="Q54" s="173"/>
      <c r="R54" s="174"/>
      <c r="S54" s="175"/>
    </row>
    <row r="55" spans="1:19" ht="17.25" customHeight="1" thickBot="1">
      <c r="A55" s="109" t="s">
        <v>193</v>
      </c>
      <c r="B55" s="110">
        <v>18.5</v>
      </c>
      <c r="C55" s="70">
        <v>-2.1164021200000001E-2</v>
      </c>
      <c r="D55" s="15">
        <v>17.7</v>
      </c>
      <c r="E55" s="32">
        <f t="shared" ref="E55:E58" si="22">IF(ISNUMBER(D55), (D55 - $B55) / $B55, "")</f>
        <v>-4.324324324324328E-2</v>
      </c>
      <c r="F55" s="18">
        <f>IF(ISNUMBER(D55), $B64 * E55, "")</f>
        <v>-6486.4864864864921</v>
      </c>
      <c r="G55" s="31">
        <v>17.7</v>
      </c>
      <c r="H55" s="32">
        <f t="shared" ref="H55:H58" si="23">IF(ISNUMBER(G55), (G55 - $B55) / $B55, "")</f>
        <v>-4.324324324324328E-2</v>
      </c>
      <c r="I55" s="91">
        <f>IF(ISNUMBER(G55), $B64 * H55, "")</f>
        <v>-6486.4864864864921</v>
      </c>
      <c r="J55" s="15">
        <v>17.7</v>
      </c>
      <c r="K55" s="32">
        <f t="shared" ref="K55:K58" si="24">IF(ISNUMBER(J55), (J55 - $B55) / $B55, "")</f>
        <v>-4.324324324324328E-2</v>
      </c>
      <c r="L55" s="18">
        <f>IF(ISNUMBER(J55), $B64 * K55, "")</f>
        <v>-6486.4864864864921</v>
      </c>
      <c r="M55" s="31">
        <v>17.7</v>
      </c>
      <c r="N55" s="32">
        <f t="shared" ref="N55:N58" si="25">IF(ISNUMBER(M55), (M55 - $B55) / $B55, "")</f>
        <v>-4.324324324324328E-2</v>
      </c>
      <c r="O55" s="18">
        <f>IF(ISNUMBER(M55), $B64 * N55, "")</f>
        <v>-6486.4864864864921</v>
      </c>
      <c r="Q55" s="176"/>
      <c r="R55" s="177"/>
      <c r="S55" s="178"/>
    </row>
    <row r="56" spans="1:19" ht="17.25" customHeight="1" thickBot="1">
      <c r="A56" s="109" t="s">
        <v>230</v>
      </c>
      <c r="B56" s="110">
        <v>39</v>
      </c>
      <c r="C56" s="70">
        <v>-2.2556390999999999E-2</v>
      </c>
      <c r="D56" s="15">
        <v>35.9</v>
      </c>
      <c r="E56" s="32">
        <f t="shared" si="22"/>
        <v>-7.9487179487179524E-2</v>
      </c>
      <c r="F56" s="18">
        <f>IF(ISNUMBER(D56), $B64 * E56, "")</f>
        <v>-11923.076923076929</v>
      </c>
      <c r="G56" s="31">
        <v>35.9</v>
      </c>
      <c r="H56" s="32">
        <f t="shared" si="23"/>
        <v>-7.9487179487179524E-2</v>
      </c>
      <c r="I56" s="91">
        <f>IF(ISNUMBER(G56), $B64 * H56, "")</f>
        <v>-11923.076923076929</v>
      </c>
      <c r="J56" s="15">
        <v>35.9</v>
      </c>
      <c r="K56" s="32">
        <f t="shared" si="24"/>
        <v>-7.9487179487179524E-2</v>
      </c>
      <c r="L56" s="18">
        <f>IF(ISNUMBER(J56), $B64 * K56, "")</f>
        <v>-11923.076923076929</v>
      </c>
      <c r="M56" s="31">
        <v>36.1</v>
      </c>
      <c r="N56" s="32">
        <f t="shared" si="25"/>
        <v>-7.4358974358974317E-2</v>
      </c>
      <c r="O56" s="18">
        <f>IF(ISNUMBER(M56), $B64 * N56, "")</f>
        <v>-11153.846153846147</v>
      </c>
      <c r="Q56" s="161"/>
      <c r="R56" s="161"/>
      <c r="S56" s="161"/>
    </row>
    <row r="57" spans="1:19" ht="17.25" customHeight="1" thickBot="1">
      <c r="A57" s="109" t="s">
        <v>240</v>
      </c>
      <c r="B57" s="110">
        <v>28.2</v>
      </c>
      <c r="C57" s="70">
        <v>-2.4221453300000001E-2</v>
      </c>
      <c r="D57" s="15">
        <v>26.9</v>
      </c>
      <c r="E57" s="32">
        <f t="shared" si="22"/>
        <v>-4.6099290780141869E-2</v>
      </c>
      <c r="F57" s="18">
        <f>IF(ISNUMBER(D57), $B64 * E57, "")</f>
        <v>-6914.8936170212801</v>
      </c>
      <c r="G57" s="31">
        <v>26.9</v>
      </c>
      <c r="H57" s="32">
        <f t="shared" si="23"/>
        <v>-4.6099290780141869E-2</v>
      </c>
      <c r="I57" s="91">
        <f>IF(ISNUMBER(G57), $B64 * H57, "")</f>
        <v>-6914.8936170212801</v>
      </c>
      <c r="J57" s="15">
        <v>26.9</v>
      </c>
      <c r="K57" s="32">
        <f t="shared" si="24"/>
        <v>-4.6099290780141869E-2</v>
      </c>
      <c r="L57" s="18">
        <f>IF(ISNUMBER(J57), $B64 * K57, "")</f>
        <v>-6914.8936170212801</v>
      </c>
      <c r="M57" s="31">
        <v>26.8</v>
      </c>
      <c r="N57" s="32">
        <f t="shared" si="25"/>
        <v>-4.964539007092194E-2</v>
      </c>
      <c r="O57" s="18">
        <f>IF(ISNUMBER(M57), $B64 * N57, "")</f>
        <v>-7446.8085106382905</v>
      </c>
      <c r="Q57" s="156"/>
      <c r="R57" s="156"/>
      <c r="S57" s="156"/>
    </row>
    <row r="58" spans="1:19" ht="17.25" customHeight="1" thickBot="1">
      <c r="A58" s="111" t="s">
        <v>132</v>
      </c>
      <c r="B58" s="112">
        <v>53.1</v>
      </c>
      <c r="C58" s="71">
        <v>-2.5688073400000001E-2</v>
      </c>
      <c r="D58" s="20">
        <v>47.7</v>
      </c>
      <c r="E58" s="21">
        <f t="shared" si="22"/>
        <v>-0.10169491525423725</v>
      </c>
      <c r="F58" s="22">
        <f>IF(ISNUMBER(D58), $B64 * E58, "")</f>
        <v>-15254.237288135588</v>
      </c>
      <c r="G58" s="30">
        <v>47.7</v>
      </c>
      <c r="H58" s="21">
        <f t="shared" si="23"/>
        <v>-0.10169491525423725</v>
      </c>
      <c r="I58" s="95">
        <f>IF(ISNUMBER(G58), $B64 * H58, "")</f>
        <v>-15254.237288135588</v>
      </c>
      <c r="J58" s="20">
        <v>47.7</v>
      </c>
      <c r="K58" s="21">
        <f t="shared" si="24"/>
        <v>-0.10169491525423725</v>
      </c>
      <c r="L58" s="22">
        <f>IF(ISNUMBER(J58), $B64 * K58, "")</f>
        <v>-15254.237288135588</v>
      </c>
      <c r="M58" s="30">
        <v>47.5</v>
      </c>
      <c r="N58" s="21">
        <f t="shared" si="25"/>
        <v>-0.10546139359698684</v>
      </c>
      <c r="O58" s="22">
        <f>IF(ISNUMBER(M58), $B64 * N58, "")</f>
        <v>-15819.209039548025</v>
      </c>
      <c r="Q58" s="156"/>
      <c r="R58" s="156"/>
      <c r="S58" s="156"/>
    </row>
    <row r="59" spans="1:19" ht="17.25" customHeight="1" thickBot="1">
      <c r="A59" s="109" t="s">
        <v>71</v>
      </c>
      <c r="B59" s="113">
        <v>11.1</v>
      </c>
      <c r="C59" s="73">
        <v>-2.6315789499999999E-2</v>
      </c>
      <c r="D59" s="96">
        <v>10.199999999999999</v>
      </c>
      <c r="E59" s="97">
        <f>IF(ISNUMBER(D59), (D59 - $B59) / $B59, "")</f>
        <v>-8.1081081081081113E-2</v>
      </c>
      <c r="F59" s="98">
        <f>IF(ISNUMBER(D59), $B64 * E59, "")</f>
        <v>-12162.162162162167</v>
      </c>
      <c r="G59" s="99">
        <v>10.199999999999999</v>
      </c>
      <c r="H59" s="97">
        <f>IF(ISNUMBER(G59), (G59 - $B59) / $B59, "")</f>
        <v>-8.1081081081081113E-2</v>
      </c>
      <c r="I59" s="100">
        <f>IF(ISNUMBER(G59), $B64 * H59, "")</f>
        <v>-12162.162162162167</v>
      </c>
      <c r="J59" s="96">
        <v>10.199999999999999</v>
      </c>
      <c r="K59" s="97">
        <f>IF(ISNUMBER(J59), (J59 - $B59) / $B59, "")</f>
        <v>-8.1081081081081113E-2</v>
      </c>
      <c r="L59" s="98">
        <f>IF(ISNUMBER(J59), $B64 * K59, "")</f>
        <v>-12162.162162162167</v>
      </c>
      <c r="M59" s="99">
        <v>10.3</v>
      </c>
      <c r="N59" s="97">
        <f>IF(ISNUMBER(M59), (M59 - $B59) / $B59, "")</f>
        <v>-7.2072072072071974E-2</v>
      </c>
      <c r="O59" s="98">
        <f>IF(ISNUMBER(M59), $B64 * N59, "")</f>
        <v>-10810.810810810795</v>
      </c>
      <c r="Q59" s="161"/>
      <c r="R59" s="161"/>
      <c r="S59" s="161"/>
    </row>
    <row r="60" spans="1:19" ht="17.25" customHeight="1" thickBot="1">
      <c r="A60" s="109" t="s">
        <v>181</v>
      </c>
      <c r="B60" s="110">
        <v>4.58</v>
      </c>
      <c r="C60" s="70">
        <v>-2.7600849300000001E-2</v>
      </c>
      <c r="D60" s="15">
        <v>4.2300000000000004</v>
      </c>
      <c r="E60" s="32">
        <f t="shared" ref="E60:E63" si="26">IF(ISNUMBER(D60), (D60 - $B60) / $B60, "")</f>
        <v>-7.6419213973799041E-2</v>
      </c>
      <c r="F60" s="18">
        <f>IF(ISNUMBER(D60), $B64 * E60, "")</f>
        <v>-11462.882096069856</v>
      </c>
      <c r="G60" s="31">
        <v>4.2300000000000004</v>
      </c>
      <c r="H60" s="32">
        <f t="shared" ref="H60:H63" si="27">IF(ISNUMBER(G60), (G60 - $B60) / $B60, "")</f>
        <v>-7.6419213973799041E-2</v>
      </c>
      <c r="I60" s="91">
        <f>IF(ISNUMBER(G60), $B64 * H60, "")</f>
        <v>-11462.882096069856</v>
      </c>
      <c r="J60" s="15">
        <v>4.2300000000000004</v>
      </c>
      <c r="K60" s="32">
        <f t="shared" ref="K60:K63" si="28">IF(ISNUMBER(J60), (J60 - $B60) / $B60, "")</f>
        <v>-7.6419213973799041E-2</v>
      </c>
      <c r="L60" s="18">
        <f>IF(ISNUMBER(J60), $B64 * K60, "")</f>
        <v>-11462.882096069856</v>
      </c>
      <c r="M60" s="31">
        <v>4.1900000000000004</v>
      </c>
      <c r="N60" s="32">
        <f t="shared" ref="N60:N63" si="29">IF(ISNUMBER(M60), (M60 - $B60) / $B60, "")</f>
        <v>-8.5152838427947533E-2</v>
      </c>
      <c r="O60" s="18">
        <f>IF(ISNUMBER(M60), $B64 * N60, "")</f>
        <v>-12772.92576419213</v>
      </c>
      <c r="Q60" s="161"/>
      <c r="R60" s="161"/>
      <c r="S60" s="161"/>
    </row>
    <row r="61" spans="1:19" ht="17.25" customHeight="1" thickBot="1">
      <c r="A61" s="109" t="s">
        <v>336</v>
      </c>
      <c r="B61" s="110">
        <v>78</v>
      </c>
      <c r="C61" s="70">
        <v>-2.86425903E-2</v>
      </c>
      <c r="D61" s="15">
        <v>74.400000000000006</v>
      </c>
      <c r="E61" s="32">
        <f t="shared" si="26"/>
        <v>-4.615384615384608E-2</v>
      </c>
      <c r="F61" s="18">
        <f>IF(ISNUMBER(D61), $B64 * E61, "")</f>
        <v>-6923.076923076912</v>
      </c>
      <c r="G61" s="31">
        <v>74.400000000000006</v>
      </c>
      <c r="H61" s="32">
        <f t="shared" si="27"/>
        <v>-4.615384615384608E-2</v>
      </c>
      <c r="I61" s="91">
        <f>IF(ISNUMBER(G61), $B64 * H61, "")</f>
        <v>-6923.076923076912</v>
      </c>
      <c r="J61" s="15">
        <v>74.400000000000006</v>
      </c>
      <c r="K61" s="32">
        <f t="shared" si="28"/>
        <v>-4.615384615384608E-2</v>
      </c>
      <c r="L61" s="18">
        <f>IF(ISNUMBER(J61), $B64 * K61, "")</f>
        <v>-6923.076923076912</v>
      </c>
      <c r="M61" s="31">
        <v>74.5</v>
      </c>
      <c r="N61" s="32">
        <f t="shared" si="29"/>
        <v>-4.4871794871794872E-2</v>
      </c>
      <c r="O61" s="18">
        <f>IF(ISNUMBER(M61), $B64 * N61, "")</f>
        <v>-6730.7692307692305</v>
      </c>
      <c r="Q61" s="161"/>
      <c r="R61" s="161"/>
      <c r="S61" s="161"/>
    </row>
    <row r="62" spans="1:19" ht="17.25" customHeight="1">
      <c r="A62" s="109" t="s">
        <v>224</v>
      </c>
      <c r="B62" s="110">
        <v>19.899999999999999</v>
      </c>
      <c r="C62" s="70">
        <v>-2.92682927E-2</v>
      </c>
      <c r="D62" s="15">
        <v>18.399999999999999</v>
      </c>
      <c r="E62" s="32">
        <f t="shared" si="26"/>
        <v>-7.537688442211056E-2</v>
      </c>
      <c r="F62" s="18">
        <f>IF(ISNUMBER(D62), $B64 * E62, "")</f>
        <v>-11306.532663316584</v>
      </c>
      <c r="G62" s="31">
        <v>18.399999999999999</v>
      </c>
      <c r="H62" s="32">
        <f t="shared" si="27"/>
        <v>-7.537688442211056E-2</v>
      </c>
      <c r="I62" s="91">
        <f>IF(ISNUMBER(G62), $B64 * H62, "")</f>
        <v>-11306.532663316584</v>
      </c>
      <c r="J62" s="15">
        <v>18.399999999999999</v>
      </c>
      <c r="K62" s="32">
        <f t="shared" si="28"/>
        <v>-7.537688442211056E-2</v>
      </c>
      <c r="L62" s="18">
        <f>IF(ISNUMBER(J62), $B64 * K62, "")</f>
        <v>-11306.532663316584</v>
      </c>
      <c r="M62" s="31">
        <v>18.5</v>
      </c>
      <c r="N62" s="32">
        <f t="shared" si="29"/>
        <v>-7.0351758793969779E-2</v>
      </c>
      <c r="O62" s="18">
        <f>IF(ISNUMBER(M62), $B64 * N62, "")</f>
        <v>-10552.763819095468</v>
      </c>
      <c r="Q62" s="183"/>
      <c r="R62" s="184"/>
      <c r="S62" s="185"/>
    </row>
    <row r="63" spans="1:19" ht="17.25" customHeight="1" thickBot="1">
      <c r="A63" s="114" t="s">
        <v>56</v>
      </c>
      <c r="B63" s="115">
        <v>42.5</v>
      </c>
      <c r="C63" s="72">
        <v>-2.9680365300000001E-2</v>
      </c>
      <c r="D63" s="24">
        <v>39.200000000000003</v>
      </c>
      <c r="E63" s="25">
        <f t="shared" si="26"/>
        <v>-7.7647058823529347E-2</v>
      </c>
      <c r="F63" s="94">
        <f>IF(ISNUMBER(D63), $B64 * E63, "")</f>
        <v>-11647.058823529402</v>
      </c>
      <c r="G63" s="92">
        <v>39.200000000000003</v>
      </c>
      <c r="H63" s="25">
        <f t="shared" si="27"/>
        <v>-7.7647058823529347E-2</v>
      </c>
      <c r="I63" s="93">
        <f>IF(ISNUMBER(G63), $B64 * H63, "")</f>
        <v>-11647.058823529402</v>
      </c>
      <c r="J63" s="24">
        <v>39.200000000000003</v>
      </c>
      <c r="K63" s="25">
        <f t="shared" si="28"/>
        <v>-7.7647058823529347E-2</v>
      </c>
      <c r="L63" s="94">
        <f>IF(ISNUMBER(J63), $B64 * K63, "")</f>
        <v>-11647.058823529402</v>
      </c>
      <c r="M63" s="92">
        <v>39.299999999999997</v>
      </c>
      <c r="N63" s="25">
        <f t="shared" si="29"/>
        <v>-7.5294117647058886E-2</v>
      </c>
      <c r="O63" s="94">
        <f>IF(ISNUMBER(M63), $B64 * N63, "")</f>
        <v>-11294.117647058833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-6.9818101328999599E-2</v>
      </c>
      <c r="F64" s="28">
        <f>SUM(F44:F63)</f>
        <v>-209454.30398699877</v>
      </c>
      <c r="G64" s="26" t="s">
        <v>261</v>
      </c>
      <c r="H64" s="27">
        <f>IF(COUNT(H44:H63), SUM(H44:H63) / COUNT(H44:H63), 0)</f>
        <v>-6.9818101328999599E-2</v>
      </c>
      <c r="I64" s="28">
        <f>SUM(I44:I63)</f>
        <v>-209454.30398699877</v>
      </c>
      <c r="J64" s="26" t="s">
        <v>261</v>
      </c>
      <c r="K64" s="27">
        <f>IF(COUNT(K44:K63), SUM(K44:K63) / COUNT(K44:K63), 0)</f>
        <v>-6.9818101328999599E-2</v>
      </c>
      <c r="L64" s="28">
        <f>SUM(L44:L63)</f>
        <v>-209454.30398699877</v>
      </c>
      <c r="M64" s="26" t="s">
        <v>261</v>
      </c>
      <c r="N64" s="27">
        <f>IF(COUNT(N44:N63), SUM(N44:N63) / COUNT(N44:N63), 0)</f>
        <v>-7.0126659142439124E-2</v>
      </c>
      <c r="O64" s="28">
        <f>SUM(O44:O63)</f>
        <v>-210379.9774273173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2022-12-17(토) 오전 00:00</v>
      </c>
      <c r="C69" s="199"/>
      <c r="D69" s="158" t="str">
        <f>TEXT($G$1, "[$-ko-KR]yyyy-mm-dd(ddd) ") &amp; "오후 14:00"</f>
        <v>2022-12-17(토) 오후 14:00</v>
      </c>
      <c r="E69" s="159"/>
      <c r="F69" s="160"/>
      <c r="G69" s="158" t="str">
        <f>TEXT($G$1, "[$-ko-KR]yyyy-mm-dd(ddd) ") &amp; "오후 19:00"</f>
        <v>2022-12-17(토) 오후 19:00</v>
      </c>
      <c r="H69" s="159"/>
      <c r="I69" s="160"/>
      <c r="J69" s="158" t="str">
        <f>TEXT($G$1, "[$-ko-KR]yyyy-mm-dd(ddd) ") &amp; "오후 21:00"</f>
        <v>2022-12-17(토) 오후 21:00</v>
      </c>
      <c r="K69" s="159"/>
      <c r="L69" s="160"/>
      <c r="M69" s="158" t="str">
        <f>TEXT($G$1+1, "[$-ko-KR]yyyy-mm-dd(ddd) ") &amp; "오전 00:00"</f>
        <v>2022-12-18(일)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349</v>
      </c>
      <c r="B71" s="108">
        <v>773</v>
      </c>
      <c r="C71" s="69">
        <v>3.34224599E-2</v>
      </c>
      <c r="D71" s="13">
        <v>670</v>
      </c>
      <c r="E71" s="14">
        <f>IF(ISNUMBER(D71), (D71 - $B71) / $B71, "")</f>
        <v>-0.13324708926261319</v>
      </c>
      <c r="F71" s="16">
        <f>IF(ISNUMBER(D71), $B91 * E71, "")</f>
        <v>-19987.06338939198</v>
      </c>
      <c r="G71" s="29">
        <v>670</v>
      </c>
      <c r="H71" s="14">
        <f>IF(ISNUMBER(G71), (G71 - $B71) / $B71, "")</f>
        <v>-0.13324708926261319</v>
      </c>
      <c r="I71" s="90">
        <f>IF(ISNUMBER(G71), $B91 * H71, "")</f>
        <v>-19987.06338939198</v>
      </c>
      <c r="J71" s="13">
        <v>670</v>
      </c>
      <c r="K71" s="14">
        <f>IF(ISNUMBER(J71), (J71 - $B71) / $B71, "")</f>
        <v>-0.13324708926261319</v>
      </c>
      <c r="L71" s="16">
        <f>IF(ISNUMBER(J71), $B91 * K71, "")</f>
        <v>-19987.06338939198</v>
      </c>
      <c r="M71" s="29">
        <v>672</v>
      </c>
      <c r="N71" s="14">
        <f>IF(ISNUMBER(M71), (M71 - $B71) / $B71, "")</f>
        <v>-0.13065976714100905</v>
      </c>
      <c r="O71" s="16">
        <f>IF(ISNUMBER(M71), $B91 * N71, "")</f>
        <v>-19598.965071151357</v>
      </c>
      <c r="Q71" s="156"/>
      <c r="R71" s="156"/>
      <c r="S71" s="156"/>
    </row>
    <row r="72" spans="1:19" ht="17.25" thickBot="1">
      <c r="A72" s="109" t="s">
        <v>157</v>
      </c>
      <c r="B72" s="110">
        <v>176</v>
      </c>
      <c r="C72" s="70">
        <v>-1.67597765E-2</v>
      </c>
      <c r="D72" s="15">
        <v>164</v>
      </c>
      <c r="E72" s="32">
        <f t="shared" ref="E72:E75" si="30">IF(ISNUMBER(D72), (D72 - $B72) / $B72, "")</f>
        <v>-6.8181818181818177E-2</v>
      </c>
      <c r="F72" s="18">
        <f>IF(ISNUMBER(D72), $B91 * E72, "")</f>
        <v>-10227.272727272726</v>
      </c>
      <c r="G72" s="31">
        <v>164</v>
      </c>
      <c r="H72" s="32">
        <f t="shared" ref="H72:H75" si="31">IF(ISNUMBER(G72), (G72 - $B72) / $B72, "")</f>
        <v>-6.8181818181818177E-2</v>
      </c>
      <c r="I72" s="91">
        <f>IF(ISNUMBER(G72), $B91 * H72, "")</f>
        <v>-10227.272727272726</v>
      </c>
      <c r="J72" s="15">
        <v>164</v>
      </c>
      <c r="K72" s="32">
        <f t="shared" ref="K72:K75" si="32">IF(ISNUMBER(J72), (J72 - $B72) / $B72, "")</f>
        <v>-6.8181818181818177E-2</v>
      </c>
      <c r="L72" s="18">
        <f>IF(ISNUMBER(J72), $B91 * K72, "")</f>
        <v>-10227.272727272726</v>
      </c>
      <c r="M72" s="31">
        <v>162</v>
      </c>
      <c r="N72" s="32">
        <f t="shared" ref="N72:N75" si="33">IF(ISNUMBER(M72), (M72 - $B72) / $B72, "")</f>
        <v>-7.9545454545454544E-2</v>
      </c>
      <c r="O72" s="18">
        <f>IF(ISNUMBER(M72), $B91 * N72, "")</f>
        <v>-11931.818181818182</v>
      </c>
      <c r="Q72" s="156"/>
      <c r="R72" s="156"/>
      <c r="S72" s="156"/>
    </row>
    <row r="73" spans="1:19" ht="17.25" thickBot="1">
      <c r="A73" s="109" t="s">
        <v>51</v>
      </c>
      <c r="B73" s="110">
        <v>106</v>
      </c>
      <c r="C73" s="70">
        <v>-1.8518518500000001E-2</v>
      </c>
      <c r="D73" s="15">
        <v>98.1</v>
      </c>
      <c r="E73" s="32">
        <f t="shared" si="30"/>
        <v>-7.4528301886792506E-2</v>
      </c>
      <c r="F73" s="18">
        <f>IF(ISNUMBER(D73), $B91 * E73, "")</f>
        <v>-11179.245283018876</v>
      </c>
      <c r="G73" s="31">
        <v>98.1</v>
      </c>
      <c r="H73" s="32">
        <f t="shared" si="31"/>
        <v>-7.4528301886792506E-2</v>
      </c>
      <c r="I73" s="91">
        <f>IF(ISNUMBER(G73), $B91 * H73, "")</f>
        <v>-11179.245283018876</v>
      </c>
      <c r="J73" s="15">
        <v>98.1</v>
      </c>
      <c r="K73" s="32">
        <f t="shared" si="32"/>
        <v>-7.4528301886792506E-2</v>
      </c>
      <c r="L73" s="18">
        <f>IF(ISNUMBER(J73), $B91 * K73, "")</f>
        <v>-11179.245283018876</v>
      </c>
      <c r="M73" s="31">
        <v>98.3</v>
      </c>
      <c r="N73" s="32">
        <f t="shared" si="33"/>
        <v>-7.264150943396229E-2</v>
      </c>
      <c r="O73" s="18">
        <f>IF(ISNUMBER(M73), $B91 * N73, "")</f>
        <v>-10896.226415094343</v>
      </c>
      <c r="Q73" s="161"/>
      <c r="R73" s="161"/>
      <c r="S73" s="161"/>
    </row>
    <row r="74" spans="1:19" ht="17.25" thickBot="1">
      <c r="A74" s="109" t="s">
        <v>238</v>
      </c>
      <c r="B74" s="110">
        <v>602</v>
      </c>
      <c r="C74" s="70">
        <v>-2.1138211399999999E-2</v>
      </c>
      <c r="D74" s="15">
        <v>554</v>
      </c>
      <c r="E74" s="32">
        <f t="shared" si="30"/>
        <v>-7.9734219269102985E-2</v>
      </c>
      <c r="F74" s="18">
        <f>IF(ISNUMBER(D74), $B91 * E74, "")</f>
        <v>-11960.132890365448</v>
      </c>
      <c r="G74" s="31">
        <v>554</v>
      </c>
      <c r="H74" s="32">
        <f t="shared" si="31"/>
        <v>-7.9734219269102985E-2</v>
      </c>
      <c r="I74" s="91">
        <f>IF(ISNUMBER(G74), $B91 * H74, "")</f>
        <v>-11960.132890365448</v>
      </c>
      <c r="J74" s="15">
        <v>554</v>
      </c>
      <c r="K74" s="32">
        <f t="shared" si="32"/>
        <v>-7.9734219269102985E-2</v>
      </c>
      <c r="L74" s="18">
        <f>IF(ISNUMBER(J74), $B91 * K74, "")</f>
        <v>-11960.132890365448</v>
      </c>
      <c r="M74" s="31">
        <v>552</v>
      </c>
      <c r="N74" s="32">
        <f t="shared" si="33"/>
        <v>-8.3056478405315617E-2</v>
      </c>
      <c r="O74" s="18">
        <f>IF(ISNUMBER(M74), $B91 * N74, "")</f>
        <v>-12458.471760797343</v>
      </c>
      <c r="Q74" s="161"/>
      <c r="R74" s="161"/>
      <c r="S74" s="161"/>
    </row>
    <row r="75" spans="1:19" ht="17.25" thickBot="1">
      <c r="A75" s="111" t="s">
        <v>226</v>
      </c>
      <c r="B75" s="112">
        <v>222</v>
      </c>
      <c r="C75" s="71">
        <v>-2.2026431700000002E-2</v>
      </c>
      <c r="D75" s="20">
        <v>202</v>
      </c>
      <c r="E75" s="21">
        <f t="shared" si="30"/>
        <v>-9.0090090090090086E-2</v>
      </c>
      <c r="F75" s="22">
        <f>IF(ISNUMBER(D75), $B91 * E75, "")</f>
        <v>-13513.513513513513</v>
      </c>
      <c r="G75" s="30">
        <v>202</v>
      </c>
      <c r="H75" s="21">
        <f t="shared" si="31"/>
        <v>-9.0090090090090086E-2</v>
      </c>
      <c r="I75" s="95">
        <f>IF(ISNUMBER(G75), $B91 * H75, "")</f>
        <v>-13513.513513513513</v>
      </c>
      <c r="J75" s="20">
        <v>202</v>
      </c>
      <c r="K75" s="21">
        <f t="shared" si="32"/>
        <v>-9.0090090090090086E-2</v>
      </c>
      <c r="L75" s="22">
        <f>IF(ISNUMBER(J75), $B91 * K75, "")</f>
        <v>-13513.513513513513</v>
      </c>
      <c r="M75" s="30">
        <v>202</v>
      </c>
      <c r="N75" s="21">
        <f t="shared" si="33"/>
        <v>-9.0090090090090086E-2</v>
      </c>
      <c r="O75" s="22">
        <f>IF(ISNUMBER(M75), $B91 * N75, "")</f>
        <v>-13513.513513513513</v>
      </c>
      <c r="Q75" s="161"/>
      <c r="R75" s="161"/>
      <c r="S75" s="161"/>
    </row>
    <row r="76" spans="1:19" ht="17.25" thickBot="1">
      <c r="A76" s="109" t="s">
        <v>342</v>
      </c>
      <c r="B76" s="113">
        <v>131</v>
      </c>
      <c r="C76" s="73">
        <v>-2.2388059700000001E-2</v>
      </c>
      <c r="D76" s="96">
        <v>122</v>
      </c>
      <c r="E76" s="97">
        <f>IF(ISNUMBER(D76), (D76 - $B76) / $B76, "")</f>
        <v>-6.8702290076335881E-2</v>
      </c>
      <c r="F76" s="98">
        <f>IF(ISNUMBER(D76), $B91 * E76, "")</f>
        <v>-10305.343511450383</v>
      </c>
      <c r="G76" s="99">
        <v>122</v>
      </c>
      <c r="H76" s="97">
        <f>IF(ISNUMBER(G76), (G76 - $B76) / $B76, "")</f>
        <v>-6.8702290076335881E-2</v>
      </c>
      <c r="I76" s="100">
        <f>IF(ISNUMBER(G76), $B91 * H76, "")</f>
        <v>-10305.343511450383</v>
      </c>
      <c r="J76" s="96">
        <v>122</v>
      </c>
      <c r="K76" s="97">
        <f>IF(ISNUMBER(J76), (J76 - $B76) / $B76, "")</f>
        <v>-6.8702290076335881E-2</v>
      </c>
      <c r="L76" s="98">
        <f>IF(ISNUMBER(J76), $B91 * K76, "")</f>
        <v>-10305.343511450383</v>
      </c>
      <c r="M76" s="99">
        <v>121</v>
      </c>
      <c r="N76" s="97">
        <f>IF(ISNUMBER(M76), (M76 - $B76) / $B76, "")</f>
        <v>-7.6335877862595422E-2</v>
      </c>
      <c r="O76" s="98">
        <f>IF(ISNUMBER(M76), $B91 * N76, "")</f>
        <v>-11450.381679389313</v>
      </c>
      <c r="Q76" s="161"/>
      <c r="R76" s="161"/>
      <c r="S76" s="161"/>
    </row>
    <row r="77" spans="1:19" ht="17.25" thickBot="1">
      <c r="A77" s="109" t="s">
        <v>161</v>
      </c>
      <c r="B77" s="110">
        <v>343</v>
      </c>
      <c r="C77" s="70">
        <v>-2.2792022799999999E-2</v>
      </c>
      <c r="D77" s="15">
        <v>307</v>
      </c>
      <c r="E77" s="32">
        <f t="shared" ref="E77:E80" si="34">IF(ISNUMBER(D77), (D77 - $B77) / $B77, "")</f>
        <v>-0.10495626822157435</v>
      </c>
      <c r="F77" s="18">
        <f>IF(ISNUMBER(D77), $B91 * E77, "")</f>
        <v>-15743.440233236151</v>
      </c>
      <c r="G77" s="31">
        <v>307</v>
      </c>
      <c r="H77" s="32">
        <f t="shared" ref="H77:H80" si="35">IF(ISNUMBER(G77), (G77 - $B77) / $B77, "")</f>
        <v>-0.10495626822157435</v>
      </c>
      <c r="I77" s="91">
        <f>IF(ISNUMBER(G77), $B91 * H77, "")</f>
        <v>-15743.440233236151</v>
      </c>
      <c r="J77" s="15">
        <v>307</v>
      </c>
      <c r="K77" s="32">
        <f t="shared" ref="K77:K80" si="36">IF(ISNUMBER(J77), (J77 - $B77) / $B77, "")</f>
        <v>-0.10495626822157435</v>
      </c>
      <c r="L77" s="18">
        <f>IF(ISNUMBER(J77), $B91 * K77, "")</f>
        <v>-15743.440233236151</v>
      </c>
      <c r="M77" s="31">
        <v>307</v>
      </c>
      <c r="N77" s="32">
        <f t="shared" ref="N77:N80" si="37">IF(ISNUMBER(M77), (M77 - $B77) / $B77, "")</f>
        <v>-0.10495626822157435</v>
      </c>
      <c r="O77" s="18">
        <f>IF(ISNUMBER(M77), $B91 * N77, "")</f>
        <v>-15743.440233236151</v>
      </c>
      <c r="Q77" s="161"/>
      <c r="R77" s="161"/>
      <c r="S77" s="161"/>
    </row>
    <row r="78" spans="1:19" ht="17.25" thickBot="1">
      <c r="A78" s="109" t="s">
        <v>340</v>
      </c>
      <c r="B78" s="110">
        <v>548</v>
      </c>
      <c r="C78" s="70">
        <v>-2.31729055E-2</v>
      </c>
      <c r="D78" s="15">
        <v>506</v>
      </c>
      <c r="E78" s="32">
        <f t="shared" si="34"/>
        <v>-7.6642335766423361E-2</v>
      </c>
      <c r="F78" s="18">
        <f>IF(ISNUMBER(D78), $B91 * E78, "")</f>
        <v>-11496.350364963504</v>
      </c>
      <c r="G78" s="31">
        <v>506</v>
      </c>
      <c r="H78" s="32">
        <f t="shared" si="35"/>
        <v>-7.6642335766423361E-2</v>
      </c>
      <c r="I78" s="91">
        <f>IF(ISNUMBER(G78), $B91 * H78, "")</f>
        <v>-11496.350364963504</v>
      </c>
      <c r="J78" s="15">
        <v>506</v>
      </c>
      <c r="K78" s="32">
        <f t="shared" si="36"/>
        <v>-7.6642335766423361E-2</v>
      </c>
      <c r="L78" s="18">
        <f>IF(ISNUMBER(J78), $B91 * K78, "")</f>
        <v>-11496.350364963504</v>
      </c>
      <c r="M78" s="31">
        <v>506</v>
      </c>
      <c r="N78" s="32">
        <f t="shared" si="37"/>
        <v>-7.6642335766423361E-2</v>
      </c>
      <c r="O78" s="18">
        <f>IF(ISNUMBER(M78), $B91 * N78, "")</f>
        <v>-11496.350364963504</v>
      </c>
      <c r="Q78" s="161"/>
      <c r="R78" s="161"/>
      <c r="S78" s="161"/>
    </row>
    <row r="79" spans="1:19" ht="17.25" thickBot="1">
      <c r="A79" s="109" t="s">
        <v>187</v>
      </c>
      <c r="B79" s="110">
        <v>810</v>
      </c>
      <c r="C79" s="70">
        <v>-2.4096385500000001E-2</v>
      </c>
      <c r="D79" s="15">
        <v>791</v>
      </c>
      <c r="E79" s="32">
        <f t="shared" si="34"/>
        <v>-2.3456790123456792E-2</v>
      </c>
      <c r="F79" s="18">
        <f>IF(ISNUMBER(D79), $B91 * E79, "")</f>
        <v>-3518.5185185185187</v>
      </c>
      <c r="G79" s="31">
        <v>791</v>
      </c>
      <c r="H79" s="32">
        <f t="shared" si="35"/>
        <v>-2.3456790123456792E-2</v>
      </c>
      <c r="I79" s="91">
        <f>IF(ISNUMBER(G79), $B91 * H79, "")</f>
        <v>-3518.5185185185187</v>
      </c>
      <c r="J79" s="15">
        <v>791</v>
      </c>
      <c r="K79" s="32">
        <f t="shared" si="36"/>
        <v>-2.3456790123456792E-2</v>
      </c>
      <c r="L79" s="18">
        <f>IF(ISNUMBER(J79), $B91 * K79, "")</f>
        <v>-3518.5185185185187</v>
      </c>
      <c r="M79" s="31">
        <v>785</v>
      </c>
      <c r="N79" s="32">
        <f t="shared" si="37"/>
        <v>-3.0864197530864196E-2</v>
      </c>
      <c r="O79" s="18">
        <f>IF(ISNUMBER(M79), $B91 * N79, "")</f>
        <v>-4629.6296296296296</v>
      </c>
      <c r="Q79" s="33"/>
      <c r="R79" s="33"/>
    </row>
    <row r="80" spans="1:19" ht="17.25" thickBot="1">
      <c r="A80" s="114" t="s">
        <v>103</v>
      </c>
      <c r="B80" s="115">
        <v>242</v>
      </c>
      <c r="C80" s="72">
        <v>-2.4193548400000001E-2</v>
      </c>
      <c r="D80" s="24">
        <v>220</v>
      </c>
      <c r="E80" s="25">
        <f t="shared" si="34"/>
        <v>-9.0909090909090912E-2</v>
      </c>
      <c r="F80" s="94">
        <f>IF(ISNUMBER(D80), $B91 * E80, "")</f>
        <v>-13636.363636363636</v>
      </c>
      <c r="G80" s="92">
        <v>220</v>
      </c>
      <c r="H80" s="25">
        <f t="shared" si="35"/>
        <v>-9.0909090909090912E-2</v>
      </c>
      <c r="I80" s="93">
        <f>IF(ISNUMBER(G80), $B91 * H80, "")</f>
        <v>-13636.363636363636</v>
      </c>
      <c r="J80" s="24">
        <v>220</v>
      </c>
      <c r="K80" s="25">
        <f t="shared" si="36"/>
        <v>-9.0909090909090912E-2</v>
      </c>
      <c r="L80" s="94">
        <f>IF(ISNUMBER(J80), $B91 * K80, "")</f>
        <v>-13636.363636363636</v>
      </c>
      <c r="M80" s="92">
        <v>221</v>
      </c>
      <c r="N80" s="25">
        <f t="shared" si="37"/>
        <v>-8.6776859504132234E-2</v>
      </c>
      <c r="O80" s="94">
        <f>IF(ISNUMBER(M80), $B91 * N80, "")</f>
        <v>-13016.528925619836</v>
      </c>
      <c r="Q80" s="170"/>
      <c r="R80" s="171"/>
      <c r="S80" s="172"/>
    </row>
    <row r="81" spans="1:19">
      <c r="A81" s="107" t="s">
        <v>242</v>
      </c>
      <c r="B81" s="108">
        <v>440</v>
      </c>
      <c r="C81" s="69">
        <v>-2.4390243900000001E-2</v>
      </c>
      <c r="D81" s="13">
        <v>415</v>
      </c>
      <c r="E81" s="14">
        <f>IF(ISNUMBER(D81), (D81 - $B81) / $B81, "")</f>
        <v>-5.6818181818181816E-2</v>
      </c>
      <c r="F81" s="16">
        <f>IF(ISNUMBER(D81), $B91 * E81, "")</f>
        <v>-8522.7272727272721</v>
      </c>
      <c r="G81" s="29">
        <v>415</v>
      </c>
      <c r="H81" s="14">
        <f>IF(ISNUMBER(G81), (G81 - $B81) / $B81, "")</f>
        <v>-5.6818181818181816E-2</v>
      </c>
      <c r="I81" s="90">
        <f>IF(ISNUMBER(G81), $B91 * H81, "")</f>
        <v>-8522.7272727272721</v>
      </c>
      <c r="J81" s="13">
        <v>415</v>
      </c>
      <c r="K81" s="14">
        <f>IF(ISNUMBER(J81), (J81 - $B81) / $B81, "")</f>
        <v>-5.6818181818181816E-2</v>
      </c>
      <c r="L81" s="16">
        <f>IF(ISNUMBER(J81), $B91 * K81, "")</f>
        <v>-8522.7272727272721</v>
      </c>
      <c r="M81" s="29">
        <v>416</v>
      </c>
      <c r="N81" s="14">
        <f>IF(ISNUMBER(M81), (M81 - $B81) / $B81, "")</f>
        <v>-5.4545454545454543E-2</v>
      </c>
      <c r="O81" s="16">
        <f>IF(ISNUMBER(M81), $B91 * N81, "")</f>
        <v>-8181.8181818181811</v>
      </c>
      <c r="Q81" s="173"/>
      <c r="R81" s="174"/>
      <c r="S81" s="175"/>
    </row>
    <row r="82" spans="1:19" ht="17.25" thickBot="1">
      <c r="A82" s="109" t="s">
        <v>60</v>
      </c>
      <c r="B82" s="110">
        <v>483</v>
      </c>
      <c r="C82" s="70">
        <v>-2.6209677399999999E-2</v>
      </c>
      <c r="D82" s="15">
        <v>440</v>
      </c>
      <c r="E82" s="32">
        <f t="shared" ref="E82:E85" si="38">IF(ISNUMBER(D82), (D82 - $B82) / $B82, "")</f>
        <v>-8.9026915113871632E-2</v>
      </c>
      <c r="F82" s="18">
        <f>IF(ISNUMBER(D82), $B91 * E82, "")</f>
        <v>-13354.037267080745</v>
      </c>
      <c r="G82" s="31">
        <v>440</v>
      </c>
      <c r="H82" s="32">
        <f t="shared" ref="H82:H85" si="39">IF(ISNUMBER(G82), (G82 - $B82) / $B82, "")</f>
        <v>-8.9026915113871632E-2</v>
      </c>
      <c r="I82" s="91">
        <f>IF(ISNUMBER(G82), $B91 * H82, "")</f>
        <v>-13354.037267080745</v>
      </c>
      <c r="J82" s="15">
        <v>440</v>
      </c>
      <c r="K82" s="32">
        <f t="shared" ref="K82:K85" si="40">IF(ISNUMBER(J82), (J82 - $B82) / $B82, "")</f>
        <v>-8.9026915113871632E-2</v>
      </c>
      <c r="L82" s="18">
        <f>IF(ISNUMBER(J82), $B91 * K82, "")</f>
        <v>-13354.037267080745</v>
      </c>
      <c r="M82" s="31">
        <v>441</v>
      </c>
      <c r="N82" s="32">
        <f t="shared" ref="N82:N85" si="41">IF(ISNUMBER(M82), (M82 - $B82) / $B82, "")</f>
        <v>-8.6956521739130432E-2</v>
      </c>
      <c r="O82" s="18">
        <f>IF(ISNUMBER(M82), $B91 * N82, "")</f>
        <v>-13043.478260869564</v>
      </c>
      <c r="Q82" s="176"/>
      <c r="R82" s="177"/>
      <c r="S82" s="178"/>
    </row>
    <row r="83" spans="1:19" ht="17.25" thickBot="1">
      <c r="A83" s="109" t="s">
        <v>159</v>
      </c>
      <c r="B83" s="110">
        <v>182</v>
      </c>
      <c r="C83" s="70">
        <v>-2.67379679E-2</v>
      </c>
      <c r="D83" s="15">
        <v>162</v>
      </c>
      <c r="E83" s="32">
        <f t="shared" si="38"/>
        <v>-0.10989010989010989</v>
      </c>
      <c r="F83" s="18">
        <f>IF(ISNUMBER(D83), $B91 * E83, "")</f>
        <v>-16483.516483516483</v>
      </c>
      <c r="G83" s="31">
        <v>162</v>
      </c>
      <c r="H83" s="32">
        <f t="shared" si="39"/>
        <v>-0.10989010989010989</v>
      </c>
      <c r="I83" s="91">
        <f>IF(ISNUMBER(G83), $B91 * H83, "")</f>
        <v>-16483.516483516483</v>
      </c>
      <c r="J83" s="15">
        <v>162</v>
      </c>
      <c r="K83" s="32">
        <f t="shared" si="40"/>
        <v>-0.10989010989010989</v>
      </c>
      <c r="L83" s="18">
        <f>IF(ISNUMBER(J83), $B91 * K83, "")</f>
        <v>-16483.516483516483</v>
      </c>
      <c r="M83" s="31">
        <v>163</v>
      </c>
      <c r="N83" s="32">
        <f t="shared" si="41"/>
        <v>-0.1043956043956044</v>
      </c>
      <c r="O83" s="18">
        <f>IF(ISNUMBER(M83), $B91 * N83, "")</f>
        <v>-15659.34065934066</v>
      </c>
      <c r="Q83" s="161"/>
      <c r="R83" s="161"/>
      <c r="S83" s="161"/>
    </row>
    <row r="84" spans="1:19" ht="17.25" thickBot="1">
      <c r="A84" s="109" t="s">
        <v>202</v>
      </c>
      <c r="B84" s="110">
        <v>325</v>
      </c>
      <c r="C84" s="70">
        <v>-2.6946107800000001E-2</v>
      </c>
      <c r="D84" s="15">
        <v>310</v>
      </c>
      <c r="E84" s="32">
        <f t="shared" si="38"/>
        <v>-4.6153846153846156E-2</v>
      </c>
      <c r="F84" s="18">
        <f>IF(ISNUMBER(D84), $B91 * E84, "")</f>
        <v>-6923.0769230769238</v>
      </c>
      <c r="G84" s="31">
        <v>310</v>
      </c>
      <c r="H84" s="32">
        <f t="shared" si="39"/>
        <v>-4.6153846153846156E-2</v>
      </c>
      <c r="I84" s="91">
        <f>IF(ISNUMBER(G84), $B91 * H84, "")</f>
        <v>-6923.0769230769238</v>
      </c>
      <c r="J84" s="15">
        <v>310</v>
      </c>
      <c r="K84" s="32">
        <f t="shared" si="40"/>
        <v>-4.6153846153846156E-2</v>
      </c>
      <c r="L84" s="18">
        <f>IF(ISNUMBER(J84), $B91 * K84, "")</f>
        <v>-6923.0769230769238</v>
      </c>
      <c r="M84" s="31">
        <v>311</v>
      </c>
      <c r="N84" s="32">
        <f t="shared" si="41"/>
        <v>-4.3076923076923075E-2</v>
      </c>
      <c r="O84" s="18">
        <f>IF(ISNUMBER(M84), $B91 * N84, "")</f>
        <v>-6461.538461538461</v>
      </c>
      <c r="Q84" s="156"/>
      <c r="R84" s="156"/>
      <c r="S84" s="156"/>
    </row>
    <row r="85" spans="1:19" ht="17.25" thickBot="1">
      <c r="A85" s="111" t="s">
        <v>66</v>
      </c>
      <c r="B85" s="112">
        <v>720</v>
      </c>
      <c r="C85" s="71">
        <v>-2.8340081E-2</v>
      </c>
      <c r="D85" s="20">
        <v>662</v>
      </c>
      <c r="E85" s="21">
        <f t="shared" si="38"/>
        <v>-8.0555555555555561E-2</v>
      </c>
      <c r="F85" s="22">
        <f>IF(ISNUMBER(D85), $B91 * E85, "")</f>
        <v>-12083.333333333334</v>
      </c>
      <c r="G85" s="30">
        <v>662</v>
      </c>
      <c r="H85" s="21">
        <f t="shared" si="39"/>
        <v>-8.0555555555555561E-2</v>
      </c>
      <c r="I85" s="95">
        <f>IF(ISNUMBER(G85), $B91 * H85, "")</f>
        <v>-12083.333333333334</v>
      </c>
      <c r="J85" s="20">
        <v>662</v>
      </c>
      <c r="K85" s="21">
        <f t="shared" si="40"/>
        <v>-8.0555555555555561E-2</v>
      </c>
      <c r="L85" s="22">
        <f>IF(ISNUMBER(J85), $B91 * K85, "")</f>
        <v>-12083.333333333334</v>
      </c>
      <c r="M85" s="30">
        <v>665</v>
      </c>
      <c r="N85" s="21">
        <f t="shared" si="41"/>
        <v>-7.6388888888888895E-2</v>
      </c>
      <c r="O85" s="22">
        <f>IF(ISNUMBER(M85), $B91 * N85, "")</f>
        <v>-11458.333333333334</v>
      </c>
      <c r="Q85" s="156"/>
      <c r="R85" s="156"/>
      <c r="S85" s="156"/>
    </row>
    <row r="86" spans="1:19" ht="17.25" thickBot="1">
      <c r="A86" s="109" t="s">
        <v>337</v>
      </c>
      <c r="B86" s="113">
        <v>304</v>
      </c>
      <c r="C86" s="73">
        <v>-2.87539936E-2</v>
      </c>
      <c r="D86" s="96">
        <v>284</v>
      </c>
      <c r="E86" s="97">
        <f>IF(ISNUMBER(D86), (D86 - $B86) / $B86, "")</f>
        <v>-6.5789473684210523E-2</v>
      </c>
      <c r="F86" s="98">
        <f>IF(ISNUMBER(D86), $B91 * E86, "")</f>
        <v>-9868.4210526315783</v>
      </c>
      <c r="G86" s="99">
        <v>284</v>
      </c>
      <c r="H86" s="97">
        <f>IF(ISNUMBER(G86), (G86 - $B86) / $B86, "")</f>
        <v>-6.5789473684210523E-2</v>
      </c>
      <c r="I86" s="100">
        <f>IF(ISNUMBER(G86), $B91 * H86, "")</f>
        <v>-9868.4210526315783</v>
      </c>
      <c r="J86" s="96">
        <v>284</v>
      </c>
      <c r="K86" s="97">
        <f>IF(ISNUMBER(J86), (J86 - $B86) / $B86, "")</f>
        <v>-6.5789473684210523E-2</v>
      </c>
      <c r="L86" s="98">
        <f>IF(ISNUMBER(J86), $B91 * K86, "")</f>
        <v>-9868.4210526315783</v>
      </c>
      <c r="M86" s="99">
        <v>285</v>
      </c>
      <c r="N86" s="97">
        <f>IF(ISNUMBER(M86), (M86 - $B86) / $B86, "")</f>
        <v>-6.25E-2</v>
      </c>
      <c r="O86" s="98">
        <f>IF(ISNUMBER(M86), $B91 * N86, "")</f>
        <v>-9375</v>
      </c>
      <c r="Q86" s="161"/>
      <c r="R86" s="161"/>
      <c r="S86" s="161"/>
    </row>
    <row r="87" spans="1:19" ht="17.25" thickBot="1">
      <c r="A87" s="109" t="s">
        <v>120</v>
      </c>
      <c r="B87" s="110">
        <v>129</v>
      </c>
      <c r="C87" s="70">
        <v>-3.0075187999999999E-2</v>
      </c>
      <c r="D87" s="15">
        <v>117</v>
      </c>
      <c r="E87" s="32">
        <f t="shared" ref="E87:E90" si="42">IF(ISNUMBER(D87), (D87 - $B87) / $B87, "")</f>
        <v>-9.3023255813953487E-2</v>
      </c>
      <c r="F87" s="18">
        <f>IF(ISNUMBER(D87), $B91 * E87, "")</f>
        <v>-13953.488372093023</v>
      </c>
      <c r="G87" s="31">
        <v>117</v>
      </c>
      <c r="H87" s="32">
        <f t="shared" ref="H87:H90" si="43">IF(ISNUMBER(G87), (G87 - $B87) / $B87, "")</f>
        <v>-9.3023255813953487E-2</v>
      </c>
      <c r="I87" s="91">
        <f>IF(ISNUMBER(G87), $B91 * H87, "")</f>
        <v>-13953.488372093023</v>
      </c>
      <c r="J87" s="15">
        <v>117</v>
      </c>
      <c r="K87" s="32">
        <f t="shared" ref="K87:K90" si="44">IF(ISNUMBER(J87), (J87 - $B87) / $B87, "")</f>
        <v>-9.3023255813953487E-2</v>
      </c>
      <c r="L87" s="18">
        <f>IF(ISNUMBER(J87), $B91 * K87, "")</f>
        <v>-13953.488372093023</v>
      </c>
      <c r="M87" s="31">
        <v>117</v>
      </c>
      <c r="N87" s="32">
        <f t="shared" ref="N87:N90" si="45">IF(ISNUMBER(M87), (M87 - $B87) / $B87, "")</f>
        <v>-9.3023255813953487E-2</v>
      </c>
      <c r="O87" s="18">
        <f>IF(ISNUMBER(M87), $B91 * N87, "")</f>
        <v>-13953.488372093023</v>
      </c>
      <c r="Q87" s="161"/>
      <c r="R87" s="161"/>
      <c r="S87" s="161"/>
    </row>
    <row r="88" spans="1:19" ht="17.25" thickBot="1">
      <c r="A88" s="109" t="s">
        <v>332</v>
      </c>
      <c r="B88" s="110">
        <v>270</v>
      </c>
      <c r="C88" s="70">
        <v>-3.2258064500000003E-2</v>
      </c>
      <c r="D88" s="15">
        <v>251</v>
      </c>
      <c r="E88" s="32">
        <f t="shared" si="42"/>
        <v>-7.0370370370370375E-2</v>
      </c>
      <c r="F88" s="18">
        <f>IF(ISNUMBER(D88), $B91 * E88, "")</f>
        <v>-10555.555555555557</v>
      </c>
      <c r="G88" s="31">
        <v>251</v>
      </c>
      <c r="H88" s="32">
        <f t="shared" si="43"/>
        <v>-7.0370370370370375E-2</v>
      </c>
      <c r="I88" s="91">
        <f>IF(ISNUMBER(G88), $B91 * H88, "")</f>
        <v>-10555.555555555557</v>
      </c>
      <c r="J88" s="15">
        <v>251</v>
      </c>
      <c r="K88" s="32">
        <f t="shared" si="44"/>
        <v>-7.0370370370370375E-2</v>
      </c>
      <c r="L88" s="18">
        <f>IF(ISNUMBER(J88), $B91 * K88, "")</f>
        <v>-10555.555555555557</v>
      </c>
      <c r="M88" s="31">
        <v>251</v>
      </c>
      <c r="N88" s="32">
        <f t="shared" si="45"/>
        <v>-7.0370370370370375E-2</v>
      </c>
      <c r="O88" s="18">
        <f>IF(ISNUMBER(M88), $B91 * N88, "")</f>
        <v>-10555.555555555557</v>
      </c>
      <c r="Q88" s="161"/>
      <c r="R88" s="161"/>
      <c r="S88" s="161"/>
    </row>
    <row r="89" spans="1:19">
      <c r="A89" s="109" t="s">
        <v>89</v>
      </c>
      <c r="B89" s="110">
        <v>482</v>
      </c>
      <c r="C89" s="70">
        <v>-3.4068136300000003E-2</v>
      </c>
      <c r="D89" s="15">
        <v>466</v>
      </c>
      <c r="E89" s="32">
        <f t="shared" si="42"/>
        <v>-3.3195020746887967E-2</v>
      </c>
      <c r="F89" s="18">
        <f>IF(ISNUMBER(D89), $B91 * E89, "")</f>
        <v>-4979.2531120331951</v>
      </c>
      <c r="G89" s="31">
        <v>466</v>
      </c>
      <c r="H89" s="32">
        <f t="shared" si="43"/>
        <v>-3.3195020746887967E-2</v>
      </c>
      <c r="I89" s="91">
        <f>IF(ISNUMBER(G89), $B91 * H89, "")</f>
        <v>-4979.2531120331951</v>
      </c>
      <c r="J89" s="15">
        <v>466</v>
      </c>
      <c r="K89" s="32">
        <f t="shared" si="44"/>
        <v>-3.3195020746887967E-2</v>
      </c>
      <c r="L89" s="18">
        <f>IF(ISNUMBER(J89), $B91 * K89, "")</f>
        <v>-4979.2531120331951</v>
      </c>
      <c r="M89" s="31">
        <v>466</v>
      </c>
      <c r="N89" s="32">
        <f t="shared" si="45"/>
        <v>-3.3195020746887967E-2</v>
      </c>
      <c r="O89" s="18">
        <f>IF(ISNUMBER(M89), $B91 * N89, "")</f>
        <v>-4979.2531120331951</v>
      </c>
      <c r="Q89" s="183"/>
      <c r="R89" s="184"/>
      <c r="S89" s="185"/>
    </row>
    <row r="90" spans="1:19" ht="17.25" thickBot="1">
      <c r="A90" s="114" t="s">
        <v>256</v>
      </c>
      <c r="B90" s="115">
        <v>109</v>
      </c>
      <c r="C90" s="72">
        <v>-3.5398230099999997E-2</v>
      </c>
      <c r="D90" s="24">
        <v>102</v>
      </c>
      <c r="E90" s="25">
        <f t="shared" si="42"/>
        <v>-6.4220183486238536E-2</v>
      </c>
      <c r="F90" s="94">
        <f>IF(ISNUMBER(D90), $B91 * E90, "")</f>
        <v>-9633.0275229357812</v>
      </c>
      <c r="G90" s="92">
        <v>102</v>
      </c>
      <c r="H90" s="25">
        <f t="shared" si="43"/>
        <v>-6.4220183486238536E-2</v>
      </c>
      <c r="I90" s="93">
        <f>IF(ISNUMBER(G90), $B91 * H90, "")</f>
        <v>-9633.0275229357812</v>
      </c>
      <c r="J90" s="24">
        <v>102</v>
      </c>
      <c r="K90" s="25">
        <f t="shared" si="44"/>
        <v>-6.4220183486238536E-2</v>
      </c>
      <c r="L90" s="94">
        <f>IF(ISNUMBER(J90), $B91 * K90, "")</f>
        <v>-9633.0275229357812</v>
      </c>
      <c r="M90" s="92">
        <v>103</v>
      </c>
      <c r="N90" s="25">
        <f t="shared" si="45"/>
        <v>-5.5045871559633031E-2</v>
      </c>
      <c r="O90" s="94">
        <f>IF(ISNUMBER(M90), $B91 * N90, "")</f>
        <v>-8256.880733944954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-7.5974560321026216E-2</v>
      </c>
      <c r="F91" s="28">
        <f>SUM(F71:F90)</f>
        <v>-227923.68096307866</v>
      </c>
      <c r="G91" s="26" t="s">
        <v>261</v>
      </c>
      <c r="H91" s="27">
        <f>IF(COUNT(H71:H90), SUM(H71:H90) / COUNT(H71:H90), 0)</f>
        <v>-7.5974560321026216E-2</v>
      </c>
      <c r="I91" s="28">
        <f>SUM(I71:I90)</f>
        <v>-227923.68096307866</v>
      </c>
      <c r="J91" s="26" t="s">
        <v>261</v>
      </c>
      <c r="K91" s="27">
        <f>IF(COUNT(K71:K90), SUM(K71:K90) / COUNT(K71:K90), 0)</f>
        <v>-7.5974560321026216E-2</v>
      </c>
      <c r="L91" s="28">
        <f>SUM(L71:L90)</f>
        <v>-227923.68096307866</v>
      </c>
      <c r="M91" s="26" t="s">
        <v>261</v>
      </c>
      <c r="N91" s="27">
        <f>IF(COUNT(N71:N90), SUM(N71:N90) / COUNT(N71:N90), 0)</f>
        <v>-7.5553337481913369E-2</v>
      </c>
      <c r="O91" s="28">
        <f>SUM(O71:O90)</f>
        <v>-226660.01244574011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2022-12-17(토) 오전 00:00</v>
      </c>
      <c r="C96" s="199"/>
      <c r="D96" s="158" t="str">
        <f>TEXT($G$1, "[$-ko-KR]yyyy-mm-dd(ddd) ") &amp; "오후 14:00"</f>
        <v>2022-12-17(토) 오후 14:00</v>
      </c>
      <c r="E96" s="159"/>
      <c r="F96" s="160"/>
      <c r="G96" s="158" t="str">
        <f>TEXT($G$1, "[$-ko-KR]yyyy-mm-dd(ddd) ") &amp; "오후 19:00"</f>
        <v>2022-12-17(토) 오후 19:00</v>
      </c>
      <c r="H96" s="159"/>
      <c r="I96" s="160"/>
      <c r="J96" s="158" t="str">
        <f>TEXT($G$1, "[$-ko-KR]yyyy-mm-dd(ddd) ") &amp; "오후 21:00"</f>
        <v>2022-12-17(토) 오후 21:00</v>
      </c>
      <c r="K96" s="159"/>
      <c r="L96" s="160"/>
      <c r="M96" s="158" t="str">
        <f>TEXT($G$1+1, "[$-ko-KR]yyyy-mm-dd(ddd) ") &amp; "오전 00:00"</f>
        <v>2022-12-18(일)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349</v>
      </c>
      <c r="B98" s="108">
        <v>773</v>
      </c>
      <c r="C98" s="69">
        <v>3.34224599E-2</v>
      </c>
      <c r="D98" s="13">
        <v>670</v>
      </c>
      <c r="E98" s="14">
        <f>IF(ISNUMBER(D98), (D98 - $B98) / $B98, "")</f>
        <v>-0.13324708926261319</v>
      </c>
      <c r="F98" s="16">
        <f>IF(ISNUMBER(D98), $B118 * E98, "")</f>
        <v>-19987.06338939198</v>
      </c>
      <c r="G98" s="29">
        <v>670</v>
      </c>
      <c r="H98" s="14">
        <f>IF(ISNUMBER(G98), (G98 - $B98) / $B98, "")</f>
        <v>-0.13324708926261319</v>
      </c>
      <c r="I98" s="90">
        <f>IF(ISNUMBER(G98), $B118 * H98, "")</f>
        <v>-19987.06338939198</v>
      </c>
      <c r="J98" s="13">
        <v>670</v>
      </c>
      <c r="K98" s="14">
        <f>IF(ISNUMBER(J98), (J98 - $B98) / $B98, "")</f>
        <v>-0.13324708926261319</v>
      </c>
      <c r="L98" s="16">
        <f>IF(ISNUMBER(J98), $B118 * K98, "")</f>
        <v>-19987.06338939198</v>
      </c>
      <c r="M98" s="29">
        <v>672</v>
      </c>
      <c r="N98" s="14">
        <f>IF(ISNUMBER(M98), (M98 - $B98) / $B98, "")</f>
        <v>-0.13065976714100905</v>
      </c>
      <c r="O98" s="16">
        <f>IF(ISNUMBER(M98), $B118 * N98, "")</f>
        <v>-19598.965071151357</v>
      </c>
      <c r="Q98" s="156"/>
      <c r="R98" s="156"/>
      <c r="S98" s="156"/>
    </row>
    <row r="99" spans="1:19" ht="17.25" thickBot="1">
      <c r="A99" s="109" t="s">
        <v>87</v>
      </c>
      <c r="B99" s="110">
        <v>63330</v>
      </c>
      <c r="C99" s="70">
        <v>1.76763619E-2</v>
      </c>
      <c r="D99" s="15">
        <v>60870</v>
      </c>
      <c r="E99" s="32">
        <f t="shared" ref="E99:E102" si="46">IF(ISNUMBER(D99), (D99 - $B99) / $B99, "")</f>
        <v>-3.8844149692089054E-2</v>
      </c>
      <c r="F99" s="18">
        <f>IF(ISNUMBER(D99), $B118 * E99, "")</f>
        <v>-5826.6224538133583</v>
      </c>
      <c r="G99" s="31">
        <v>60870</v>
      </c>
      <c r="H99" s="32">
        <f t="shared" ref="H99:H102" si="47">IF(ISNUMBER(G99), (G99 - $B99) / $B99, "")</f>
        <v>-3.8844149692089054E-2</v>
      </c>
      <c r="I99" s="91">
        <f>IF(ISNUMBER(G99), $B118 * H99, "")</f>
        <v>-5826.6224538133583</v>
      </c>
      <c r="J99" s="15">
        <v>60870</v>
      </c>
      <c r="K99" s="32">
        <f t="shared" ref="K99:K102" si="48">IF(ISNUMBER(J99), (J99 - $B99) / $B99, "")</f>
        <v>-3.8844149692089054E-2</v>
      </c>
      <c r="L99" s="18">
        <f>IF(ISNUMBER(J99), $B118 * K99, "")</f>
        <v>-5826.6224538133583</v>
      </c>
      <c r="M99" s="31">
        <v>60880</v>
      </c>
      <c r="N99" s="32">
        <f t="shared" ref="N99:N102" si="49">IF(ISNUMBER(M99), (M99 - $B99) / $B99, "")</f>
        <v>-3.8686246644560239E-2</v>
      </c>
      <c r="O99" s="18">
        <f>IF(ISNUMBER(M99), $B118 * N99, "")</f>
        <v>-5802.9369966840359</v>
      </c>
      <c r="Q99" s="156"/>
      <c r="R99" s="156"/>
      <c r="S99" s="156"/>
    </row>
    <row r="100" spans="1:19" ht="17.25" thickBot="1">
      <c r="A100" s="109" t="s">
        <v>107</v>
      </c>
      <c r="B100" s="110">
        <v>39.700000000000003</v>
      </c>
      <c r="C100" s="70">
        <v>2.5252525000000001E-3</v>
      </c>
      <c r="D100" s="15">
        <v>36.299999999999997</v>
      </c>
      <c r="E100" s="32">
        <f t="shared" si="46"/>
        <v>-8.5642317380352787E-2</v>
      </c>
      <c r="F100" s="18">
        <f>IF(ISNUMBER(D100), $B118 * E100, "")</f>
        <v>-12846.347607052918</v>
      </c>
      <c r="G100" s="31">
        <v>36.299999999999997</v>
      </c>
      <c r="H100" s="32">
        <f t="shared" si="47"/>
        <v>-8.5642317380352787E-2</v>
      </c>
      <c r="I100" s="91">
        <f>IF(ISNUMBER(G100), $B118 * H100, "")</f>
        <v>-12846.347607052918</v>
      </c>
      <c r="J100" s="15">
        <v>36.299999999999997</v>
      </c>
      <c r="K100" s="32">
        <f t="shared" si="48"/>
        <v>-8.5642317380352787E-2</v>
      </c>
      <c r="L100" s="18">
        <f>IF(ISNUMBER(J100), $B118 * K100, "")</f>
        <v>-12846.347607052918</v>
      </c>
      <c r="M100" s="31">
        <v>36.6</v>
      </c>
      <c r="N100" s="32">
        <f t="shared" si="49"/>
        <v>-7.8085642317380383E-2</v>
      </c>
      <c r="O100" s="18">
        <f>IF(ISNUMBER(M100), $B118 * N100, "")</f>
        <v>-11712.846347607057</v>
      </c>
      <c r="Q100" s="161"/>
      <c r="R100" s="161"/>
      <c r="S100" s="161"/>
    </row>
    <row r="101" spans="1:19" ht="17.25" thickBot="1">
      <c r="A101" s="109" t="s">
        <v>97</v>
      </c>
      <c r="B101" s="110">
        <v>8.9999999999999998E-4</v>
      </c>
      <c r="C101" s="70">
        <v>0</v>
      </c>
      <c r="D101" s="15">
        <v>8.0000000000000004E-4</v>
      </c>
      <c r="E101" s="32">
        <f t="shared" si="46"/>
        <v>-0.11111111111111105</v>
      </c>
      <c r="F101" s="18">
        <f>IF(ISNUMBER(D101), $B118 * E101, "")</f>
        <v>-16666.666666666657</v>
      </c>
      <c r="G101" s="31">
        <v>8.0000000000000004E-4</v>
      </c>
      <c r="H101" s="32">
        <f t="shared" si="47"/>
        <v>-0.11111111111111105</v>
      </c>
      <c r="I101" s="91">
        <f>IF(ISNUMBER(G101), $B118 * H101, "")</f>
        <v>-16666.666666666657</v>
      </c>
      <c r="J101" s="15">
        <v>8.0000000000000004E-4</v>
      </c>
      <c r="K101" s="32">
        <f t="shared" si="48"/>
        <v>-0.11111111111111105</v>
      </c>
      <c r="L101" s="18">
        <f>IF(ISNUMBER(J101), $B118 * K101, "")</f>
        <v>-16666.666666666657</v>
      </c>
      <c r="M101" s="31">
        <v>8.0000000000000004E-4</v>
      </c>
      <c r="N101" s="32">
        <f t="shared" si="49"/>
        <v>-0.11111111111111105</v>
      </c>
      <c r="O101" s="18">
        <f>IF(ISNUMBER(M101), $B118 * N101, "")</f>
        <v>-16666.666666666657</v>
      </c>
      <c r="Q101" s="161"/>
      <c r="R101" s="161"/>
      <c r="S101" s="161"/>
    </row>
    <row r="102" spans="1:19" ht="17.25" thickBot="1">
      <c r="A102" s="111" t="s">
        <v>236</v>
      </c>
      <c r="B102" s="112">
        <v>2880</v>
      </c>
      <c r="C102" s="71">
        <v>-1.7331022999999999E-3</v>
      </c>
      <c r="D102" s="20">
        <v>2785</v>
      </c>
      <c r="E102" s="21">
        <f t="shared" si="46"/>
        <v>-3.2986111111111112E-2</v>
      </c>
      <c r="F102" s="22">
        <f>IF(ISNUMBER(D102), $B118 * E102, "")</f>
        <v>-4947.916666666667</v>
      </c>
      <c r="G102" s="30">
        <v>2785</v>
      </c>
      <c r="H102" s="21">
        <f t="shared" si="47"/>
        <v>-3.2986111111111112E-2</v>
      </c>
      <c r="I102" s="95">
        <f>IF(ISNUMBER(G102), $B118 * H102, "")</f>
        <v>-4947.916666666667</v>
      </c>
      <c r="J102" s="20">
        <v>2785</v>
      </c>
      <c r="K102" s="21">
        <f t="shared" si="48"/>
        <v>-3.2986111111111112E-2</v>
      </c>
      <c r="L102" s="22">
        <f>IF(ISNUMBER(J102), $B118 * K102, "")</f>
        <v>-4947.916666666667</v>
      </c>
      <c r="M102" s="30">
        <v>2795</v>
      </c>
      <c r="N102" s="21">
        <f t="shared" si="49"/>
        <v>-2.9513888888888888E-2</v>
      </c>
      <c r="O102" s="22">
        <f>IF(ISNUMBER(M102), $B118 * N102, "")</f>
        <v>-4427.083333333333</v>
      </c>
      <c r="Q102" s="161"/>
      <c r="R102" s="161"/>
      <c r="S102" s="161"/>
    </row>
    <row r="103" spans="1:19" ht="17.25" thickBot="1">
      <c r="A103" s="109" t="s">
        <v>195</v>
      </c>
      <c r="B103" s="113">
        <v>6.51</v>
      </c>
      <c r="C103" s="73">
        <v>-9.1324201000000001E-3</v>
      </c>
      <c r="D103" s="96">
        <v>5.9</v>
      </c>
      <c r="E103" s="97">
        <f>IF(ISNUMBER(D103), (D103 - $B103) / $B103, "")</f>
        <v>-9.3701996927803288E-2</v>
      </c>
      <c r="F103" s="98">
        <f>IF(ISNUMBER(D103), $B118 * E103, "")</f>
        <v>-14055.299539170494</v>
      </c>
      <c r="G103" s="99">
        <v>5.9</v>
      </c>
      <c r="H103" s="97">
        <f>IF(ISNUMBER(G103), (G103 - $B103) / $B103, "")</f>
        <v>-9.3701996927803288E-2</v>
      </c>
      <c r="I103" s="100">
        <f>IF(ISNUMBER(G103), $B118 * H103, "")</f>
        <v>-14055.299539170494</v>
      </c>
      <c r="J103" s="96">
        <v>5.9</v>
      </c>
      <c r="K103" s="97">
        <f>IF(ISNUMBER(J103), (J103 - $B103) / $B103, "")</f>
        <v>-9.3701996927803288E-2</v>
      </c>
      <c r="L103" s="98">
        <f>IF(ISNUMBER(J103), $B118 * K103, "")</f>
        <v>-14055.299539170494</v>
      </c>
      <c r="M103" s="99">
        <v>5.86</v>
      </c>
      <c r="N103" s="97">
        <f>IF(ISNUMBER(M103), (M103 - $B103) / $B103, "")</f>
        <v>-9.9846390168970733E-2</v>
      </c>
      <c r="O103" s="98">
        <f>IF(ISNUMBER(M103), $B118 * N103, "")</f>
        <v>-14976.95852534561</v>
      </c>
      <c r="Q103" s="161"/>
      <c r="R103" s="161"/>
      <c r="S103" s="161"/>
    </row>
    <row r="104" spans="1:19" ht="17.25" thickBot="1">
      <c r="A104" s="109" t="s">
        <v>124</v>
      </c>
      <c r="B104" s="110">
        <v>31.4</v>
      </c>
      <c r="C104" s="70">
        <v>-9.4637223999999992E-3</v>
      </c>
      <c r="D104" s="15">
        <v>28.8</v>
      </c>
      <c r="E104" s="32">
        <f t="shared" ref="E104:E107" si="50">IF(ISNUMBER(D104), (D104 - $B104) / $B104, "")</f>
        <v>-8.2802547770700577E-2</v>
      </c>
      <c r="F104" s="18">
        <f>IF(ISNUMBER(D104), $B118 * E104, "")</f>
        <v>-12420.382165605086</v>
      </c>
      <c r="G104" s="31">
        <v>28.8</v>
      </c>
      <c r="H104" s="32">
        <f t="shared" ref="H104:H107" si="51">IF(ISNUMBER(G104), (G104 - $B104) / $B104, "")</f>
        <v>-8.2802547770700577E-2</v>
      </c>
      <c r="I104" s="91">
        <f>IF(ISNUMBER(G104), $B118 * H104, "")</f>
        <v>-12420.382165605086</v>
      </c>
      <c r="J104" s="15">
        <v>28.8</v>
      </c>
      <c r="K104" s="32">
        <f t="shared" ref="K104:K107" si="52">IF(ISNUMBER(J104), (J104 - $B104) / $B104, "")</f>
        <v>-8.2802547770700577E-2</v>
      </c>
      <c r="L104" s="18">
        <f>IF(ISNUMBER(J104), $B118 * K104, "")</f>
        <v>-12420.382165605086</v>
      </c>
      <c r="M104" s="31">
        <v>28.8</v>
      </c>
      <c r="N104" s="32">
        <f t="shared" ref="N104:N107" si="53">IF(ISNUMBER(M104), (M104 - $B104) / $B104, "")</f>
        <v>-8.2802547770700577E-2</v>
      </c>
      <c r="O104" s="18">
        <f>IF(ISNUMBER(M104), $B118 * N104, "")</f>
        <v>-12420.382165605086</v>
      </c>
      <c r="Q104" s="161"/>
      <c r="R104" s="161"/>
      <c r="S104" s="161"/>
    </row>
    <row r="105" spans="1:19" ht="17.25" thickBot="1">
      <c r="A105" s="109" t="s">
        <v>200</v>
      </c>
      <c r="B105" s="110">
        <v>6.64</v>
      </c>
      <c r="C105" s="70">
        <v>-1.19047619E-2</v>
      </c>
      <c r="D105" s="15">
        <v>6.1</v>
      </c>
      <c r="E105" s="32">
        <f t="shared" si="50"/>
        <v>-8.1325301204819289E-2</v>
      </c>
      <c r="F105" s="18">
        <f>IF(ISNUMBER(D105), $B118 * E105, "")</f>
        <v>-12198.795180722893</v>
      </c>
      <c r="G105" s="31">
        <v>6.1</v>
      </c>
      <c r="H105" s="32">
        <f t="shared" si="51"/>
        <v>-8.1325301204819289E-2</v>
      </c>
      <c r="I105" s="91">
        <f>IF(ISNUMBER(G105), $B118 * H105, "")</f>
        <v>-12198.795180722893</v>
      </c>
      <c r="J105" s="15">
        <v>6.1</v>
      </c>
      <c r="K105" s="32">
        <f t="shared" si="52"/>
        <v>-8.1325301204819289E-2</v>
      </c>
      <c r="L105" s="18">
        <f>IF(ISNUMBER(J105), $B118 * K105, "")</f>
        <v>-12198.795180722893</v>
      </c>
      <c r="M105" s="31">
        <v>6.11</v>
      </c>
      <c r="N105" s="32">
        <f t="shared" si="53"/>
        <v>-7.9819277108433645E-2</v>
      </c>
      <c r="O105" s="18">
        <f>IF(ISNUMBER(M105), $B118 * N105, "")</f>
        <v>-11972.891566265047</v>
      </c>
      <c r="Q105" s="161"/>
      <c r="R105" s="161"/>
      <c r="S105" s="161"/>
    </row>
    <row r="106" spans="1:19" ht="17.25" thickBot="1">
      <c r="A106" s="109" t="s">
        <v>122</v>
      </c>
      <c r="B106" s="110">
        <v>23.7</v>
      </c>
      <c r="C106" s="70">
        <v>-1.2500000000000001E-2</v>
      </c>
      <c r="D106" s="15">
        <v>22.2</v>
      </c>
      <c r="E106" s="32">
        <f t="shared" si="50"/>
        <v>-6.3291139240506333E-2</v>
      </c>
      <c r="F106" s="18">
        <f>IF(ISNUMBER(D106), $B118 * E106, "")</f>
        <v>-9493.67088607595</v>
      </c>
      <c r="G106" s="31">
        <v>22.2</v>
      </c>
      <c r="H106" s="32">
        <f t="shared" si="51"/>
        <v>-6.3291139240506333E-2</v>
      </c>
      <c r="I106" s="91">
        <f>IF(ISNUMBER(G106), $B118 * H106, "")</f>
        <v>-9493.67088607595</v>
      </c>
      <c r="J106" s="15">
        <v>22.2</v>
      </c>
      <c r="K106" s="32">
        <f t="shared" si="52"/>
        <v>-6.3291139240506333E-2</v>
      </c>
      <c r="L106" s="18">
        <f>IF(ISNUMBER(J106), $B118 * K106, "")</f>
        <v>-9493.67088607595</v>
      </c>
      <c r="M106" s="31">
        <v>22.1</v>
      </c>
      <c r="N106" s="32">
        <f t="shared" si="53"/>
        <v>-6.7510548523206662E-2</v>
      </c>
      <c r="O106" s="18">
        <f>IF(ISNUMBER(M106), $B118 * N106, "")</f>
        <v>-10126.582278480999</v>
      </c>
      <c r="Q106" s="33"/>
      <c r="R106" s="33"/>
    </row>
    <row r="107" spans="1:19" ht="17.25" thickBot="1">
      <c r="A107" s="114" t="s">
        <v>145</v>
      </c>
      <c r="B107" s="115">
        <v>72.7</v>
      </c>
      <c r="C107" s="72">
        <v>-1.3568521E-2</v>
      </c>
      <c r="D107" s="24">
        <v>71.5</v>
      </c>
      <c r="E107" s="25">
        <f t="shared" si="50"/>
        <v>-1.6506189821182984E-2</v>
      </c>
      <c r="F107" s="94">
        <f>IF(ISNUMBER(D107), $B118 * E107, "")</f>
        <v>-2475.9284731774474</v>
      </c>
      <c r="G107" s="92">
        <v>71.5</v>
      </c>
      <c r="H107" s="25">
        <f t="shared" si="51"/>
        <v>-1.6506189821182984E-2</v>
      </c>
      <c r="I107" s="93">
        <f>IF(ISNUMBER(G107), $B118 * H107, "")</f>
        <v>-2475.9284731774474</v>
      </c>
      <c r="J107" s="24">
        <v>71.5</v>
      </c>
      <c r="K107" s="25">
        <f t="shared" si="52"/>
        <v>-1.6506189821182984E-2</v>
      </c>
      <c r="L107" s="94">
        <f>IF(ISNUMBER(J107), $B118 * K107, "")</f>
        <v>-2475.9284731774474</v>
      </c>
      <c r="M107" s="92">
        <v>71.099999999999994</v>
      </c>
      <c r="N107" s="25">
        <f t="shared" si="53"/>
        <v>-2.2008253094910706E-2</v>
      </c>
      <c r="O107" s="94">
        <f>IF(ISNUMBER(M107), $B118 * N107, "")</f>
        <v>-3301.2379642366059</v>
      </c>
      <c r="Q107" s="170"/>
      <c r="R107" s="171"/>
      <c r="S107" s="172"/>
    </row>
    <row r="108" spans="1:19">
      <c r="A108" s="107" t="s">
        <v>172</v>
      </c>
      <c r="B108" s="108">
        <v>3075</v>
      </c>
      <c r="C108" s="69">
        <v>-1.6E-2</v>
      </c>
      <c r="D108" s="13">
        <v>2710</v>
      </c>
      <c r="E108" s="14">
        <f>IF(ISNUMBER(D108), (D108 - $B108) / $B108, "")</f>
        <v>-0.11869918699186992</v>
      </c>
      <c r="F108" s="16">
        <f>IF(ISNUMBER(D108), $B118 * E108, "")</f>
        <v>-17804.878048780487</v>
      </c>
      <c r="G108" s="29">
        <v>2710</v>
      </c>
      <c r="H108" s="14">
        <f>IF(ISNUMBER(G108), (G108 - $B108) / $B108, "")</f>
        <v>-0.11869918699186992</v>
      </c>
      <c r="I108" s="90">
        <f>IF(ISNUMBER(G108), $B118 * H108, "")</f>
        <v>-17804.878048780487</v>
      </c>
      <c r="J108" s="13">
        <v>2710</v>
      </c>
      <c r="K108" s="14">
        <f>IF(ISNUMBER(J108), (J108 - $B108) / $B108, "")</f>
        <v>-0.11869918699186992</v>
      </c>
      <c r="L108" s="16">
        <f>IF(ISNUMBER(J108), $B118 * K108, "")</f>
        <v>-17804.878048780487</v>
      </c>
      <c r="M108" s="29">
        <v>2705</v>
      </c>
      <c r="N108" s="14">
        <f>IF(ISNUMBER(M108), (M108 - $B108) / $B108, "")</f>
        <v>-0.12032520325203253</v>
      </c>
      <c r="O108" s="16">
        <f>IF(ISNUMBER(M108), $B118 * N108, "")</f>
        <v>-18048.780487804877</v>
      </c>
      <c r="Q108" s="173"/>
      <c r="R108" s="174"/>
      <c r="S108" s="175"/>
    </row>
    <row r="109" spans="1:19" ht="17.25" thickBot="1">
      <c r="A109" s="109" t="s">
        <v>49</v>
      </c>
      <c r="B109" s="110">
        <v>22561000</v>
      </c>
      <c r="C109" s="70">
        <v>-1.6607096200000001E-2</v>
      </c>
      <c r="D109" s="15">
        <v>22078000</v>
      </c>
      <c r="E109" s="32">
        <f t="shared" ref="E109:E112" si="54">IF(ISNUMBER(D109), (D109 - $B109) / $B109, "")</f>
        <v>-2.1408625504188643E-2</v>
      </c>
      <c r="F109" s="18">
        <f>IF(ISNUMBER(D109), $B118 * E109, "")</f>
        <v>-3211.2938256282964</v>
      </c>
      <c r="G109" s="31">
        <v>22078000</v>
      </c>
      <c r="H109" s="32">
        <f t="shared" ref="H109:H112" si="55">IF(ISNUMBER(G109), (G109 - $B109) / $B109, "")</f>
        <v>-2.1408625504188643E-2</v>
      </c>
      <c r="I109" s="91">
        <f>IF(ISNUMBER(G109), $B118 * H109, "")</f>
        <v>-3211.2938256282964</v>
      </c>
      <c r="J109" s="15">
        <v>22078000</v>
      </c>
      <c r="K109" s="32">
        <f t="shared" ref="K109:K112" si="56">IF(ISNUMBER(J109), (J109 - $B109) / $B109, "")</f>
        <v>-2.1408625504188643E-2</v>
      </c>
      <c r="L109" s="18">
        <f>IF(ISNUMBER(J109), $B118 * K109, "")</f>
        <v>-3211.2938256282964</v>
      </c>
      <c r="M109" s="31">
        <v>22084000</v>
      </c>
      <c r="N109" s="32">
        <f t="shared" ref="N109:N112" si="57">IF(ISNUMBER(M109), (M109 - $B109) / $B109, "")</f>
        <v>-2.1142679845751518E-2</v>
      </c>
      <c r="O109" s="18">
        <f>IF(ISNUMBER(M109), $B118 * N109, "")</f>
        <v>-3171.4019768627277</v>
      </c>
      <c r="Q109" s="176"/>
      <c r="R109" s="177"/>
      <c r="S109" s="178"/>
    </row>
    <row r="110" spans="1:19" ht="17.25" thickBot="1">
      <c r="A110" s="109" t="s">
        <v>157</v>
      </c>
      <c r="B110" s="110">
        <v>176</v>
      </c>
      <c r="C110" s="70">
        <v>-1.67597765E-2</v>
      </c>
      <c r="D110" s="15">
        <v>164</v>
      </c>
      <c r="E110" s="32">
        <f t="shared" si="54"/>
        <v>-6.8181818181818177E-2</v>
      </c>
      <c r="F110" s="18">
        <f>IF(ISNUMBER(D110), $B118 * E110, "")</f>
        <v>-10227.272727272726</v>
      </c>
      <c r="G110" s="31">
        <v>164</v>
      </c>
      <c r="H110" s="32">
        <f t="shared" si="55"/>
        <v>-6.8181818181818177E-2</v>
      </c>
      <c r="I110" s="91">
        <f>IF(ISNUMBER(G110), $B118 * H110, "")</f>
        <v>-10227.272727272726</v>
      </c>
      <c r="J110" s="15">
        <v>164</v>
      </c>
      <c r="K110" s="32">
        <f t="shared" si="56"/>
        <v>-6.8181818181818177E-2</v>
      </c>
      <c r="L110" s="18">
        <f>IF(ISNUMBER(J110), $B118 * K110, "")</f>
        <v>-10227.272727272726</v>
      </c>
      <c r="M110" s="31">
        <v>162</v>
      </c>
      <c r="N110" s="32">
        <f t="shared" si="57"/>
        <v>-7.9545454545454544E-2</v>
      </c>
      <c r="O110" s="18">
        <f>IF(ISNUMBER(M110), $B118 * N110, "")</f>
        <v>-11931.818181818182</v>
      </c>
      <c r="Q110" s="161"/>
      <c r="R110" s="161"/>
      <c r="S110" s="161"/>
    </row>
    <row r="111" spans="1:19" ht="17.25" thickBot="1">
      <c r="A111" s="109" t="s">
        <v>208</v>
      </c>
      <c r="B111" s="110">
        <v>99.3</v>
      </c>
      <c r="C111" s="70">
        <v>-1.6831683199999999E-2</v>
      </c>
      <c r="D111" s="15">
        <v>95.3</v>
      </c>
      <c r="E111" s="32">
        <f t="shared" si="54"/>
        <v>-4.0281973816717019E-2</v>
      </c>
      <c r="F111" s="18">
        <f>IF(ISNUMBER(D111), $B118 * E111, "")</f>
        <v>-6042.2960725075527</v>
      </c>
      <c r="G111" s="31">
        <v>95.3</v>
      </c>
      <c r="H111" s="32">
        <f t="shared" si="55"/>
        <v>-4.0281973816717019E-2</v>
      </c>
      <c r="I111" s="91">
        <f>IF(ISNUMBER(G111), $B118 * H111, "")</f>
        <v>-6042.2960725075527</v>
      </c>
      <c r="J111" s="15">
        <v>95.3</v>
      </c>
      <c r="K111" s="32">
        <f t="shared" si="56"/>
        <v>-4.0281973816717019E-2</v>
      </c>
      <c r="L111" s="18">
        <f>IF(ISNUMBER(J111), $B118 * K111, "")</f>
        <v>-6042.2960725075527</v>
      </c>
      <c r="M111" s="31">
        <v>94.8</v>
      </c>
      <c r="N111" s="32">
        <f t="shared" si="57"/>
        <v>-4.5317220543806651E-2</v>
      </c>
      <c r="O111" s="18">
        <f>IF(ISNUMBER(M111), $B118 * N111, "")</f>
        <v>-6797.5830815709978</v>
      </c>
      <c r="Q111" s="156"/>
      <c r="R111" s="156"/>
      <c r="S111" s="156"/>
    </row>
    <row r="112" spans="1:19" ht="17.25" thickBot="1">
      <c r="A112" s="111" t="s">
        <v>191</v>
      </c>
      <c r="B112" s="112">
        <v>53.3</v>
      </c>
      <c r="C112" s="71">
        <v>-1.8416206300000001E-2</v>
      </c>
      <c r="D112" s="20">
        <v>50.7</v>
      </c>
      <c r="E112" s="21">
        <f t="shared" si="54"/>
        <v>-4.8780487804877946E-2</v>
      </c>
      <c r="F112" s="22">
        <f>IF(ISNUMBER(D112), $B118 * E112, "")</f>
        <v>-7317.0731707316918</v>
      </c>
      <c r="G112" s="30">
        <v>50.7</v>
      </c>
      <c r="H112" s="21">
        <f t="shared" si="55"/>
        <v>-4.8780487804877946E-2</v>
      </c>
      <c r="I112" s="95">
        <f>IF(ISNUMBER(G112), $B118 * H112, "")</f>
        <v>-7317.0731707316918</v>
      </c>
      <c r="J112" s="20">
        <v>50.7</v>
      </c>
      <c r="K112" s="21">
        <f t="shared" si="56"/>
        <v>-4.8780487804877946E-2</v>
      </c>
      <c r="L112" s="22">
        <f>IF(ISNUMBER(J112), $B118 * K112, "")</f>
        <v>-7317.0731707316918</v>
      </c>
      <c r="M112" s="30">
        <v>50.7</v>
      </c>
      <c r="N112" s="21">
        <f t="shared" si="57"/>
        <v>-4.8780487804877946E-2</v>
      </c>
      <c r="O112" s="22">
        <f>IF(ISNUMBER(M112), $B118 * N112, "")</f>
        <v>-7317.0731707316918</v>
      </c>
      <c r="Q112" s="156"/>
      <c r="R112" s="156"/>
      <c r="S112" s="156"/>
    </row>
    <row r="113" spans="1:19" ht="17.25" thickBot="1">
      <c r="A113" s="109" t="s">
        <v>51</v>
      </c>
      <c r="B113" s="113">
        <v>106</v>
      </c>
      <c r="C113" s="73">
        <v>-1.8518518500000001E-2</v>
      </c>
      <c r="D113" s="96">
        <v>98.1</v>
      </c>
      <c r="E113" s="97">
        <f>IF(ISNUMBER(D113), (D113 - $B113) / $B113, "")</f>
        <v>-7.4528301886792506E-2</v>
      </c>
      <c r="F113" s="98">
        <f>IF(ISNUMBER(D113), $B118 * E113, "")</f>
        <v>-11179.245283018876</v>
      </c>
      <c r="G113" s="99">
        <v>98.1</v>
      </c>
      <c r="H113" s="97">
        <f>IF(ISNUMBER(G113), (G113 - $B113) / $B113, "")</f>
        <v>-7.4528301886792506E-2</v>
      </c>
      <c r="I113" s="100">
        <f>IF(ISNUMBER(G113), $B118 * H113, "")</f>
        <v>-11179.245283018876</v>
      </c>
      <c r="J113" s="96">
        <v>98.1</v>
      </c>
      <c r="K113" s="97">
        <f>IF(ISNUMBER(J113), (J113 - $B113) / $B113, "")</f>
        <v>-7.4528301886792506E-2</v>
      </c>
      <c r="L113" s="98">
        <f>IF(ISNUMBER(J113), $B118 * K113, "")</f>
        <v>-11179.245283018876</v>
      </c>
      <c r="M113" s="99">
        <v>98.3</v>
      </c>
      <c r="N113" s="97">
        <f>IF(ISNUMBER(M113), (M113 - $B113) / $B113, "")</f>
        <v>-7.264150943396229E-2</v>
      </c>
      <c r="O113" s="98">
        <f>IF(ISNUMBER(M113), $B118 * N113, "")</f>
        <v>-10896.226415094343</v>
      </c>
      <c r="Q113" s="161"/>
      <c r="R113" s="161"/>
      <c r="S113" s="161"/>
    </row>
    <row r="114" spans="1:19" ht="17.25" thickBot="1">
      <c r="A114" s="109" t="s">
        <v>244</v>
      </c>
      <c r="B114" s="110">
        <v>94.2</v>
      </c>
      <c r="C114" s="70">
        <v>-1.8749999999999999E-2</v>
      </c>
      <c r="D114" s="15">
        <v>87.4</v>
      </c>
      <c r="E114" s="32">
        <f t="shared" ref="E114:E117" si="58">IF(ISNUMBER(D114), (D114 - $B114) / $B114, "")</f>
        <v>-7.2186836518046679E-2</v>
      </c>
      <c r="F114" s="18">
        <f>IF(ISNUMBER(D114), $B118 * E114, "")</f>
        <v>-10828.025477707002</v>
      </c>
      <c r="G114" s="31">
        <v>87.4</v>
      </c>
      <c r="H114" s="32">
        <f t="shared" ref="H114:H117" si="59">IF(ISNUMBER(G114), (G114 - $B114) / $B114, "")</f>
        <v>-7.2186836518046679E-2</v>
      </c>
      <c r="I114" s="91">
        <f>IF(ISNUMBER(G114), $B118 * H114, "")</f>
        <v>-10828.025477707002</v>
      </c>
      <c r="J114" s="15">
        <v>87.4</v>
      </c>
      <c r="K114" s="32">
        <f t="shared" ref="K114:K117" si="60">IF(ISNUMBER(J114), (J114 - $B114) / $B114, "")</f>
        <v>-7.2186836518046679E-2</v>
      </c>
      <c r="L114" s="18">
        <f>IF(ISNUMBER(J114), $B118 * K114, "")</f>
        <v>-10828.025477707002</v>
      </c>
      <c r="M114" s="31">
        <v>87.1</v>
      </c>
      <c r="N114" s="32">
        <f t="shared" ref="N114:N117" si="61">IF(ISNUMBER(M114), (M114 - $B114) / $B114, "")</f>
        <v>-7.5371549893842982E-2</v>
      </c>
      <c r="O114" s="18">
        <f>IF(ISNUMBER(M114), $B118 * N114, "")</f>
        <v>-11305.732484076447</v>
      </c>
      <c r="Q114" s="161"/>
      <c r="R114" s="161"/>
      <c r="S114" s="161"/>
    </row>
    <row r="115" spans="1:19" ht="17.25" thickBot="1">
      <c r="A115" s="109" t="s">
        <v>338</v>
      </c>
      <c r="B115" s="110">
        <v>4.76</v>
      </c>
      <c r="C115" s="70">
        <v>-2.05761317E-2</v>
      </c>
      <c r="D115" s="15">
        <v>4.41</v>
      </c>
      <c r="E115" s="32">
        <f t="shared" si="58"/>
        <v>-7.3529411764705815E-2</v>
      </c>
      <c r="F115" s="18">
        <f>IF(ISNUMBER(D115), $B118 * E115, "")</f>
        <v>-11029.411764705872</v>
      </c>
      <c r="G115" s="31">
        <v>4.41</v>
      </c>
      <c r="H115" s="32">
        <f t="shared" si="59"/>
        <v>-7.3529411764705815E-2</v>
      </c>
      <c r="I115" s="91">
        <f>IF(ISNUMBER(G115), $B118 * H115, "")</f>
        <v>-11029.411764705872</v>
      </c>
      <c r="J115" s="15">
        <v>4.41</v>
      </c>
      <c r="K115" s="32">
        <f t="shared" si="60"/>
        <v>-7.3529411764705815E-2</v>
      </c>
      <c r="L115" s="18">
        <f>IF(ISNUMBER(J115), $B118 * K115, "")</f>
        <v>-11029.411764705872</v>
      </c>
      <c r="M115" s="31">
        <v>4.42</v>
      </c>
      <c r="N115" s="32">
        <f t="shared" si="61"/>
        <v>-7.1428571428571397E-2</v>
      </c>
      <c r="O115" s="18">
        <f>IF(ISNUMBER(M115), $B118 * N115, "")</f>
        <v>-10714.28571428571</v>
      </c>
      <c r="Q115" s="161"/>
      <c r="R115" s="161"/>
      <c r="S115" s="161"/>
    </row>
    <row r="116" spans="1:19">
      <c r="A116" s="109" t="s">
        <v>238</v>
      </c>
      <c r="B116" s="110">
        <v>602</v>
      </c>
      <c r="C116" s="70">
        <v>-2.1138211399999999E-2</v>
      </c>
      <c r="D116" s="15">
        <v>554</v>
      </c>
      <c r="E116" s="32">
        <f t="shared" si="58"/>
        <v>-7.9734219269102985E-2</v>
      </c>
      <c r="F116" s="18">
        <f>IF(ISNUMBER(D116), $B118 * E116, "")</f>
        <v>-11960.132890365448</v>
      </c>
      <c r="G116" s="31">
        <v>554</v>
      </c>
      <c r="H116" s="32">
        <f t="shared" si="59"/>
        <v>-7.9734219269102985E-2</v>
      </c>
      <c r="I116" s="91">
        <f>IF(ISNUMBER(G116), $B118 * H116, "")</f>
        <v>-11960.132890365448</v>
      </c>
      <c r="J116" s="15">
        <v>554</v>
      </c>
      <c r="K116" s="32">
        <f t="shared" si="60"/>
        <v>-7.9734219269102985E-2</v>
      </c>
      <c r="L116" s="18">
        <f>IF(ISNUMBER(J116), $B118 * K116, "")</f>
        <v>-11960.132890365448</v>
      </c>
      <c r="M116" s="31">
        <v>552</v>
      </c>
      <c r="N116" s="32">
        <f t="shared" si="61"/>
        <v>-8.3056478405315617E-2</v>
      </c>
      <c r="O116" s="18">
        <f>IF(ISNUMBER(M116), $B118 * N116, "")</f>
        <v>-12458.471760797343</v>
      </c>
      <c r="Q116" s="183"/>
      <c r="R116" s="184"/>
      <c r="S116" s="185"/>
    </row>
    <row r="117" spans="1:19" ht="17.25" thickBot="1">
      <c r="A117" s="114" t="s">
        <v>193</v>
      </c>
      <c r="B117" s="115">
        <v>18.5</v>
      </c>
      <c r="C117" s="72">
        <v>-2.1164021200000001E-2</v>
      </c>
      <c r="D117" s="24">
        <v>17.7</v>
      </c>
      <c r="E117" s="25">
        <f t="shared" si="58"/>
        <v>-4.324324324324328E-2</v>
      </c>
      <c r="F117" s="94">
        <f>IF(ISNUMBER(D117), $B118 * E117, "")</f>
        <v>-6486.4864864864921</v>
      </c>
      <c r="G117" s="92">
        <v>17.7</v>
      </c>
      <c r="H117" s="25">
        <f t="shared" si="59"/>
        <v>-4.324324324324328E-2</v>
      </c>
      <c r="I117" s="93">
        <f>IF(ISNUMBER(G117), $B118 * H117, "")</f>
        <v>-6486.4864864864921</v>
      </c>
      <c r="J117" s="24">
        <v>17.7</v>
      </c>
      <c r="K117" s="25">
        <f t="shared" si="60"/>
        <v>-4.324324324324328E-2</v>
      </c>
      <c r="L117" s="94">
        <f>IF(ISNUMBER(J117), $B118 * K117, "")</f>
        <v>-6486.4864864864921</v>
      </c>
      <c r="M117" s="92">
        <v>17.7</v>
      </c>
      <c r="N117" s="25">
        <f t="shared" si="61"/>
        <v>-4.324324324324328E-2</v>
      </c>
      <c r="O117" s="94">
        <f>IF(ISNUMBER(M117), $B118 * N117, "")</f>
        <v>-6486.4864864864921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-6.9001602925182634E-2</v>
      </c>
      <c r="F118" s="28">
        <f>SUM(F98:F117)</f>
        <v>-207004.80877554789</v>
      </c>
      <c r="G118" s="26" t="s">
        <v>261</v>
      </c>
      <c r="H118" s="27">
        <f>IF(COUNT(H98:H117), SUM(H98:H117) / COUNT(H98:H117), 0)</f>
        <v>-6.9001602925182634E-2</v>
      </c>
      <c r="I118" s="28">
        <f>SUM(I98:I117)</f>
        <v>-207004.80877554789</v>
      </c>
      <c r="J118" s="26" t="s">
        <v>261</v>
      </c>
      <c r="K118" s="27">
        <f>IF(COUNT(K98:K117), SUM(K98:K117) / COUNT(K98:K117), 0)</f>
        <v>-6.9001602925182634E-2</v>
      </c>
      <c r="L118" s="28">
        <f>SUM(L98:L117)</f>
        <v>-207004.80877554789</v>
      </c>
      <c r="M118" s="26" t="s">
        <v>261</v>
      </c>
      <c r="N118" s="27">
        <f>IF(COUNT(N98:N117), SUM(N98:N117) / COUNT(N98:N117), 0)</f>
        <v>-7.0044803558301533E-2</v>
      </c>
      <c r="O118" s="28">
        <f>SUM(O98:O117)</f>
        <v>-210134.41067490456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2022-12-17(토) 오전 00:00</v>
      </c>
      <c r="C123" s="199"/>
      <c r="D123" s="158" t="str">
        <f>TEXT($G$1, "[$-ko-KR]yyyy-mm-dd(ddd) ") &amp; "오후 14:00"</f>
        <v>2022-12-17(토) 오후 14:00</v>
      </c>
      <c r="E123" s="159"/>
      <c r="F123" s="160"/>
      <c r="G123" s="158" t="str">
        <f>TEXT($G$1, "[$-ko-KR]yyyy-mm-dd(ddd) ") &amp; "오후 19:00"</f>
        <v>2022-12-17(토) 오후 19:00</v>
      </c>
      <c r="H123" s="159"/>
      <c r="I123" s="160"/>
      <c r="J123" s="158" t="str">
        <f>TEXT($G$1, "[$-ko-KR]yyyy-mm-dd(ddd) ") &amp; "오후 21:00"</f>
        <v>2022-12-17(토) 오후 21:00</v>
      </c>
      <c r="K123" s="159"/>
      <c r="L123" s="160"/>
      <c r="M123" s="158" t="str">
        <f>TEXT($G$1+1, "[$-ko-KR]yyyy-mm-dd(ddd) ") &amp; "오전 00:00"</f>
        <v>2022-12-18(일)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224</v>
      </c>
      <c r="B125" s="108">
        <v>19.899999999999999</v>
      </c>
      <c r="C125" s="69">
        <v>-2.92682927E-2</v>
      </c>
      <c r="D125" s="13">
        <v>18.399999999999999</v>
      </c>
      <c r="E125" s="14">
        <f>IF(ISNUMBER(D125), (D125 - $B125) / $B125, "")</f>
        <v>-7.537688442211056E-2</v>
      </c>
      <c r="F125" s="16">
        <f>IF(ISNUMBER(D125), $B145 * E125, "")</f>
        <v>-11306.532663316584</v>
      </c>
      <c r="G125" s="29">
        <v>18.399999999999999</v>
      </c>
      <c r="H125" s="14">
        <f>IF(ISNUMBER(G125), (G125 - $B125) / $B125, "")</f>
        <v>-7.537688442211056E-2</v>
      </c>
      <c r="I125" s="90">
        <f>IF(ISNUMBER(G125), $B145 * H125, "")</f>
        <v>-11306.532663316584</v>
      </c>
      <c r="J125" s="13">
        <v>18.399999999999999</v>
      </c>
      <c r="K125" s="14">
        <f>IF(ISNUMBER(J125), (J125 - $B125) / $B125, "")</f>
        <v>-7.537688442211056E-2</v>
      </c>
      <c r="L125" s="16">
        <f>IF(ISNUMBER(J125), $B145 * K125, "")</f>
        <v>-11306.532663316584</v>
      </c>
      <c r="M125" s="29">
        <v>18.5</v>
      </c>
      <c r="N125" s="14">
        <f>IF(ISNUMBER(M125), (M125 - $B125) / $B125, "")</f>
        <v>-7.0351758793969779E-2</v>
      </c>
      <c r="O125" s="16">
        <f>IF(ISNUMBER(M125), $B145 * N125, "")</f>
        <v>-10552.763819095468</v>
      </c>
      <c r="Q125" s="156"/>
      <c r="R125" s="156"/>
      <c r="S125" s="156"/>
    </row>
    <row r="126" spans="1:19" ht="17.25" thickBot="1">
      <c r="A126" s="109" t="s">
        <v>56</v>
      </c>
      <c r="B126" s="110">
        <v>42.5</v>
      </c>
      <c r="C126" s="70">
        <v>-2.9680365300000001E-2</v>
      </c>
      <c r="D126" s="15">
        <v>39.200000000000003</v>
      </c>
      <c r="E126" s="32">
        <f t="shared" ref="E126:E129" si="62">IF(ISNUMBER(D126), (D126 - $B126) / $B126, "")</f>
        <v>-7.7647058823529347E-2</v>
      </c>
      <c r="F126" s="18">
        <f>IF(ISNUMBER(D126), $B145 * E126, "")</f>
        <v>-11647.058823529402</v>
      </c>
      <c r="G126" s="31">
        <v>39.200000000000003</v>
      </c>
      <c r="H126" s="32">
        <f t="shared" ref="H126:H129" si="63">IF(ISNUMBER(G126), (G126 - $B126) / $B126, "")</f>
        <v>-7.7647058823529347E-2</v>
      </c>
      <c r="I126" s="91">
        <f>IF(ISNUMBER(G126), $B145 * H126, "")</f>
        <v>-11647.058823529402</v>
      </c>
      <c r="J126" s="15">
        <v>39.200000000000003</v>
      </c>
      <c r="K126" s="32">
        <f t="shared" ref="K126:K129" si="64">IF(ISNUMBER(J126), (J126 - $B126) / $B126, "")</f>
        <v>-7.7647058823529347E-2</v>
      </c>
      <c r="L126" s="18">
        <f>IF(ISNUMBER(J126), $B145 * K126, "")</f>
        <v>-11647.058823529402</v>
      </c>
      <c r="M126" s="31">
        <v>39.299999999999997</v>
      </c>
      <c r="N126" s="32">
        <f t="shared" ref="N126:N129" si="65">IF(ISNUMBER(M126), (M126 - $B126) / $B126, "")</f>
        <v>-7.5294117647058886E-2</v>
      </c>
      <c r="O126" s="18">
        <f>IF(ISNUMBER(M126), $B145 * N126, "")</f>
        <v>-11294.117647058833</v>
      </c>
      <c r="Q126" s="156"/>
      <c r="R126" s="156"/>
      <c r="S126" s="156"/>
    </row>
    <row r="127" spans="1:19" ht="17.25" thickBot="1">
      <c r="A127" s="109" t="s">
        <v>138</v>
      </c>
      <c r="B127" s="110">
        <v>26.1</v>
      </c>
      <c r="C127" s="70">
        <v>-2.9739776999999998E-2</v>
      </c>
      <c r="D127" s="15">
        <v>24.1</v>
      </c>
      <c r="E127" s="32">
        <f t="shared" si="62"/>
        <v>-7.662835249042145E-2</v>
      </c>
      <c r="F127" s="18">
        <f>IF(ISNUMBER(D127), $B145 * E127, "")</f>
        <v>-11494.252873563217</v>
      </c>
      <c r="G127" s="31">
        <v>24.1</v>
      </c>
      <c r="H127" s="32">
        <f t="shared" si="63"/>
        <v>-7.662835249042145E-2</v>
      </c>
      <c r="I127" s="91">
        <f>IF(ISNUMBER(G127), $B145 * H127, "")</f>
        <v>-11494.252873563217</v>
      </c>
      <c r="J127" s="15">
        <v>24.1</v>
      </c>
      <c r="K127" s="32">
        <f t="shared" si="64"/>
        <v>-7.662835249042145E-2</v>
      </c>
      <c r="L127" s="18">
        <f>IF(ISNUMBER(J127), $B145 * K127, "")</f>
        <v>-11494.252873563217</v>
      </c>
      <c r="M127" s="31">
        <v>23.9</v>
      </c>
      <c r="N127" s="32">
        <f t="shared" si="65"/>
        <v>-8.4291187739463702E-2</v>
      </c>
      <c r="O127" s="18">
        <f>IF(ISNUMBER(M127), $B145 * N127, "")</f>
        <v>-12643.678160919555</v>
      </c>
      <c r="Q127" s="161"/>
      <c r="R127" s="161"/>
      <c r="S127" s="161"/>
    </row>
    <row r="128" spans="1:19" ht="17.25" thickBot="1">
      <c r="A128" s="109" t="s">
        <v>126</v>
      </c>
      <c r="B128" s="110">
        <v>27.1</v>
      </c>
      <c r="C128" s="70">
        <v>-3.2142857099999998E-2</v>
      </c>
      <c r="D128" s="15">
        <v>24.9</v>
      </c>
      <c r="E128" s="32">
        <f t="shared" si="62"/>
        <v>-8.1180811808118175E-2</v>
      </c>
      <c r="F128" s="18">
        <f>IF(ISNUMBER(D128), $B145 * E128, "")</f>
        <v>-12177.121771217726</v>
      </c>
      <c r="G128" s="31">
        <v>24.9</v>
      </c>
      <c r="H128" s="32">
        <f t="shared" si="63"/>
        <v>-8.1180811808118175E-2</v>
      </c>
      <c r="I128" s="91">
        <f>IF(ISNUMBER(G128), $B145 * H128, "")</f>
        <v>-12177.121771217726</v>
      </c>
      <c r="J128" s="15">
        <v>24.9</v>
      </c>
      <c r="K128" s="32">
        <f t="shared" si="64"/>
        <v>-8.1180811808118175E-2</v>
      </c>
      <c r="L128" s="18">
        <f>IF(ISNUMBER(J128), $B145 * K128, "")</f>
        <v>-12177.121771217726</v>
      </c>
      <c r="M128" s="31">
        <v>24.9</v>
      </c>
      <c r="N128" s="32">
        <f t="shared" si="65"/>
        <v>-8.1180811808118175E-2</v>
      </c>
      <c r="O128" s="18">
        <f>IF(ISNUMBER(M128), $B145 * N128, "")</f>
        <v>-12177.121771217726</v>
      </c>
      <c r="Q128" s="161"/>
      <c r="R128" s="161"/>
      <c r="S128" s="161"/>
    </row>
    <row r="129" spans="1:19" ht="17.25" thickBot="1">
      <c r="A129" s="111" t="s">
        <v>335</v>
      </c>
      <c r="B129" s="112">
        <v>3.5900000000000001E-2</v>
      </c>
      <c r="C129" s="71">
        <v>-3.2345013499999999E-2</v>
      </c>
      <c r="D129" s="20">
        <v>3.2899999999999999E-2</v>
      </c>
      <c r="E129" s="21">
        <f t="shared" si="62"/>
        <v>-8.3565459610027926E-2</v>
      </c>
      <c r="F129" s="22">
        <f>IF(ISNUMBER(D129), $B145 * E129, "")</f>
        <v>-12534.818941504189</v>
      </c>
      <c r="G129" s="30">
        <v>3.2899999999999999E-2</v>
      </c>
      <c r="H129" s="21">
        <f t="shared" si="63"/>
        <v>-8.3565459610027926E-2</v>
      </c>
      <c r="I129" s="95">
        <f>IF(ISNUMBER(G129), $B145 * H129, "")</f>
        <v>-12534.818941504189</v>
      </c>
      <c r="J129" s="20">
        <v>3.2899999999999999E-2</v>
      </c>
      <c r="K129" s="21">
        <f t="shared" si="64"/>
        <v>-8.3565459610027926E-2</v>
      </c>
      <c r="L129" s="22">
        <f>IF(ISNUMBER(J129), $B145 * K129, "")</f>
        <v>-12534.818941504189</v>
      </c>
      <c r="M129" s="30">
        <v>3.2800000000000003E-2</v>
      </c>
      <c r="N129" s="21">
        <f t="shared" si="65"/>
        <v>-8.6350974930362076E-2</v>
      </c>
      <c r="O129" s="22">
        <f>IF(ISNUMBER(M129), $B145 * N129, "")</f>
        <v>-12952.646239554311</v>
      </c>
      <c r="Q129" s="161"/>
      <c r="R129" s="161"/>
      <c r="S129" s="161"/>
    </row>
    <row r="130" spans="1:19" ht="17.25" thickBot="1">
      <c r="A130" s="109" t="s">
        <v>210</v>
      </c>
      <c r="B130" s="113">
        <v>65.099999999999994</v>
      </c>
      <c r="C130" s="73">
        <v>-3.5555555599999997E-2</v>
      </c>
      <c r="D130" s="96">
        <v>62.3</v>
      </c>
      <c r="E130" s="97">
        <f>IF(ISNUMBER(D130), (D130 - $B130) / $B130, "")</f>
        <v>-4.3010752688172005E-2</v>
      </c>
      <c r="F130" s="98">
        <f>IF(ISNUMBER(D130), $B145 * E130, "")</f>
        <v>-6451.6129032258004</v>
      </c>
      <c r="G130" s="99">
        <v>62.3</v>
      </c>
      <c r="H130" s="97">
        <f>IF(ISNUMBER(G130), (G130 - $B130) / $B130, "")</f>
        <v>-4.3010752688172005E-2</v>
      </c>
      <c r="I130" s="100">
        <f>IF(ISNUMBER(G130), $B145 * H130, "")</f>
        <v>-6451.6129032258004</v>
      </c>
      <c r="J130" s="96">
        <v>62.3</v>
      </c>
      <c r="K130" s="97">
        <f>IF(ISNUMBER(J130), (J130 - $B130) / $B130, "")</f>
        <v>-4.3010752688172005E-2</v>
      </c>
      <c r="L130" s="98">
        <f>IF(ISNUMBER(J130), $B145 * K130, "")</f>
        <v>-6451.6129032258004</v>
      </c>
      <c r="M130" s="99">
        <v>61.8</v>
      </c>
      <c r="N130" s="97">
        <f>IF(ISNUMBER(M130), (M130 - $B130) / $B130, "")</f>
        <v>-5.0691244239631297E-2</v>
      </c>
      <c r="O130" s="98">
        <f>IF(ISNUMBER(M130), $B145 * N130, "")</f>
        <v>-7603.6866359446949</v>
      </c>
      <c r="Q130" s="161"/>
      <c r="R130" s="161"/>
      <c r="S130" s="161"/>
    </row>
    <row r="131" spans="1:19" ht="17.25" thickBot="1">
      <c r="A131" s="109" t="s">
        <v>333</v>
      </c>
      <c r="B131" s="110">
        <v>58.4</v>
      </c>
      <c r="C131" s="70">
        <v>-3.6303630400000002E-2</v>
      </c>
      <c r="D131" s="15">
        <v>56</v>
      </c>
      <c r="E131" s="32">
        <f t="shared" ref="E131:E134" si="66">IF(ISNUMBER(D131), (D131 - $B131) / $B131, "")</f>
        <v>-4.1095890410958881E-2</v>
      </c>
      <c r="F131" s="18">
        <f>IF(ISNUMBER(D131), $B145 * E131, "")</f>
        <v>-6164.3835616438319</v>
      </c>
      <c r="G131" s="31">
        <v>56</v>
      </c>
      <c r="H131" s="32">
        <f t="shared" ref="H131:H134" si="67">IF(ISNUMBER(G131), (G131 - $B131) / $B131, "")</f>
        <v>-4.1095890410958881E-2</v>
      </c>
      <c r="I131" s="91">
        <f>IF(ISNUMBER(G131), $B145 * H131, "")</f>
        <v>-6164.3835616438319</v>
      </c>
      <c r="J131" s="15">
        <v>56</v>
      </c>
      <c r="K131" s="32">
        <f t="shared" ref="K131:K134" si="68">IF(ISNUMBER(J131), (J131 - $B131) / $B131, "")</f>
        <v>-4.1095890410958881E-2</v>
      </c>
      <c r="L131" s="18">
        <f>IF(ISNUMBER(J131), $B145 * K131, "")</f>
        <v>-6164.3835616438319</v>
      </c>
      <c r="M131" s="31">
        <v>55.7</v>
      </c>
      <c r="N131" s="32">
        <f t="shared" ref="N131:N134" si="69">IF(ISNUMBER(M131), (M131 - $B131) / $B131, "")</f>
        <v>-4.6232876712328695E-2</v>
      </c>
      <c r="O131" s="18">
        <f>IF(ISNUMBER(M131), $B145 * N131, "")</f>
        <v>-6934.9315068493042</v>
      </c>
      <c r="Q131" s="161"/>
      <c r="R131" s="161"/>
      <c r="S131" s="161"/>
    </row>
    <row r="132" spans="1:19" ht="17.25" thickBot="1">
      <c r="A132" s="109" t="s">
        <v>212</v>
      </c>
      <c r="B132" s="110">
        <v>80.099999999999994</v>
      </c>
      <c r="C132" s="70">
        <v>-3.8415366100000001E-2</v>
      </c>
      <c r="D132" s="15">
        <v>74.3</v>
      </c>
      <c r="E132" s="32">
        <f t="shared" si="66"/>
        <v>-7.2409488139825187E-2</v>
      </c>
      <c r="F132" s="18">
        <f>IF(ISNUMBER(D132), $B145 * E132, "")</f>
        <v>-10861.423220973778</v>
      </c>
      <c r="G132" s="31">
        <v>74.3</v>
      </c>
      <c r="H132" s="32">
        <f t="shared" si="67"/>
        <v>-7.2409488139825187E-2</v>
      </c>
      <c r="I132" s="91">
        <f>IF(ISNUMBER(G132), $B145 * H132, "")</f>
        <v>-10861.423220973778</v>
      </c>
      <c r="J132" s="15">
        <v>74.3</v>
      </c>
      <c r="K132" s="32">
        <f t="shared" si="68"/>
        <v>-7.2409488139825187E-2</v>
      </c>
      <c r="L132" s="18">
        <f>IF(ISNUMBER(J132), $B145 * K132, "")</f>
        <v>-10861.423220973778</v>
      </c>
      <c r="M132" s="31">
        <v>74.3</v>
      </c>
      <c r="N132" s="32">
        <f t="shared" si="69"/>
        <v>-7.2409488139825187E-2</v>
      </c>
      <c r="O132" s="18">
        <f>IF(ISNUMBER(M132), $B145 * N132, "")</f>
        <v>-10861.423220973778</v>
      </c>
      <c r="Q132" s="161"/>
      <c r="R132" s="161"/>
      <c r="S132" s="161"/>
    </row>
    <row r="133" spans="1:19" ht="17.25" thickBot="1">
      <c r="A133" s="109" t="s">
        <v>185</v>
      </c>
      <c r="B133" s="110">
        <v>29.6</v>
      </c>
      <c r="C133" s="70">
        <v>-3.8961039000000003E-2</v>
      </c>
      <c r="D133" s="15">
        <v>27.2</v>
      </c>
      <c r="E133" s="32">
        <f t="shared" si="66"/>
        <v>-8.1081081081081155E-2</v>
      </c>
      <c r="F133" s="18">
        <f>IF(ISNUMBER(D133), $B145 * E133, "")</f>
        <v>-12162.162162162173</v>
      </c>
      <c r="G133" s="31">
        <v>27.2</v>
      </c>
      <c r="H133" s="32">
        <f t="shared" si="67"/>
        <v>-8.1081081081081155E-2</v>
      </c>
      <c r="I133" s="91">
        <f>IF(ISNUMBER(G133), $B145 * H133, "")</f>
        <v>-12162.162162162173</v>
      </c>
      <c r="J133" s="15">
        <v>27.2</v>
      </c>
      <c r="K133" s="32">
        <f t="shared" si="68"/>
        <v>-8.1081081081081155E-2</v>
      </c>
      <c r="L133" s="18">
        <f>IF(ISNUMBER(J133), $B145 * K133, "")</f>
        <v>-12162.162162162173</v>
      </c>
      <c r="M133" s="31">
        <v>27.4</v>
      </c>
      <c r="N133" s="32">
        <f t="shared" si="69"/>
        <v>-7.4324324324324412E-2</v>
      </c>
      <c r="O133" s="18">
        <f>IF(ISNUMBER(M133), $B145 * N133, "")</f>
        <v>-11148.648648648661</v>
      </c>
      <c r="Q133" s="33"/>
      <c r="R133" s="33"/>
    </row>
    <row r="134" spans="1:19" ht="17.25" thickBot="1">
      <c r="A134" s="114" t="s">
        <v>206</v>
      </c>
      <c r="B134" s="115">
        <v>3.53</v>
      </c>
      <c r="C134" s="72">
        <v>-4.0760869599999999E-2</v>
      </c>
      <c r="D134" s="24">
        <v>3.23</v>
      </c>
      <c r="E134" s="25">
        <f t="shared" si="66"/>
        <v>-8.4985835694050951E-2</v>
      </c>
      <c r="F134" s="94">
        <f>IF(ISNUMBER(D134), $B145 * E134, "")</f>
        <v>-12747.875354107642</v>
      </c>
      <c r="G134" s="92">
        <v>3.23</v>
      </c>
      <c r="H134" s="25">
        <f t="shared" si="67"/>
        <v>-8.4985835694050951E-2</v>
      </c>
      <c r="I134" s="93">
        <f>IF(ISNUMBER(G134), $B145 * H134, "")</f>
        <v>-12747.875354107642</v>
      </c>
      <c r="J134" s="24">
        <v>3.23</v>
      </c>
      <c r="K134" s="25">
        <f t="shared" si="68"/>
        <v>-8.4985835694050951E-2</v>
      </c>
      <c r="L134" s="94">
        <f>IF(ISNUMBER(J134), $B145 * K134, "")</f>
        <v>-12747.875354107642</v>
      </c>
      <c r="M134" s="92">
        <v>3.22</v>
      </c>
      <c r="N134" s="25">
        <f t="shared" si="69"/>
        <v>-8.781869688385259E-2</v>
      </c>
      <c r="O134" s="94">
        <f>IF(ISNUMBER(M134), $B145 * N134, "")</f>
        <v>-13172.804532577889</v>
      </c>
      <c r="Q134" s="170"/>
      <c r="R134" s="171"/>
      <c r="S134" s="172"/>
    </row>
    <row r="135" spans="1:19">
      <c r="A135" s="107" t="s">
        <v>143</v>
      </c>
      <c r="B135" s="108">
        <v>3.85</v>
      </c>
      <c r="C135" s="69">
        <v>-4.22885572E-2</v>
      </c>
      <c r="D135" s="13">
        <v>3.51</v>
      </c>
      <c r="E135" s="14">
        <f>IF(ISNUMBER(D135), (D135 - $B135) / $B135, "")</f>
        <v>-8.8311688311688383E-2</v>
      </c>
      <c r="F135" s="16">
        <f>IF(ISNUMBER(D135), $B145 * E135, "")</f>
        <v>-13246.753246753258</v>
      </c>
      <c r="G135" s="29">
        <v>3.51</v>
      </c>
      <c r="H135" s="14">
        <f>IF(ISNUMBER(G135), (G135 - $B135) / $B135, "")</f>
        <v>-8.8311688311688383E-2</v>
      </c>
      <c r="I135" s="90">
        <f>IF(ISNUMBER(G135), $B145 * H135, "")</f>
        <v>-13246.753246753258</v>
      </c>
      <c r="J135" s="13">
        <v>3.51</v>
      </c>
      <c r="K135" s="14">
        <f>IF(ISNUMBER(J135), (J135 - $B135) / $B135, "")</f>
        <v>-8.8311688311688383E-2</v>
      </c>
      <c r="L135" s="16">
        <f>IF(ISNUMBER(J135), $B145 * K135, "")</f>
        <v>-13246.753246753258</v>
      </c>
      <c r="M135" s="29">
        <v>3.51</v>
      </c>
      <c r="N135" s="14">
        <f>IF(ISNUMBER(M135), (M135 - $B135) / $B135, "")</f>
        <v>-8.8311688311688383E-2</v>
      </c>
      <c r="O135" s="16">
        <f>IF(ISNUMBER(M135), $B145 * N135, "")</f>
        <v>-13246.753246753258</v>
      </c>
      <c r="Q135" s="173"/>
      <c r="R135" s="174"/>
      <c r="S135" s="175"/>
    </row>
    <row r="136" spans="1:19" ht="17.25" thickBot="1">
      <c r="A136" s="109" t="s">
        <v>228</v>
      </c>
      <c r="B136" s="110">
        <v>60.2</v>
      </c>
      <c r="C136" s="70">
        <v>-4.29252782E-2</v>
      </c>
      <c r="D136" s="15">
        <v>54</v>
      </c>
      <c r="E136" s="32">
        <f t="shared" ref="E136:E139" si="70">IF(ISNUMBER(D136), (D136 - $B136) / $B136, "")</f>
        <v>-0.1029900332225914</v>
      </c>
      <c r="F136" s="18">
        <f>IF(ISNUMBER(D136), $B145 * E136, "")</f>
        <v>-15448.50498338871</v>
      </c>
      <c r="G136" s="31">
        <v>54</v>
      </c>
      <c r="H136" s="32">
        <f t="shared" ref="H136:H139" si="71">IF(ISNUMBER(G136), (G136 - $B136) / $B136, "")</f>
        <v>-0.1029900332225914</v>
      </c>
      <c r="I136" s="91">
        <f>IF(ISNUMBER(G136), $B145 * H136, "")</f>
        <v>-15448.50498338871</v>
      </c>
      <c r="J136" s="15">
        <v>54</v>
      </c>
      <c r="K136" s="32">
        <f t="shared" ref="K136:K139" si="72">IF(ISNUMBER(J136), (J136 - $B136) / $B136, "")</f>
        <v>-0.1029900332225914</v>
      </c>
      <c r="L136" s="18">
        <f>IF(ISNUMBER(J136), $B145 * K136, "")</f>
        <v>-15448.50498338871</v>
      </c>
      <c r="M136" s="31">
        <v>54.4</v>
      </c>
      <c r="N136" s="32">
        <f t="shared" ref="N136:N139" si="73">IF(ISNUMBER(M136), (M136 - $B136) / $B136, "")</f>
        <v>-9.6345514950166175E-2</v>
      </c>
      <c r="O136" s="18">
        <f>IF(ISNUMBER(M136), $B145 * N136, "")</f>
        <v>-14451.827242524927</v>
      </c>
      <c r="Q136" s="176"/>
      <c r="R136" s="177"/>
      <c r="S136" s="178"/>
    </row>
    <row r="137" spans="1:19" ht="17.25" thickBot="1">
      <c r="A137" s="109" t="s">
        <v>155</v>
      </c>
      <c r="B137" s="110">
        <v>28.5</v>
      </c>
      <c r="C137" s="70">
        <v>-4.3624161100000003E-2</v>
      </c>
      <c r="D137" s="15">
        <v>27</v>
      </c>
      <c r="E137" s="32">
        <f t="shared" si="70"/>
        <v>-5.2631578947368418E-2</v>
      </c>
      <c r="F137" s="18">
        <f>IF(ISNUMBER(D137), $B145 * E137, "")</f>
        <v>-7894.7368421052624</v>
      </c>
      <c r="G137" s="31">
        <v>27</v>
      </c>
      <c r="H137" s="32">
        <f t="shared" si="71"/>
        <v>-5.2631578947368418E-2</v>
      </c>
      <c r="I137" s="91">
        <f>IF(ISNUMBER(G137), $B145 * H137, "")</f>
        <v>-7894.7368421052624</v>
      </c>
      <c r="J137" s="15">
        <v>27</v>
      </c>
      <c r="K137" s="32">
        <f t="shared" si="72"/>
        <v>-5.2631578947368418E-2</v>
      </c>
      <c r="L137" s="18">
        <f>IF(ISNUMBER(J137), $B145 * K137, "")</f>
        <v>-7894.7368421052624</v>
      </c>
      <c r="M137" s="31">
        <v>26.8</v>
      </c>
      <c r="N137" s="32">
        <f t="shared" si="73"/>
        <v>-5.9649122807017521E-2</v>
      </c>
      <c r="O137" s="18">
        <f>IF(ISNUMBER(M137), $B145 * N137, "")</f>
        <v>-8947.368421052628</v>
      </c>
      <c r="Q137" s="161"/>
      <c r="R137" s="161"/>
      <c r="S137" s="161"/>
    </row>
    <row r="138" spans="1:19" ht="17.25" thickBot="1">
      <c r="A138" s="109" t="s">
        <v>220</v>
      </c>
      <c r="B138" s="110">
        <v>69.7</v>
      </c>
      <c r="C138" s="70">
        <v>-4.52054795E-2</v>
      </c>
      <c r="D138" s="15">
        <v>64.099999999999994</v>
      </c>
      <c r="E138" s="32">
        <f t="shared" si="70"/>
        <v>-8.0344332855093376E-2</v>
      </c>
      <c r="F138" s="18">
        <f>IF(ISNUMBER(D138), $B145 * E138, "")</f>
        <v>-12051.649928264007</v>
      </c>
      <c r="G138" s="31">
        <v>64.099999999999994</v>
      </c>
      <c r="H138" s="32">
        <f t="shared" si="71"/>
        <v>-8.0344332855093376E-2</v>
      </c>
      <c r="I138" s="91">
        <f>IF(ISNUMBER(G138), $B145 * H138, "")</f>
        <v>-12051.649928264007</v>
      </c>
      <c r="J138" s="15">
        <v>64.099999999999994</v>
      </c>
      <c r="K138" s="32">
        <f t="shared" si="72"/>
        <v>-8.0344332855093376E-2</v>
      </c>
      <c r="L138" s="18">
        <f>IF(ISNUMBER(J138), $B145 * K138, "")</f>
        <v>-12051.649928264007</v>
      </c>
      <c r="M138" s="31">
        <v>63.3</v>
      </c>
      <c r="N138" s="32">
        <f t="shared" si="73"/>
        <v>-9.1822094691535225E-2</v>
      </c>
      <c r="O138" s="18">
        <f>IF(ISNUMBER(M138), $B145 * N138, "")</f>
        <v>-13773.314203730284</v>
      </c>
      <c r="Q138" s="156"/>
      <c r="R138" s="156"/>
      <c r="S138" s="156"/>
    </row>
    <row r="139" spans="1:19" ht="17.25" thickBot="1">
      <c r="A139" s="111" t="s">
        <v>64</v>
      </c>
      <c r="B139" s="112">
        <v>10.3</v>
      </c>
      <c r="C139" s="71">
        <v>-4.6296296299999998E-2</v>
      </c>
      <c r="D139" s="20">
        <v>9.61</v>
      </c>
      <c r="E139" s="21">
        <f t="shared" si="70"/>
        <v>-6.6990291262136042E-2</v>
      </c>
      <c r="F139" s="22">
        <f>IF(ISNUMBER(D139), $B145 * E139, "")</f>
        <v>-10048.543689320406</v>
      </c>
      <c r="G139" s="30">
        <v>9.61</v>
      </c>
      <c r="H139" s="21">
        <f t="shared" si="71"/>
        <v>-6.6990291262136042E-2</v>
      </c>
      <c r="I139" s="95">
        <f>IF(ISNUMBER(G139), $B145 * H139, "")</f>
        <v>-10048.543689320406</v>
      </c>
      <c r="J139" s="20">
        <v>9.61</v>
      </c>
      <c r="K139" s="21">
        <f t="shared" si="72"/>
        <v>-6.6990291262136042E-2</v>
      </c>
      <c r="L139" s="22">
        <f>IF(ISNUMBER(J139), $B145 * K139, "")</f>
        <v>-10048.543689320406</v>
      </c>
      <c r="M139" s="30">
        <v>9.66</v>
      </c>
      <c r="N139" s="21">
        <f t="shared" si="73"/>
        <v>-6.213592233009714E-2</v>
      </c>
      <c r="O139" s="22">
        <f>IF(ISNUMBER(M139), $B145 * N139, "")</f>
        <v>-9320.388349514571</v>
      </c>
      <c r="Q139" s="156"/>
      <c r="R139" s="156"/>
      <c r="S139" s="156"/>
    </row>
    <row r="140" spans="1:19" ht="17.25" thickBot="1">
      <c r="A140" s="109" t="s">
        <v>141</v>
      </c>
      <c r="B140" s="113">
        <v>3.42</v>
      </c>
      <c r="C140" s="73">
        <v>-4.73537604E-2</v>
      </c>
      <c r="D140" s="96">
        <v>3.18</v>
      </c>
      <c r="E140" s="97">
        <f>IF(ISNUMBER(D140), (D140 - $B140) / $B140, "")</f>
        <v>-7.0175438596491169E-2</v>
      </c>
      <c r="F140" s="98">
        <f>IF(ISNUMBER(D140), $B145 * E140, "")</f>
        <v>-10526.315789473676</v>
      </c>
      <c r="G140" s="99">
        <v>3.18</v>
      </c>
      <c r="H140" s="97">
        <f>IF(ISNUMBER(G140), (G140 - $B140) / $B140, "")</f>
        <v>-7.0175438596491169E-2</v>
      </c>
      <c r="I140" s="100">
        <f>IF(ISNUMBER(G140), $B145 * H140, "")</f>
        <v>-10526.315789473676</v>
      </c>
      <c r="J140" s="96">
        <v>3.18</v>
      </c>
      <c r="K140" s="97">
        <f>IF(ISNUMBER(J140), (J140 - $B140) / $B140, "")</f>
        <v>-7.0175438596491169E-2</v>
      </c>
      <c r="L140" s="98">
        <f>IF(ISNUMBER(J140), $B145 * K140, "")</f>
        <v>-10526.315789473676</v>
      </c>
      <c r="M140" s="99">
        <v>3.19</v>
      </c>
      <c r="N140" s="97">
        <f>IF(ISNUMBER(M140), (M140 - $B140) / $B140, "")</f>
        <v>-6.725146198830409E-2</v>
      </c>
      <c r="O140" s="98">
        <f>IF(ISNUMBER(M140), $B145 * N140, "")</f>
        <v>-10087.719298245613</v>
      </c>
      <c r="Q140" s="161"/>
      <c r="R140" s="161"/>
      <c r="S140" s="161"/>
    </row>
    <row r="141" spans="1:19" ht="17.25" thickBot="1">
      <c r="A141" s="109" t="s">
        <v>118</v>
      </c>
      <c r="B141" s="110">
        <v>6.07</v>
      </c>
      <c r="C141" s="70">
        <v>-4.8589341699999997E-2</v>
      </c>
      <c r="D141" s="15">
        <v>5.45</v>
      </c>
      <c r="E141" s="32">
        <f t="shared" ref="E141:E144" si="74">IF(ISNUMBER(D141), (D141 - $B141) / $B141, "")</f>
        <v>-0.10214168039538717</v>
      </c>
      <c r="F141" s="18">
        <f>IF(ISNUMBER(D141), $B145 * E141, "")</f>
        <v>-15321.252059308075</v>
      </c>
      <c r="G141" s="31">
        <v>5.45</v>
      </c>
      <c r="H141" s="32">
        <f t="shared" ref="H141:H144" si="75">IF(ISNUMBER(G141), (G141 - $B141) / $B141, "")</f>
        <v>-0.10214168039538717</v>
      </c>
      <c r="I141" s="91">
        <f>IF(ISNUMBER(G141), $B145 * H141, "")</f>
        <v>-15321.252059308075</v>
      </c>
      <c r="J141" s="15">
        <v>5.45</v>
      </c>
      <c r="K141" s="32">
        <f t="shared" ref="K141:K144" si="76">IF(ISNUMBER(J141), (J141 - $B141) / $B141, "")</f>
        <v>-0.10214168039538717</v>
      </c>
      <c r="L141" s="18">
        <f>IF(ISNUMBER(J141), $B145 * K141, "")</f>
        <v>-15321.252059308075</v>
      </c>
      <c r="M141" s="31">
        <v>5.43</v>
      </c>
      <c r="N141" s="32">
        <f t="shared" ref="N141:N144" si="77">IF(ISNUMBER(M141), (M141 - $B141) / $B141, "")</f>
        <v>-0.10543657331136747</v>
      </c>
      <c r="O141" s="18">
        <f>IF(ISNUMBER(M141), $B145 * N141, "")</f>
        <v>-15815.48599670512</v>
      </c>
      <c r="Q141" s="161"/>
      <c r="R141" s="161"/>
      <c r="S141" s="161"/>
    </row>
    <row r="142" spans="1:19" ht="17.25" thickBot="1">
      <c r="A142" s="109" t="s">
        <v>326</v>
      </c>
      <c r="B142" s="110">
        <v>22.5</v>
      </c>
      <c r="C142" s="70">
        <v>-5.0632911400000001E-2</v>
      </c>
      <c r="D142" s="15">
        <v>20.5</v>
      </c>
      <c r="E142" s="32">
        <f t="shared" si="74"/>
        <v>-8.8888888888888892E-2</v>
      </c>
      <c r="F142" s="18">
        <f>IF(ISNUMBER(D142), $B145 * E142, "")</f>
        <v>-13333.333333333334</v>
      </c>
      <c r="G142" s="31">
        <v>20.5</v>
      </c>
      <c r="H142" s="32">
        <f t="shared" si="75"/>
        <v>-8.8888888888888892E-2</v>
      </c>
      <c r="I142" s="91">
        <f>IF(ISNUMBER(G142), $B145 * H142, "")</f>
        <v>-13333.333333333334</v>
      </c>
      <c r="J142" s="15">
        <v>20.5</v>
      </c>
      <c r="K142" s="32">
        <f t="shared" si="76"/>
        <v>-8.8888888888888892E-2</v>
      </c>
      <c r="L142" s="18">
        <f>IF(ISNUMBER(J142), $B145 * K142, "")</f>
        <v>-13333.333333333334</v>
      </c>
      <c r="M142" s="31">
        <v>20.5</v>
      </c>
      <c r="N142" s="32">
        <f t="shared" si="77"/>
        <v>-8.8888888888888892E-2</v>
      </c>
      <c r="O142" s="18">
        <f>IF(ISNUMBER(M142), $B145 * N142, "")</f>
        <v>-13333.333333333334</v>
      </c>
      <c r="Q142" s="161"/>
      <c r="R142" s="161"/>
      <c r="S142" s="161"/>
    </row>
    <row r="143" spans="1:19">
      <c r="A143" s="109" t="s">
        <v>350</v>
      </c>
      <c r="B143" s="110">
        <v>6.92</v>
      </c>
      <c r="C143" s="70">
        <v>-5.2054794500000001E-2</v>
      </c>
      <c r="D143" s="15">
        <v>6.68</v>
      </c>
      <c r="E143" s="32">
        <f t="shared" si="74"/>
        <v>-3.4682080924855523E-2</v>
      </c>
      <c r="F143" s="18">
        <f>IF(ISNUMBER(D143), $B145 * E143, "")</f>
        <v>-5202.3121387283281</v>
      </c>
      <c r="G143" s="31">
        <v>6.68</v>
      </c>
      <c r="H143" s="32">
        <f t="shared" si="75"/>
        <v>-3.4682080924855523E-2</v>
      </c>
      <c r="I143" s="91">
        <f>IF(ISNUMBER(G143), $B145 * H143, "")</f>
        <v>-5202.3121387283281</v>
      </c>
      <c r="J143" s="15">
        <v>6.68</v>
      </c>
      <c r="K143" s="32">
        <f t="shared" si="76"/>
        <v>-3.4682080924855523E-2</v>
      </c>
      <c r="L143" s="18">
        <f>IF(ISNUMBER(J143), $B145 * K143, "")</f>
        <v>-5202.3121387283281</v>
      </c>
      <c r="M143" s="31">
        <v>6.64</v>
      </c>
      <c r="N143" s="32">
        <f t="shared" si="77"/>
        <v>-4.0462427745664775E-2</v>
      </c>
      <c r="O143" s="18">
        <f>IF(ISNUMBER(M143), $B145 * N143, "")</f>
        <v>-6069.3641618497159</v>
      </c>
      <c r="Q143" s="183"/>
      <c r="R143" s="184"/>
      <c r="S143" s="185"/>
    </row>
    <row r="144" spans="1:19" ht="17.25" thickBot="1">
      <c r="A144" s="114" t="s">
        <v>198</v>
      </c>
      <c r="B144" s="115">
        <v>8.19</v>
      </c>
      <c r="C144" s="72">
        <v>-7.6662908700000004E-2</v>
      </c>
      <c r="D144" s="24">
        <v>7.05</v>
      </c>
      <c r="E144" s="25">
        <f t="shared" si="74"/>
        <v>-0.13919413919413917</v>
      </c>
      <c r="F144" s="94">
        <f>IF(ISNUMBER(D144), $B145 * E144, "")</f>
        <v>-20879.120879120877</v>
      </c>
      <c r="G144" s="92">
        <v>7.05</v>
      </c>
      <c r="H144" s="25">
        <f t="shared" si="75"/>
        <v>-0.13919413919413917</v>
      </c>
      <c r="I144" s="93">
        <f>IF(ISNUMBER(G144), $B145 * H144, "")</f>
        <v>-20879.120879120877</v>
      </c>
      <c r="J144" s="24">
        <v>7.05</v>
      </c>
      <c r="K144" s="25">
        <f t="shared" si="76"/>
        <v>-0.13919413919413917</v>
      </c>
      <c r="L144" s="94">
        <f>IF(ISNUMBER(J144), $B145 * K144, "")</f>
        <v>-20879.120879120877</v>
      </c>
      <c r="M144" s="92">
        <v>7.07</v>
      </c>
      <c r="N144" s="25">
        <f t="shared" si="77"/>
        <v>-0.13675213675213665</v>
      </c>
      <c r="O144" s="94">
        <f>IF(ISNUMBER(M144), $B145 * N144, "")</f>
        <v>-20512.820512820497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-7.7166588388346752E-2</v>
      </c>
      <c r="F145" s="28">
        <f>SUM(F125:F144)</f>
        <v>-231499.76516504033</v>
      </c>
      <c r="G145" s="26" t="s">
        <v>261</v>
      </c>
      <c r="H145" s="27">
        <f>IF(COUNT(H125:H144), SUM(H125:H144) / COUNT(H125:H144), 0)</f>
        <v>-7.7166588388346752E-2</v>
      </c>
      <c r="I145" s="28">
        <f>SUM(I125:I144)</f>
        <v>-231499.76516504033</v>
      </c>
      <c r="J145" s="26" t="s">
        <v>261</v>
      </c>
      <c r="K145" s="27">
        <f>IF(COUNT(K125:K144), SUM(K125:K144) / COUNT(K125:K144), 0)</f>
        <v>-7.7166588388346752E-2</v>
      </c>
      <c r="L145" s="28">
        <f>SUM(L125:L144)</f>
        <v>-231499.76516504033</v>
      </c>
      <c r="M145" s="26" t="s">
        <v>261</v>
      </c>
      <c r="N145" s="27">
        <f>IF(COUNT(N125:N144), SUM(N125:N144) / COUNT(N125:N144), 0)</f>
        <v>-7.8300065649790043E-2</v>
      </c>
      <c r="O145" s="28">
        <f>SUM(O125:O144)</f>
        <v>-234900.19694937023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2022-12-17(토) 오전 00:00</v>
      </c>
      <c r="C150" s="199"/>
      <c r="D150" s="158" t="str">
        <f>TEXT($G$1, "[$-ko-KR]yyyy-mm-dd(ddd) ") &amp; "오후 14:00"</f>
        <v>2022-12-17(토) 오후 14:00</v>
      </c>
      <c r="E150" s="159"/>
      <c r="F150" s="160"/>
      <c r="G150" s="158" t="str">
        <f>TEXT($G$1, "[$-ko-KR]yyyy-mm-dd(ddd) ") &amp; "오후 19:00"</f>
        <v>2022-12-17(토) 오후 19:00</v>
      </c>
      <c r="H150" s="159"/>
      <c r="I150" s="160"/>
      <c r="J150" s="158" t="str">
        <f>TEXT($G$1, "[$-ko-KR]yyyy-mm-dd(ddd) ") &amp; "오후 21:00"</f>
        <v>2022-12-17(토) 오후 21:00</v>
      </c>
      <c r="K150" s="159"/>
      <c r="L150" s="160"/>
      <c r="M150" s="158" t="str">
        <f>TEXT($G$1+1, "[$-ko-KR]yyyy-mm-dd(ddd) ") &amp; "오전 00:00"</f>
        <v>2022-12-18(일)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105</v>
      </c>
      <c r="B152" s="108">
        <v>216</v>
      </c>
      <c r="C152" s="69">
        <v>-0.04</v>
      </c>
      <c r="D152" s="13">
        <v>197</v>
      </c>
      <c r="E152" s="14">
        <f>IF(ISNUMBER(D152), (D152 - $B152) / $B152, "")</f>
        <v>-8.7962962962962965E-2</v>
      </c>
      <c r="F152" s="16">
        <f>IF(ISNUMBER(D152), $B172 * E152, "")</f>
        <v>-13194.444444444445</v>
      </c>
      <c r="G152" s="29">
        <v>197</v>
      </c>
      <c r="H152" s="14">
        <f>IF(ISNUMBER(G152), (G152 - $B152) / $B152, "")</f>
        <v>-8.7962962962962965E-2</v>
      </c>
      <c r="I152" s="90">
        <f>IF(ISNUMBER(G152), $B172 * H152, "")</f>
        <v>-13194.444444444445</v>
      </c>
      <c r="J152" s="13">
        <v>197</v>
      </c>
      <c r="K152" s="14">
        <f>IF(ISNUMBER(J152), (J152 - $B152) / $B152, "")</f>
        <v>-8.7962962962962965E-2</v>
      </c>
      <c r="L152" s="16">
        <f>IF(ISNUMBER(J152), $B172 * K152, "")</f>
        <v>-13194.444444444445</v>
      </c>
      <c r="M152" s="29">
        <v>198</v>
      </c>
      <c r="N152" s="14">
        <f>IF(ISNUMBER(M152), (M152 - $B152) / $B152, "")</f>
        <v>-8.3333333333333329E-2</v>
      </c>
      <c r="O152" s="16">
        <f>IF(ISNUMBER(M152), $B172 * N152, "")</f>
        <v>-12500</v>
      </c>
      <c r="Q152" s="156"/>
      <c r="R152" s="156"/>
      <c r="S152" s="156"/>
    </row>
    <row r="153" spans="1:19" ht="17.25" thickBot="1">
      <c r="A153" s="109" t="s">
        <v>153</v>
      </c>
      <c r="B153" s="110">
        <v>403</v>
      </c>
      <c r="C153" s="70">
        <v>-4.0476190500000002E-2</v>
      </c>
      <c r="D153" s="15">
        <v>355</v>
      </c>
      <c r="E153" s="32">
        <f t="shared" ref="E153:E156" si="78">IF(ISNUMBER(D153), (D153 - $B153) / $B153, "")</f>
        <v>-0.11910669975186104</v>
      </c>
      <c r="F153" s="18">
        <f>IF(ISNUMBER(D153), $B172 * E153, "")</f>
        <v>-17866.004962779156</v>
      </c>
      <c r="G153" s="31">
        <v>355</v>
      </c>
      <c r="H153" s="32">
        <f t="shared" ref="H153:H156" si="79">IF(ISNUMBER(G153), (G153 - $B153) / $B153, "")</f>
        <v>-0.11910669975186104</v>
      </c>
      <c r="I153" s="91">
        <f>IF(ISNUMBER(G153), $B172 * H153, "")</f>
        <v>-17866.004962779156</v>
      </c>
      <c r="J153" s="15">
        <v>355</v>
      </c>
      <c r="K153" s="32">
        <f t="shared" ref="K153:K156" si="80">IF(ISNUMBER(J153), (J153 - $B153) / $B153, "")</f>
        <v>-0.11910669975186104</v>
      </c>
      <c r="L153" s="18">
        <f>IF(ISNUMBER(J153), $B172 * K153, "")</f>
        <v>-17866.004962779156</v>
      </c>
      <c r="M153" s="31">
        <v>355</v>
      </c>
      <c r="N153" s="32">
        <f t="shared" ref="N153:N156" si="81">IF(ISNUMBER(M153), (M153 - $B153) / $B153, "")</f>
        <v>-0.11910669975186104</v>
      </c>
      <c r="O153" s="18">
        <f>IF(ISNUMBER(M153), $B172 * N153, "")</f>
        <v>-17866.004962779156</v>
      </c>
      <c r="Q153" s="156"/>
      <c r="R153" s="156"/>
      <c r="S153" s="156"/>
    </row>
    <row r="154" spans="1:19" ht="17.25" thickBot="1">
      <c r="A154" s="109" t="s">
        <v>169</v>
      </c>
      <c r="B154" s="110">
        <v>237</v>
      </c>
      <c r="C154" s="70">
        <v>-4.048583E-2</v>
      </c>
      <c r="D154" s="15">
        <v>224</v>
      </c>
      <c r="E154" s="32">
        <f t="shared" si="78"/>
        <v>-5.4852320675105488E-2</v>
      </c>
      <c r="F154" s="18">
        <f>IF(ISNUMBER(D154), $B172 * E154, "")</f>
        <v>-8227.8481012658231</v>
      </c>
      <c r="G154" s="31">
        <v>224</v>
      </c>
      <c r="H154" s="32">
        <f t="shared" si="79"/>
        <v>-5.4852320675105488E-2</v>
      </c>
      <c r="I154" s="91">
        <f>IF(ISNUMBER(G154), $B172 * H154, "")</f>
        <v>-8227.8481012658231</v>
      </c>
      <c r="J154" s="15">
        <v>224</v>
      </c>
      <c r="K154" s="32">
        <f t="shared" si="80"/>
        <v>-5.4852320675105488E-2</v>
      </c>
      <c r="L154" s="18">
        <f>IF(ISNUMBER(J154), $B172 * K154, "")</f>
        <v>-8227.8481012658231</v>
      </c>
      <c r="M154" s="31">
        <v>224</v>
      </c>
      <c r="N154" s="32">
        <f t="shared" si="81"/>
        <v>-5.4852320675105488E-2</v>
      </c>
      <c r="O154" s="18">
        <f>IF(ISNUMBER(M154), $B172 * N154, "")</f>
        <v>-8227.8481012658231</v>
      </c>
      <c r="Q154" s="161"/>
      <c r="R154" s="161"/>
      <c r="S154" s="161"/>
    </row>
    <row r="155" spans="1:19" ht="17.25" thickBot="1">
      <c r="A155" s="109" t="s">
        <v>232</v>
      </c>
      <c r="B155" s="110">
        <v>281</v>
      </c>
      <c r="C155" s="70">
        <v>-4.0955631399999998E-2</v>
      </c>
      <c r="D155" s="15">
        <v>251</v>
      </c>
      <c r="E155" s="32">
        <f t="shared" si="78"/>
        <v>-0.10676156583629894</v>
      </c>
      <c r="F155" s="18">
        <f>IF(ISNUMBER(D155), $B172 * E155, "")</f>
        <v>-16014.234875444841</v>
      </c>
      <c r="G155" s="31">
        <v>251</v>
      </c>
      <c r="H155" s="32">
        <f t="shared" si="79"/>
        <v>-0.10676156583629894</v>
      </c>
      <c r="I155" s="91">
        <f>IF(ISNUMBER(G155), $B172 * H155, "")</f>
        <v>-16014.234875444841</v>
      </c>
      <c r="J155" s="15">
        <v>251</v>
      </c>
      <c r="K155" s="32">
        <f t="shared" si="80"/>
        <v>-0.10676156583629894</v>
      </c>
      <c r="L155" s="18">
        <f>IF(ISNUMBER(J155), $B172 * K155, "")</f>
        <v>-16014.234875444841</v>
      </c>
      <c r="M155" s="31">
        <v>252</v>
      </c>
      <c r="N155" s="32">
        <f t="shared" si="81"/>
        <v>-0.10320284697508897</v>
      </c>
      <c r="O155" s="18">
        <f>IF(ISNUMBER(M155), $B172 * N155, "")</f>
        <v>-15480.427046263345</v>
      </c>
      <c r="Q155" s="161"/>
      <c r="R155" s="161"/>
      <c r="S155" s="161"/>
    </row>
    <row r="156" spans="1:19" ht="17.25" thickBot="1">
      <c r="A156" s="111" t="s">
        <v>101</v>
      </c>
      <c r="B156" s="112">
        <v>233</v>
      </c>
      <c r="C156" s="71">
        <v>-4.11522634E-2</v>
      </c>
      <c r="D156" s="20">
        <v>216</v>
      </c>
      <c r="E156" s="21">
        <f t="shared" si="78"/>
        <v>-7.2961373390557943E-2</v>
      </c>
      <c r="F156" s="22">
        <f>IF(ISNUMBER(D156), $B172 * E156, "")</f>
        <v>-10944.206008583691</v>
      </c>
      <c r="G156" s="30">
        <v>216</v>
      </c>
      <c r="H156" s="21">
        <f t="shared" si="79"/>
        <v>-7.2961373390557943E-2</v>
      </c>
      <c r="I156" s="95">
        <f>IF(ISNUMBER(G156), $B172 * H156, "")</f>
        <v>-10944.206008583691</v>
      </c>
      <c r="J156" s="20">
        <v>216</v>
      </c>
      <c r="K156" s="21">
        <f t="shared" si="80"/>
        <v>-7.2961373390557943E-2</v>
      </c>
      <c r="L156" s="22">
        <f>IF(ISNUMBER(J156), $B172 * K156, "")</f>
        <v>-10944.206008583691</v>
      </c>
      <c r="M156" s="30">
        <v>215</v>
      </c>
      <c r="N156" s="21">
        <f t="shared" si="81"/>
        <v>-7.7253218884120178E-2</v>
      </c>
      <c r="O156" s="22">
        <f>IF(ISNUMBER(M156), $B172 * N156, "")</f>
        <v>-11587.982832618027</v>
      </c>
      <c r="Q156" s="161"/>
      <c r="R156" s="161"/>
      <c r="S156" s="161"/>
    </row>
    <row r="157" spans="1:19" ht="17.25" thickBot="1">
      <c r="A157" s="109" t="s">
        <v>149</v>
      </c>
      <c r="B157" s="113">
        <v>369</v>
      </c>
      <c r="C157" s="73">
        <v>-4.1558441600000003E-2</v>
      </c>
      <c r="D157" s="96">
        <v>345</v>
      </c>
      <c r="E157" s="97">
        <f>IF(ISNUMBER(D157), (D157 - $B157) / $B157, "")</f>
        <v>-6.5040650406504072E-2</v>
      </c>
      <c r="F157" s="98">
        <f>IF(ISNUMBER(D157), $B172 * E157, "")</f>
        <v>-9756.0975609756115</v>
      </c>
      <c r="G157" s="99">
        <v>345</v>
      </c>
      <c r="H157" s="97">
        <f>IF(ISNUMBER(G157), (G157 - $B157) / $B157, "")</f>
        <v>-6.5040650406504072E-2</v>
      </c>
      <c r="I157" s="100">
        <f>IF(ISNUMBER(G157), $B172 * H157, "")</f>
        <v>-9756.0975609756115</v>
      </c>
      <c r="J157" s="96">
        <v>345</v>
      </c>
      <c r="K157" s="97">
        <f>IF(ISNUMBER(J157), (J157 - $B157) / $B157, "")</f>
        <v>-6.5040650406504072E-2</v>
      </c>
      <c r="L157" s="98">
        <f>IF(ISNUMBER(J157), $B172 * K157, "")</f>
        <v>-9756.0975609756115</v>
      </c>
      <c r="M157" s="99">
        <v>345</v>
      </c>
      <c r="N157" s="97">
        <f>IF(ISNUMBER(M157), (M157 - $B157) / $B157, "")</f>
        <v>-6.5040650406504072E-2</v>
      </c>
      <c r="O157" s="98">
        <f>IF(ISNUMBER(M157), $B172 * N157, "")</f>
        <v>-9756.0975609756115</v>
      </c>
      <c r="Q157" s="161"/>
      <c r="R157" s="161"/>
      <c r="S157" s="161"/>
    </row>
    <row r="158" spans="1:19" ht="17.25" thickBot="1">
      <c r="A158" s="109" t="s">
        <v>167</v>
      </c>
      <c r="B158" s="110">
        <v>184</v>
      </c>
      <c r="C158" s="70">
        <v>-4.16666667E-2</v>
      </c>
      <c r="D158" s="15">
        <v>168</v>
      </c>
      <c r="E158" s="32">
        <f t="shared" ref="E158:E161" si="82">IF(ISNUMBER(D158), (D158 - $B158) / $B158, "")</f>
        <v>-8.6956521739130432E-2</v>
      </c>
      <c r="F158" s="18">
        <f>IF(ISNUMBER(D158), $B172 * E158, "")</f>
        <v>-13043.478260869564</v>
      </c>
      <c r="G158" s="31">
        <v>168</v>
      </c>
      <c r="H158" s="32">
        <f t="shared" ref="H158:H161" si="83">IF(ISNUMBER(G158), (G158 - $B158) / $B158, "")</f>
        <v>-8.6956521739130432E-2</v>
      </c>
      <c r="I158" s="91">
        <f>IF(ISNUMBER(G158), $B172 * H158, "")</f>
        <v>-13043.478260869564</v>
      </c>
      <c r="J158" s="15">
        <v>168</v>
      </c>
      <c r="K158" s="32">
        <f t="shared" ref="K158:K161" si="84">IF(ISNUMBER(J158), (J158 - $B158) / $B158, "")</f>
        <v>-8.6956521739130432E-2</v>
      </c>
      <c r="L158" s="18">
        <f>IF(ISNUMBER(J158), $B172 * K158, "")</f>
        <v>-13043.478260869564</v>
      </c>
      <c r="M158" s="31">
        <v>169</v>
      </c>
      <c r="N158" s="32">
        <f t="shared" ref="N158:N161" si="85">IF(ISNUMBER(M158), (M158 - $B158) / $B158, "")</f>
        <v>-8.1521739130434784E-2</v>
      </c>
      <c r="O158" s="18">
        <f>IF(ISNUMBER(M158), $B172 * N158, "")</f>
        <v>-12228.260869565218</v>
      </c>
      <c r="Q158" s="161"/>
      <c r="R158" s="161"/>
      <c r="S158" s="161"/>
    </row>
    <row r="159" spans="1:19" ht="17.25" thickBot="1">
      <c r="A159" s="109" t="s">
        <v>176</v>
      </c>
      <c r="B159" s="110">
        <v>322</v>
      </c>
      <c r="C159" s="70">
        <v>-4.16666667E-2</v>
      </c>
      <c r="D159" s="15">
        <v>297</v>
      </c>
      <c r="E159" s="32">
        <f t="shared" si="82"/>
        <v>-7.7639751552795025E-2</v>
      </c>
      <c r="F159" s="18">
        <f>IF(ISNUMBER(D159), $B172 * E159, "")</f>
        <v>-11645.962732919254</v>
      </c>
      <c r="G159" s="31">
        <v>297</v>
      </c>
      <c r="H159" s="32">
        <f t="shared" si="83"/>
        <v>-7.7639751552795025E-2</v>
      </c>
      <c r="I159" s="91">
        <f>IF(ISNUMBER(G159), $B172 * H159, "")</f>
        <v>-11645.962732919254</v>
      </c>
      <c r="J159" s="15">
        <v>297</v>
      </c>
      <c r="K159" s="32">
        <f t="shared" si="84"/>
        <v>-7.7639751552795025E-2</v>
      </c>
      <c r="L159" s="18">
        <f>IF(ISNUMBER(J159), $B172 * K159, "")</f>
        <v>-11645.962732919254</v>
      </c>
      <c r="M159" s="31">
        <v>295</v>
      </c>
      <c r="N159" s="32">
        <f t="shared" si="85"/>
        <v>-8.3850931677018639E-2</v>
      </c>
      <c r="O159" s="18">
        <f>IF(ISNUMBER(M159), $B172 * N159, "")</f>
        <v>-12577.639751552795</v>
      </c>
      <c r="Q159" s="161"/>
      <c r="R159" s="161"/>
      <c r="S159" s="161"/>
    </row>
    <row r="160" spans="1:19" ht="17.25" thickBot="1">
      <c r="A160" s="109" t="s">
        <v>183</v>
      </c>
      <c r="B160" s="110">
        <v>136</v>
      </c>
      <c r="C160" s="70">
        <v>-4.2253521099999997E-2</v>
      </c>
      <c r="D160" s="15">
        <v>123</v>
      </c>
      <c r="E160" s="32">
        <f t="shared" si="82"/>
        <v>-9.5588235294117641E-2</v>
      </c>
      <c r="F160" s="18">
        <f>IF(ISNUMBER(D160), $B172 * E160, "")</f>
        <v>-14338.235294117647</v>
      </c>
      <c r="G160" s="31">
        <v>123</v>
      </c>
      <c r="H160" s="32">
        <f t="shared" si="83"/>
        <v>-9.5588235294117641E-2</v>
      </c>
      <c r="I160" s="91">
        <f>IF(ISNUMBER(G160), $B172 * H160, "")</f>
        <v>-14338.235294117647</v>
      </c>
      <c r="J160" s="15">
        <v>123</v>
      </c>
      <c r="K160" s="32">
        <f t="shared" si="84"/>
        <v>-9.5588235294117641E-2</v>
      </c>
      <c r="L160" s="18">
        <f>IF(ISNUMBER(J160), $B172 * K160, "")</f>
        <v>-14338.235294117647</v>
      </c>
      <c r="M160" s="31">
        <v>124</v>
      </c>
      <c r="N160" s="32">
        <f t="shared" si="85"/>
        <v>-8.8235294117647065E-2</v>
      </c>
      <c r="O160" s="18">
        <f>IF(ISNUMBER(M160), $B172 * N160, "")</f>
        <v>-13235.294117647059</v>
      </c>
      <c r="Q160" s="33"/>
      <c r="R160" s="33"/>
    </row>
    <row r="161" spans="1:19" ht="17.25" thickBot="1">
      <c r="A161" s="114" t="s">
        <v>130</v>
      </c>
      <c r="B161" s="115">
        <v>769</v>
      </c>
      <c r="C161" s="72">
        <v>-4.2341220399999997E-2</v>
      </c>
      <c r="D161" s="24">
        <v>712</v>
      </c>
      <c r="E161" s="25">
        <f t="shared" si="82"/>
        <v>-7.4122236671001304E-2</v>
      </c>
      <c r="F161" s="94">
        <f>IF(ISNUMBER(D161), $B172 * E161, "")</f>
        <v>-11118.335500650195</v>
      </c>
      <c r="G161" s="92">
        <v>712</v>
      </c>
      <c r="H161" s="25">
        <f t="shared" si="83"/>
        <v>-7.4122236671001304E-2</v>
      </c>
      <c r="I161" s="93">
        <f>IF(ISNUMBER(G161), $B172 * H161, "")</f>
        <v>-11118.335500650195</v>
      </c>
      <c r="J161" s="24">
        <v>712</v>
      </c>
      <c r="K161" s="25">
        <f t="shared" si="84"/>
        <v>-7.4122236671001304E-2</v>
      </c>
      <c r="L161" s="94">
        <f>IF(ISNUMBER(J161), $B172 * K161, "")</f>
        <v>-11118.335500650195</v>
      </c>
      <c r="M161" s="92">
        <v>709</v>
      </c>
      <c r="N161" s="25">
        <f t="shared" si="85"/>
        <v>-7.8023407022106639E-2</v>
      </c>
      <c r="O161" s="94">
        <f>IF(ISNUMBER(M161), $B172 * N161, "")</f>
        <v>-11703.511053315995</v>
      </c>
      <c r="Q161" s="170"/>
      <c r="R161" s="171"/>
      <c r="S161" s="172"/>
    </row>
    <row r="162" spans="1:19">
      <c r="A162" s="107" t="s">
        <v>216</v>
      </c>
      <c r="B162" s="108">
        <v>492</v>
      </c>
      <c r="C162" s="69">
        <v>-4.2801556400000003E-2</v>
      </c>
      <c r="D162" s="13">
        <v>456</v>
      </c>
      <c r="E162" s="14">
        <f>IF(ISNUMBER(D162), (D162 - $B162) / $B162, "")</f>
        <v>-7.3170731707317069E-2</v>
      </c>
      <c r="F162" s="16">
        <f>IF(ISNUMBER(D162), $B172 * E162, "")</f>
        <v>-10975.60975609756</v>
      </c>
      <c r="G162" s="29">
        <v>456</v>
      </c>
      <c r="H162" s="14">
        <f>IF(ISNUMBER(G162), (G162 - $B162) / $B162, "")</f>
        <v>-7.3170731707317069E-2</v>
      </c>
      <c r="I162" s="90">
        <f>IF(ISNUMBER(G162), $B172 * H162, "")</f>
        <v>-10975.60975609756</v>
      </c>
      <c r="J162" s="13">
        <v>456</v>
      </c>
      <c r="K162" s="14">
        <f>IF(ISNUMBER(J162), (J162 - $B162) / $B162, "")</f>
        <v>-7.3170731707317069E-2</v>
      </c>
      <c r="L162" s="16">
        <f>IF(ISNUMBER(J162), $B172 * K162, "")</f>
        <v>-10975.60975609756</v>
      </c>
      <c r="M162" s="29">
        <v>460</v>
      </c>
      <c r="N162" s="14">
        <f>IF(ISNUMBER(M162), (M162 - $B162) / $B162, "")</f>
        <v>-6.5040650406504072E-2</v>
      </c>
      <c r="O162" s="16">
        <f>IF(ISNUMBER(M162), $B172 * N162, "")</f>
        <v>-9756.0975609756115</v>
      </c>
      <c r="Q162" s="173"/>
      <c r="R162" s="174"/>
      <c r="S162" s="175"/>
    </row>
    <row r="163" spans="1:19" ht="17.25" thickBot="1">
      <c r="A163" s="109" t="s">
        <v>81</v>
      </c>
      <c r="B163" s="110">
        <v>379</v>
      </c>
      <c r="C163" s="70">
        <v>-4.5340050399999998E-2</v>
      </c>
      <c r="D163" s="15">
        <v>350</v>
      </c>
      <c r="E163" s="32">
        <f t="shared" ref="E163:E166" si="86">IF(ISNUMBER(D163), (D163 - $B163) / $B163, "")</f>
        <v>-7.6517150395778361E-2</v>
      </c>
      <c r="F163" s="18">
        <f>IF(ISNUMBER(D163), $B172 * E163, "")</f>
        <v>-11477.572559366754</v>
      </c>
      <c r="G163" s="31">
        <v>350</v>
      </c>
      <c r="H163" s="32">
        <f t="shared" ref="H163:H166" si="87">IF(ISNUMBER(G163), (G163 - $B163) / $B163, "")</f>
        <v>-7.6517150395778361E-2</v>
      </c>
      <c r="I163" s="91">
        <f>IF(ISNUMBER(G163), $B172 * H163, "")</f>
        <v>-11477.572559366754</v>
      </c>
      <c r="J163" s="15">
        <v>350</v>
      </c>
      <c r="K163" s="32">
        <f t="shared" ref="K163:K166" si="88">IF(ISNUMBER(J163), (J163 - $B163) / $B163, "")</f>
        <v>-7.6517150395778361E-2</v>
      </c>
      <c r="L163" s="18">
        <f>IF(ISNUMBER(J163), $B172 * K163, "")</f>
        <v>-11477.572559366754</v>
      </c>
      <c r="M163" s="31">
        <v>350</v>
      </c>
      <c r="N163" s="32">
        <f t="shared" ref="N163:N166" si="89">IF(ISNUMBER(M163), (M163 - $B163) / $B163, "")</f>
        <v>-7.6517150395778361E-2</v>
      </c>
      <c r="O163" s="18">
        <f>IF(ISNUMBER(M163), $B172 * N163, "")</f>
        <v>-11477.572559366754</v>
      </c>
      <c r="Q163" s="176"/>
      <c r="R163" s="177"/>
      <c r="S163" s="178"/>
    </row>
    <row r="164" spans="1:19" ht="17.25" thickBot="1">
      <c r="A164" s="109" t="s">
        <v>79</v>
      </c>
      <c r="B164" s="110">
        <v>273</v>
      </c>
      <c r="C164" s="70">
        <v>-4.5454545499999999E-2</v>
      </c>
      <c r="D164" s="15">
        <v>252</v>
      </c>
      <c r="E164" s="32">
        <f t="shared" si="86"/>
        <v>-7.6923076923076927E-2</v>
      </c>
      <c r="F164" s="18">
        <f>IF(ISNUMBER(D164), $B172 * E164, "")</f>
        <v>-11538.461538461539</v>
      </c>
      <c r="G164" s="31">
        <v>252</v>
      </c>
      <c r="H164" s="32">
        <f t="shared" si="87"/>
        <v>-7.6923076923076927E-2</v>
      </c>
      <c r="I164" s="91">
        <f>IF(ISNUMBER(G164), $B172 * H164, "")</f>
        <v>-11538.461538461539</v>
      </c>
      <c r="J164" s="15">
        <v>252</v>
      </c>
      <c r="K164" s="32">
        <f t="shared" si="88"/>
        <v>-7.6923076923076927E-2</v>
      </c>
      <c r="L164" s="18">
        <f>IF(ISNUMBER(J164), $B172 * K164, "")</f>
        <v>-11538.461538461539</v>
      </c>
      <c r="M164" s="31">
        <v>252</v>
      </c>
      <c r="N164" s="32">
        <f t="shared" si="89"/>
        <v>-7.6923076923076927E-2</v>
      </c>
      <c r="O164" s="18">
        <f>IF(ISNUMBER(M164), $B172 * N164, "")</f>
        <v>-11538.461538461539</v>
      </c>
      <c r="Q164" s="161"/>
      <c r="R164" s="161"/>
      <c r="S164" s="161"/>
    </row>
    <row r="165" spans="1:19" ht="17.25" thickBot="1">
      <c r="A165" s="109" t="s">
        <v>85</v>
      </c>
      <c r="B165" s="110">
        <v>180</v>
      </c>
      <c r="C165" s="70">
        <v>-4.7619047599999999E-2</v>
      </c>
      <c r="D165" s="15">
        <v>155</v>
      </c>
      <c r="E165" s="32">
        <f t="shared" si="86"/>
        <v>-0.1388888888888889</v>
      </c>
      <c r="F165" s="18">
        <f>IF(ISNUMBER(D165), $B172 * E165, "")</f>
        <v>-20833.333333333336</v>
      </c>
      <c r="G165" s="31">
        <v>155</v>
      </c>
      <c r="H165" s="32">
        <f t="shared" si="87"/>
        <v>-0.1388888888888889</v>
      </c>
      <c r="I165" s="91">
        <f>IF(ISNUMBER(G165), $B172 * H165, "")</f>
        <v>-20833.333333333336</v>
      </c>
      <c r="J165" s="15">
        <v>155</v>
      </c>
      <c r="K165" s="32">
        <f t="shared" si="88"/>
        <v>-0.1388888888888889</v>
      </c>
      <c r="L165" s="18">
        <f>IF(ISNUMBER(J165), $B172 * K165, "")</f>
        <v>-20833.333333333336</v>
      </c>
      <c r="M165" s="31">
        <v>155</v>
      </c>
      <c r="N165" s="32">
        <f t="shared" si="89"/>
        <v>-0.1388888888888889</v>
      </c>
      <c r="O165" s="18">
        <f>IF(ISNUMBER(M165), $B172 * N165, "")</f>
        <v>-20833.333333333336</v>
      </c>
      <c r="Q165" s="156"/>
      <c r="R165" s="156"/>
      <c r="S165" s="156"/>
    </row>
    <row r="166" spans="1:19" ht="17.25" thickBot="1">
      <c r="A166" s="111" t="s">
        <v>234</v>
      </c>
      <c r="B166" s="112">
        <v>379</v>
      </c>
      <c r="C166" s="71">
        <v>-4.7738693499999998E-2</v>
      </c>
      <c r="D166" s="20">
        <v>340</v>
      </c>
      <c r="E166" s="21">
        <f t="shared" si="86"/>
        <v>-0.10290237467018469</v>
      </c>
      <c r="F166" s="22">
        <f>IF(ISNUMBER(D166), $B172 * E166, "")</f>
        <v>-15435.356200527704</v>
      </c>
      <c r="G166" s="30">
        <v>340</v>
      </c>
      <c r="H166" s="21">
        <f t="shared" si="87"/>
        <v>-0.10290237467018469</v>
      </c>
      <c r="I166" s="95">
        <f>IF(ISNUMBER(G166), $B172 * H166, "")</f>
        <v>-15435.356200527704</v>
      </c>
      <c r="J166" s="20">
        <v>340</v>
      </c>
      <c r="K166" s="21">
        <f t="shared" si="88"/>
        <v>-0.10290237467018469</v>
      </c>
      <c r="L166" s="22">
        <f>IF(ISNUMBER(J166), $B172 * K166, "")</f>
        <v>-15435.356200527704</v>
      </c>
      <c r="M166" s="30">
        <v>342</v>
      </c>
      <c r="N166" s="21">
        <f t="shared" si="89"/>
        <v>-9.7625329815303433E-2</v>
      </c>
      <c r="O166" s="22">
        <f>IF(ISNUMBER(M166), $B172 * N166, "")</f>
        <v>-14643.799472295515</v>
      </c>
      <c r="Q166" s="156"/>
      <c r="R166" s="156"/>
      <c r="S166" s="156"/>
    </row>
    <row r="167" spans="1:19" ht="17.25" thickBot="1">
      <c r="A167" s="109" t="s">
        <v>68</v>
      </c>
      <c r="B167" s="113">
        <v>303</v>
      </c>
      <c r="C167" s="73">
        <v>-5.0156739800000003E-2</v>
      </c>
      <c r="D167" s="96">
        <v>269</v>
      </c>
      <c r="E167" s="97">
        <f>IF(ISNUMBER(D167), (D167 - $B167) / $B167, "")</f>
        <v>-0.11221122112211221</v>
      </c>
      <c r="F167" s="98">
        <f>IF(ISNUMBER(D167), $B172 * E167, "")</f>
        <v>-16831.683168316831</v>
      </c>
      <c r="G167" s="99">
        <v>269</v>
      </c>
      <c r="H167" s="97">
        <f>IF(ISNUMBER(G167), (G167 - $B167) / $B167, "")</f>
        <v>-0.11221122112211221</v>
      </c>
      <c r="I167" s="100">
        <f>IF(ISNUMBER(G167), $B172 * H167, "")</f>
        <v>-16831.683168316831</v>
      </c>
      <c r="J167" s="96">
        <v>269</v>
      </c>
      <c r="K167" s="97">
        <f>IF(ISNUMBER(J167), (J167 - $B167) / $B167, "")</f>
        <v>-0.11221122112211221</v>
      </c>
      <c r="L167" s="98">
        <f>IF(ISNUMBER(J167), $B172 * K167, "")</f>
        <v>-16831.683168316831</v>
      </c>
      <c r="M167" s="99">
        <v>268</v>
      </c>
      <c r="N167" s="97">
        <f>IF(ISNUMBER(M167), (M167 - $B167) / $B167, "")</f>
        <v>-0.11551155115511551</v>
      </c>
      <c r="O167" s="98">
        <f>IF(ISNUMBER(M167), $B172 * N167, "")</f>
        <v>-17326.732673267325</v>
      </c>
      <c r="Q167" s="161"/>
      <c r="R167" s="161"/>
      <c r="S167" s="161"/>
    </row>
    <row r="168" spans="1:19" ht="17.25" thickBot="1">
      <c r="A168" s="109" t="s">
        <v>204</v>
      </c>
      <c r="B168" s="110">
        <v>249</v>
      </c>
      <c r="C168" s="70">
        <v>-5.3231939200000002E-2</v>
      </c>
      <c r="D168" s="15">
        <v>222</v>
      </c>
      <c r="E168" s="32">
        <f t="shared" ref="E168:E171" si="90">IF(ISNUMBER(D168), (D168 - $B168) / $B168, "")</f>
        <v>-0.10843373493975904</v>
      </c>
      <c r="F168" s="18">
        <f>IF(ISNUMBER(D168), $B172 * E168, "")</f>
        <v>-16265.060240963856</v>
      </c>
      <c r="G168" s="31">
        <v>222</v>
      </c>
      <c r="H168" s="32">
        <f t="shared" ref="H168:H171" si="91">IF(ISNUMBER(G168), (G168 - $B168) / $B168, "")</f>
        <v>-0.10843373493975904</v>
      </c>
      <c r="I168" s="91">
        <f>IF(ISNUMBER(G168), $B172 * H168, "")</f>
        <v>-16265.060240963856</v>
      </c>
      <c r="J168" s="15">
        <v>222</v>
      </c>
      <c r="K168" s="32">
        <f t="shared" ref="K168:K171" si="92">IF(ISNUMBER(J168), (J168 - $B168) / $B168, "")</f>
        <v>-0.10843373493975904</v>
      </c>
      <c r="L168" s="18">
        <f>IF(ISNUMBER(J168), $B172 * K168, "")</f>
        <v>-16265.060240963856</v>
      </c>
      <c r="M168" s="31">
        <v>222</v>
      </c>
      <c r="N168" s="32">
        <f t="shared" ref="N168:N171" si="93">IF(ISNUMBER(M168), (M168 - $B168) / $B168, "")</f>
        <v>-0.10843373493975904</v>
      </c>
      <c r="O168" s="18">
        <f>IF(ISNUMBER(M168), $B172 * N168, "")</f>
        <v>-16265.060240963856</v>
      </c>
      <c r="Q168" s="161"/>
      <c r="R168" s="161"/>
      <c r="S168" s="161"/>
    </row>
    <row r="169" spans="1:19" ht="17.25" thickBot="1">
      <c r="A169" s="109" t="s">
        <v>111</v>
      </c>
      <c r="B169" s="110">
        <v>675</v>
      </c>
      <c r="C169" s="70">
        <v>-5.7262569800000003E-2</v>
      </c>
      <c r="D169" s="15">
        <v>628</v>
      </c>
      <c r="E169" s="32">
        <f t="shared" si="90"/>
        <v>-6.9629629629629625E-2</v>
      </c>
      <c r="F169" s="18">
        <f>IF(ISNUMBER(D169), $B172 * E169, "")</f>
        <v>-10444.444444444443</v>
      </c>
      <c r="G169" s="31">
        <v>628</v>
      </c>
      <c r="H169" s="32">
        <f t="shared" si="91"/>
        <v>-6.9629629629629625E-2</v>
      </c>
      <c r="I169" s="91">
        <f>IF(ISNUMBER(G169), $B172 * H169, "")</f>
        <v>-10444.444444444443</v>
      </c>
      <c r="J169" s="15">
        <v>628</v>
      </c>
      <c r="K169" s="32">
        <f t="shared" si="92"/>
        <v>-6.9629629629629625E-2</v>
      </c>
      <c r="L169" s="18">
        <f>IF(ISNUMBER(J169), $B172 * K169, "")</f>
        <v>-10444.444444444443</v>
      </c>
      <c r="M169" s="31">
        <v>626</v>
      </c>
      <c r="N169" s="32">
        <f t="shared" si="93"/>
        <v>-7.2592592592592597E-2</v>
      </c>
      <c r="O169" s="18">
        <f>IF(ISNUMBER(M169), $B172 * N169, "")</f>
        <v>-10888.888888888891</v>
      </c>
      <c r="Q169" s="161"/>
      <c r="R169" s="161"/>
      <c r="S169" s="161"/>
    </row>
    <row r="170" spans="1:19">
      <c r="A170" s="109" t="s">
        <v>346</v>
      </c>
      <c r="B170" s="110">
        <v>462</v>
      </c>
      <c r="C170" s="70">
        <v>-6.8548387099999997E-2</v>
      </c>
      <c r="D170" s="15">
        <v>395</v>
      </c>
      <c r="E170" s="32">
        <f t="shared" si="90"/>
        <v>-0.14502164502164502</v>
      </c>
      <c r="F170" s="18">
        <f>IF(ISNUMBER(D170), $B172 * E170, "")</f>
        <v>-21753.246753246753</v>
      </c>
      <c r="G170" s="31">
        <v>395</v>
      </c>
      <c r="H170" s="32">
        <f t="shared" si="91"/>
        <v>-0.14502164502164502</v>
      </c>
      <c r="I170" s="91">
        <f>IF(ISNUMBER(G170), $B172 * H170, "")</f>
        <v>-21753.246753246753</v>
      </c>
      <c r="J170" s="15">
        <v>395</v>
      </c>
      <c r="K170" s="32">
        <f t="shared" si="92"/>
        <v>-0.14502164502164502</v>
      </c>
      <c r="L170" s="18">
        <f>IF(ISNUMBER(J170), $B172 * K170, "")</f>
        <v>-21753.246753246753</v>
      </c>
      <c r="M170" s="31">
        <v>394</v>
      </c>
      <c r="N170" s="32">
        <f t="shared" si="93"/>
        <v>-0.1471861471861472</v>
      </c>
      <c r="O170" s="18">
        <f>IF(ISNUMBER(M170), $B172 * N170, "")</f>
        <v>-22077.922077922081</v>
      </c>
      <c r="Q170" s="183"/>
      <c r="R170" s="184"/>
      <c r="S170" s="185"/>
    </row>
    <row r="171" spans="1:19" ht="17.25" thickBot="1">
      <c r="A171" s="114" t="s">
        <v>352</v>
      </c>
      <c r="B171" s="115">
        <v>221</v>
      </c>
      <c r="C171" s="72">
        <v>-7.1428571400000002E-2</v>
      </c>
      <c r="D171" s="24">
        <v>196</v>
      </c>
      <c r="E171" s="25">
        <f t="shared" si="90"/>
        <v>-0.11312217194570136</v>
      </c>
      <c r="F171" s="94">
        <f>IF(ISNUMBER(D171), $B172 * E171, "")</f>
        <v>-16968.325791855204</v>
      </c>
      <c r="G171" s="92">
        <v>196</v>
      </c>
      <c r="H171" s="25">
        <f t="shared" si="91"/>
        <v>-0.11312217194570136</v>
      </c>
      <c r="I171" s="93">
        <f>IF(ISNUMBER(G171), $B172 * H171, "")</f>
        <v>-16968.325791855204</v>
      </c>
      <c r="J171" s="24">
        <v>196</v>
      </c>
      <c r="K171" s="25">
        <f t="shared" si="92"/>
        <v>-0.11312217194570136</v>
      </c>
      <c r="L171" s="94">
        <f>IF(ISNUMBER(J171), $B172 * K171, "")</f>
        <v>-16968.325791855204</v>
      </c>
      <c r="M171" s="92">
        <v>197</v>
      </c>
      <c r="N171" s="25">
        <f t="shared" si="93"/>
        <v>-0.10859728506787331</v>
      </c>
      <c r="O171" s="94">
        <f>IF(ISNUMBER(M171), $B172 * N171, "")</f>
        <v>-16289.592760180996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-9.2890647176221391E-2</v>
      </c>
      <c r="F172" s="28">
        <f>SUM(F152:F171)</f>
        <v>-278671.9415286642</v>
      </c>
      <c r="G172" s="26" t="s">
        <v>261</v>
      </c>
      <c r="H172" s="27">
        <f>IF(COUNT(H152:H171), SUM(H152:H171) / COUNT(H152:H171), 0)</f>
        <v>-9.2890647176221391E-2</v>
      </c>
      <c r="I172" s="28">
        <f>SUM(I152:I171)</f>
        <v>-278671.9415286642</v>
      </c>
      <c r="J172" s="26" t="s">
        <v>261</v>
      </c>
      <c r="K172" s="27">
        <f>IF(COUNT(K152:K171), SUM(K152:K171) / COUNT(K152:K171), 0)</f>
        <v>-9.2890647176221391E-2</v>
      </c>
      <c r="L172" s="28">
        <f>SUM(L152:L171)</f>
        <v>-278671.9415286642</v>
      </c>
      <c r="M172" s="26" t="s">
        <v>261</v>
      </c>
      <c r="N172" s="27">
        <f>IF(COUNT(N152:N171), SUM(N152:N171) / COUNT(N152:N171), 0)</f>
        <v>-9.2086842467212965E-2</v>
      </c>
      <c r="O172" s="28">
        <f>SUM(O152:O171)</f>
        <v>-276260.52740163892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2022-12-17(토) 오전 00:00</v>
      </c>
      <c r="C177" s="199"/>
      <c r="D177" s="158" t="str">
        <f>TEXT($G$1, "[$-ko-KR]yyyy-mm-dd(ddd) ") &amp; "오후 14:00"</f>
        <v>2022-12-17(토) 오후 14:00</v>
      </c>
      <c r="E177" s="159"/>
      <c r="F177" s="160"/>
      <c r="G177" s="158" t="str">
        <f>TEXT($G$1, "[$-ko-KR]yyyy-mm-dd(ddd) ") &amp; "오후 19:00"</f>
        <v>2022-12-17(토) 오후 19:00</v>
      </c>
      <c r="H177" s="159"/>
      <c r="I177" s="160"/>
      <c r="J177" s="158" t="str">
        <f>TEXT($G$1, "[$-ko-KR]yyyy-mm-dd(ddd) ") &amp; "오후 21:00"</f>
        <v>2022-12-17(토) 오후 21:00</v>
      </c>
      <c r="K177" s="159"/>
      <c r="L177" s="160"/>
      <c r="M177" s="158" t="str">
        <f>TEXT($G$1+1, "[$-ko-KR]yyyy-mm-dd(ddd) ") &amp; "오전 00:00"</f>
        <v>2022-12-18(일)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322</v>
      </c>
      <c r="B179" s="108">
        <v>76890</v>
      </c>
      <c r="C179" s="69">
        <v>-4.5793000700000003E-2</v>
      </c>
      <c r="D179" s="13">
        <v>72750</v>
      </c>
      <c r="E179" s="14">
        <f>IF(ISNUMBER(D179), (D179 - $B179) / $B179, "")</f>
        <v>-5.3843152555598905E-2</v>
      </c>
      <c r="F179" s="16">
        <f>IF(ISNUMBER(D179), $B199 * E179, "")</f>
        <v>-8076.4728833398358</v>
      </c>
      <c r="G179" s="29">
        <v>72750</v>
      </c>
      <c r="H179" s="14">
        <f>IF(ISNUMBER(G179), (G179 - $B179) / $B179, "")</f>
        <v>-5.3843152555598905E-2</v>
      </c>
      <c r="I179" s="90">
        <f>IF(ISNUMBER(G179), $B199 * H179, "")</f>
        <v>-8076.4728833398358</v>
      </c>
      <c r="J179" s="13">
        <v>72750</v>
      </c>
      <c r="K179" s="14">
        <f>IF(ISNUMBER(J179), (J179 - $B179) / $B179, "")</f>
        <v>-5.3843152555598905E-2</v>
      </c>
      <c r="L179" s="16">
        <f>IF(ISNUMBER(J179), $B199 * K179, "")</f>
        <v>-8076.4728833398358</v>
      </c>
      <c r="M179" s="29">
        <v>72580</v>
      </c>
      <c r="N179" s="14">
        <f>IF(ISNUMBER(M179), (M179 - $B179) / $B179, "")</f>
        <v>-5.6054103264403694E-2</v>
      </c>
      <c r="O179" s="16">
        <f>IF(ISNUMBER(M179), $B199 * N179, "")</f>
        <v>-8408.1154896605549</v>
      </c>
      <c r="Q179" s="156"/>
      <c r="R179" s="156"/>
      <c r="S179" s="156"/>
    </row>
    <row r="180" spans="1:19" ht="17.25" thickBot="1">
      <c r="A180" s="109" t="s">
        <v>64</v>
      </c>
      <c r="B180" s="110">
        <v>10.3</v>
      </c>
      <c r="C180" s="70">
        <v>-4.6296296299999998E-2</v>
      </c>
      <c r="D180" s="15">
        <v>9.61</v>
      </c>
      <c r="E180" s="32">
        <f t="shared" ref="E180:E183" si="94">IF(ISNUMBER(D180), (D180 - $B180) / $B180, "")</f>
        <v>-6.6990291262136042E-2</v>
      </c>
      <c r="F180" s="18">
        <f>IF(ISNUMBER(D180), $B199 * E180, "")</f>
        <v>-10048.543689320406</v>
      </c>
      <c r="G180" s="31">
        <v>9.61</v>
      </c>
      <c r="H180" s="32">
        <f t="shared" ref="H180:H183" si="95">IF(ISNUMBER(G180), (G180 - $B180) / $B180, "")</f>
        <v>-6.6990291262136042E-2</v>
      </c>
      <c r="I180" s="91">
        <f>IF(ISNUMBER(G180), $B199 * H180, "")</f>
        <v>-10048.543689320406</v>
      </c>
      <c r="J180" s="15">
        <v>9.61</v>
      </c>
      <c r="K180" s="32">
        <f t="shared" ref="K180:K183" si="96">IF(ISNUMBER(J180), (J180 - $B180) / $B180, "")</f>
        <v>-6.6990291262136042E-2</v>
      </c>
      <c r="L180" s="18">
        <f>IF(ISNUMBER(J180), $B199 * K180, "")</f>
        <v>-10048.543689320406</v>
      </c>
      <c r="M180" s="31">
        <v>9.66</v>
      </c>
      <c r="N180" s="32">
        <f t="shared" ref="N180:N183" si="97">IF(ISNUMBER(M180), (M180 - $B180) / $B180, "")</f>
        <v>-6.213592233009714E-2</v>
      </c>
      <c r="O180" s="18">
        <f>IF(ISNUMBER(M180), $B199 * N180, "")</f>
        <v>-9320.388349514571</v>
      </c>
      <c r="Q180" s="156"/>
      <c r="R180" s="156"/>
      <c r="S180" s="156"/>
    </row>
    <row r="181" spans="1:19" ht="17.25" thickBot="1">
      <c r="A181" s="109" t="s">
        <v>328</v>
      </c>
      <c r="B181" s="110">
        <v>16630</v>
      </c>
      <c r="C181" s="70">
        <v>-4.6444954099999998E-2</v>
      </c>
      <c r="D181" s="15">
        <v>15650</v>
      </c>
      <c r="E181" s="32">
        <f t="shared" si="94"/>
        <v>-5.8929645219482865E-2</v>
      </c>
      <c r="F181" s="18">
        <f>IF(ISNUMBER(D181), $B199 * E181, "")</f>
        <v>-8839.4467829224304</v>
      </c>
      <c r="G181" s="31">
        <v>15650</v>
      </c>
      <c r="H181" s="32">
        <f t="shared" si="95"/>
        <v>-5.8929645219482865E-2</v>
      </c>
      <c r="I181" s="91">
        <f>IF(ISNUMBER(G181), $B199 * H181, "")</f>
        <v>-8839.4467829224304</v>
      </c>
      <c r="J181" s="15">
        <v>15650</v>
      </c>
      <c r="K181" s="32">
        <f t="shared" si="96"/>
        <v>-5.8929645219482865E-2</v>
      </c>
      <c r="L181" s="18">
        <f>IF(ISNUMBER(J181), $B199 * K181, "")</f>
        <v>-8839.4467829224304</v>
      </c>
      <c r="M181" s="31">
        <v>15670</v>
      </c>
      <c r="N181" s="32">
        <f t="shared" si="97"/>
        <v>-5.7726999398677092E-2</v>
      </c>
      <c r="O181" s="18">
        <f>IF(ISNUMBER(M181), $B199 * N181, "")</f>
        <v>-8659.0499098015644</v>
      </c>
      <c r="Q181" s="161"/>
      <c r="R181" s="161"/>
      <c r="S181" s="161"/>
    </row>
    <row r="182" spans="1:19" ht="17.25" thickBot="1">
      <c r="A182" s="109" t="s">
        <v>189</v>
      </c>
      <c r="B182" s="110">
        <v>1125</v>
      </c>
      <c r="C182" s="70">
        <v>-4.66101695E-2</v>
      </c>
      <c r="D182" s="15">
        <v>993</v>
      </c>
      <c r="E182" s="32">
        <f t="shared" si="94"/>
        <v>-0.11733333333333333</v>
      </c>
      <c r="F182" s="18">
        <f>IF(ISNUMBER(D182), $B199 * E182, "")</f>
        <v>-17600</v>
      </c>
      <c r="G182" s="31">
        <v>993</v>
      </c>
      <c r="H182" s="32">
        <f t="shared" si="95"/>
        <v>-0.11733333333333333</v>
      </c>
      <c r="I182" s="91">
        <f>IF(ISNUMBER(G182), $B199 * H182, "")</f>
        <v>-17600</v>
      </c>
      <c r="J182" s="15">
        <v>993</v>
      </c>
      <c r="K182" s="32">
        <f t="shared" si="96"/>
        <v>-0.11733333333333333</v>
      </c>
      <c r="L182" s="18">
        <f>IF(ISNUMBER(J182), $B199 * K182, "")</f>
        <v>-17600</v>
      </c>
      <c r="M182" s="31">
        <v>993</v>
      </c>
      <c r="N182" s="32">
        <f t="shared" si="97"/>
        <v>-0.11733333333333333</v>
      </c>
      <c r="O182" s="18">
        <f>IF(ISNUMBER(M182), $B199 * N182, "")</f>
        <v>-17600</v>
      </c>
      <c r="Q182" s="161"/>
      <c r="R182" s="161"/>
      <c r="S182" s="161"/>
    </row>
    <row r="183" spans="1:19" ht="17.25" thickBot="1">
      <c r="A183" s="111" t="s">
        <v>141</v>
      </c>
      <c r="B183" s="112">
        <v>3.42</v>
      </c>
      <c r="C183" s="71">
        <v>-4.73537604E-2</v>
      </c>
      <c r="D183" s="20">
        <v>3.18</v>
      </c>
      <c r="E183" s="21">
        <f t="shared" si="94"/>
        <v>-7.0175438596491169E-2</v>
      </c>
      <c r="F183" s="22">
        <f>IF(ISNUMBER(D183), $B199 * E183, "")</f>
        <v>-10526.315789473676</v>
      </c>
      <c r="G183" s="30">
        <v>3.18</v>
      </c>
      <c r="H183" s="21">
        <f t="shared" si="95"/>
        <v>-7.0175438596491169E-2</v>
      </c>
      <c r="I183" s="95">
        <f>IF(ISNUMBER(G183), $B199 * H183, "")</f>
        <v>-10526.315789473676</v>
      </c>
      <c r="J183" s="20">
        <v>3.18</v>
      </c>
      <c r="K183" s="21">
        <f t="shared" si="96"/>
        <v>-7.0175438596491169E-2</v>
      </c>
      <c r="L183" s="22">
        <f>IF(ISNUMBER(J183), $B199 * K183, "")</f>
        <v>-10526.315789473676</v>
      </c>
      <c r="M183" s="30">
        <v>3.19</v>
      </c>
      <c r="N183" s="21">
        <f t="shared" si="97"/>
        <v>-6.725146198830409E-2</v>
      </c>
      <c r="O183" s="22">
        <f>IF(ISNUMBER(M183), $B199 * N183, "")</f>
        <v>-10087.719298245613</v>
      </c>
      <c r="Q183" s="161"/>
      <c r="R183" s="161"/>
      <c r="S183" s="161"/>
    </row>
    <row r="184" spans="1:19" ht="17.25" thickBot="1">
      <c r="A184" s="109" t="s">
        <v>85</v>
      </c>
      <c r="B184" s="113">
        <v>180</v>
      </c>
      <c r="C184" s="73">
        <v>-4.7619047599999999E-2</v>
      </c>
      <c r="D184" s="96">
        <v>155</v>
      </c>
      <c r="E184" s="97">
        <f>IF(ISNUMBER(D184), (D184 - $B184) / $B184, "")</f>
        <v>-0.1388888888888889</v>
      </c>
      <c r="F184" s="98">
        <f>IF(ISNUMBER(D184), $B199 * E184, "")</f>
        <v>-20833.333333333336</v>
      </c>
      <c r="G184" s="99">
        <v>155</v>
      </c>
      <c r="H184" s="97">
        <f>IF(ISNUMBER(G184), (G184 - $B184) / $B184, "")</f>
        <v>-0.1388888888888889</v>
      </c>
      <c r="I184" s="100">
        <f>IF(ISNUMBER(G184), $B199 * H184, "")</f>
        <v>-20833.333333333336</v>
      </c>
      <c r="J184" s="96">
        <v>155</v>
      </c>
      <c r="K184" s="97">
        <f>IF(ISNUMBER(J184), (J184 - $B184) / $B184, "")</f>
        <v>-0.1388888888888889</v>
      </c>
      <c r="L184" s="98">
        <f>IF(ISNUMBER(J184), $B199 * K184, "")</f>
        <v>-20833.333333333336</v>
      </c>
      <c r="M184" s="99">
        <v>155</v>
      </c>
      <c r="N184" s="97">
        <f>IF(ISNUMBER(M184), (M184 - $B184) / $B184, "")</f>
        <v>-0.1388888888888889</v>
      </c>
      <c r="O184" s="98">
        <f>IF(ISNUMBER(M184), $B199 * N184, "")</f>
        <v>-20833.333333333336</v>
      </c>
      <c r="Q184" s="161"/>
      <c r="R184" s="161"/>
      <c r="S184" s="161"/>
    </row>
    <row r="185" spans="1:19" ht="17.25" thickBot="1">
      <c r="A185" s="109" t="s">
        <v>234</v>
      </c>
      <c r="B185" s="110">
        <v>379</v>
      </c>
      <c r="C185" s="70">
        <v>-4.7738693499999998E-2</v>
      </c>
      <c r="D185" s="15">
        <v>340</v>
      </c>
      <c r="E185" s="32">
        <f t="shared" ref="E185:E188" si="98">IF(ISNUMBER(D185), (D185 - $B185) / $B185, "")</f>
        <v>-0.10290237467018469</v>
      </c>
      <c r="F185" s="18">
        <f>IF(ISNUMBER(D185), $B199 * E185, "")</f>
        <v>-15435.356200527704</v>
      </c>
      <c r="G185" s="31">
        <v>340</v>
      </c>
      <c r="H185" s="32">
        <f t="shared" ref="H185:H188" si="99">IF(ISNUMBER(G185), (G185 - $B185) / $B185, "")</f>
        <v>-0.10290237467018469</v>
      </c>
      <c r="I185" s="91">
        <f>IF(ISNUMBER(G185), $B199 * H185, "")</f>
        <v>-15435.356200527704</v>
      </c>
      <c r="J185" s="15">
        <v>340</v>
      </c>
      <c r="K185" s="32">
        <f t="shared" ref="K185:K188" si="100">IF(ISNUMBER(J185), (J185 - $B185) / $B185, "")</f>
        <v>-0.10290237467018469</v>
      </c>
      <c r="L185" s="18">
        <f>IF(ISNUMBER(J185), $B199 * K185, "")</f>
        <v>-15435.356200527704</v>
      </c>
      <c r="M185" s="31">
        <v>342</v>
      </c>
      <c r="N185" s="32">
        <f t="shared" ref="N185:N188" si="101">IF(ISNUMBER(M185), (M185 - $B185) / $B185, "")</f>
        <v>-9.7625329815303433E-2</v>
      </c>
      <c r="O185" s="18">
        <f>IF(ISNUMBER(M185), $B199 * N185, "")</f>
        <v>-14643.799472295515</v>
      </c>
      <c r="Q185" s="161"/>
      <c r="R185" s="161"/>
      <c r="S185" s="161"/>
    </row>
    <row r="186" spans="1:19" ht="17.25" thickBot="1">
      <c r="A186" s="109" t="s">
        <v>118</v>
      </c>
      <c r="B186" s="110">
        <v>6.07</v>
      </c>
      <c r="C186" s="70">
        <v>-4.8589341699999997E-2</v>
      </c>
      <c r="D186" s="15">
        <v>5.45</v>
      </c>
      <c r="E186" s="32">
        <f t="shared" si="98"/>
        <v>-0.10214168039538717</v>
      </c>
      <c r="F186" s="18">
        <f>IF(ISNUMBER(D186), $B199 * E186, "")</f>
        <v>-15321.252059308075</v>
      </c>
      <c r="G186" s="31">
        <v>5.45</v>
      </c>
      <c r="H186" s="32">
        <f t="shared" si="99"/>
        <v>-0.10214168039538717</v>
      </c>
      <c r="I186" s="91">
        <f>IF(ISNUMBER(G186), $B199 * H186, "")</f>
        <v>-15321.252059308075</v>
      </c>
      <c r="J186" s="15">
        <v>5.45</v>
      </c>
      <c r="K186" s="32">
        <f t="shared" si="100"/>
        <v>-0.10214168039538717</v>
      </c>
      <c r="L186" s="18">
        <f>IF(ISNUMBER(J186), $B199 * K186, "")</f>
        <v>-15321.252059308075</v>
      </c>
      <c r="M186" s="31">
        <v>5.43</v>
      </c>
      <c r="N186" s="32">
        <f t="shared" si="101"/>
        <v>-0.10543657331136747</v>
      </c>
      <c r="O186" s="18">
        <f>IF(ISNUMBER(M186), $B199 * N186, "")</f>
        <v>-15815.48599670512</v>
      </c>
      <c r="Q186" s="161"/>
      <c r="R186" s="161"/>
      <c r="S186" s="161"/>
    </row>
    <row r="187" spans="1:19" ht="17.25" thickBot="1">
      <c r="A187" s="109" t="s">
        <v>68</v>
      </c>
      <c r="B187" s="110">
        <v>303</v>
      </c>
      <c r="C187" s="70">
        <v>-5.0156739800000003E-2</v>
      </c>
      <c r="D187" s="15">
        <v>269</v>
      </c>
      <c r="E187" s="32">
        <f t="shared" si="98"/>
        <v>-0.11221122112211221</v>
      </c>
      <c r="F187" s="18">
        <f>IF(ISNUMBER(D187), $B199 * E187, "")</f>
        <v>-16831.683168316831</v>
      </c>
      <c r="G187" s="31">
        <v>269</v>
      </c>
      <c r="H187" s="32">
        <f t="shared" si="99"/>
        <v>-0.11221122112211221</v>
      </c>
      <c r="I187" s="91">
        <f>IF(ISNUMBER(G187), $B199 * H187, "")</f>
        <v>-16831.683168316831</v>
      </c>
      <c r="J187" s="15">
        <v>269</v>
      </c>
      <c r="K187" s="32">
        <f t="shared" si="100"/>
        <v>-0.11221122112211221</v>
      </c>
      <c r="L187" s="18">
        <f>IF(ISNUMBER(J187), $B199 * K187, "")</f>
        <v>-16831.683168316831</v>
      </c>
      <c r="M187" s="31">
        <v>268</v>
      </c>
      <c r="N187" s="32">
        <f t="shared" si="101"/>
        <v>-0.11551155115511551</v>
      </c>
      <c r="O187" s="18">
        <f>IF(ISNUMBER(M187), $B199 * N187, "")</f>
        <v>-17326.732673267325</v>
      </c>
      <c r="Q187" s="33"/>
      <c r="R187" s="33"/>
    </row>
    <row r="188" spans="1:19" ht="17.25" thickBot="1">
      <c r="A188" s="114" t="s">
        <v>326</v>
      </c>
      <c r="B188" s="115">
        <v>22.5</v>
      </c>
      <c r="C188" s="72">
        <v>-5.0632911400000001E-2</v>
      </c>
      <c r="D188" s="24">
        <v>20.5</v>
      </c>
      <c r="E188" s="25">
        <f t="shared" si="98"/>
        <v>-8.8888888888888892E-2</v>
      </c>
      <c r="F188" s="94">
        <f>IF(ISNUMBER(D188), $B199 * E188, "")</f>
        <v>-13333.333333333334</v>
      </c>
      <c r="G188" s="92">
        <v>20.5</v>
      </c>
      <c r="H188" s="25">
        <f t="shared" si="99"/>
        <v>-8.8888888888888892E-2</v>
      </c>
      <c r="I188" s="93">
        <f>IF(ISNUMBER(G188), $B199 * H188, "")</f>
        <v>-13333.333333333334</v>
      </c>
      <c r="J188" s="24">
        <v>20.5</v>
      </c>
      <c r="K188" s="25">
        <f t="shared" si="100"/>
        <v>-8.8888888888888892E-2</v>
      </c>
      <c r="L188" s="94">
        <f>IF(ISNUMBER(J188), $B199 * K188, "")</f>
        <v>-13333.333333333334</v>
      </c>
      <c r="M188" s="92">
        <v>20.5</v>
      </c>
      <c r="N188" s="25">
        <f t="shared" si="101"/>
        <v>-8.8888888888888892E-2</v>
      </c>
      <c r="O188" s="94">
        <f>IF(ISNUMBER(M188), $B199 * N188, "")</f>
        <v>-13333.333333333334</v>
      </c>
      <c r="Q188" s="170"/>
      <c r="R188" s="171"/>
      <c r="S188" s="172"/>
    </row>
    <row r="189" spans="1:19">
      <c r="A189" s="107" t="s">
        <v>350</v>
      </c>
      <c r="B189" s="108">
        <v>6.92</v>
      </c>
      <c r="C189" s="69">
        <v>-5.2054794500000001E-2</v>
      </c>
      <c r="D189" s="13">
        <v>6.68</v>
      </c>
      <c r="E189" s="14">
        <f>IF(ISNUMBER(D189), (D189 - $B189) / $B189, "")</f>
        <v>-3.4682080924855523E-2</v>
      </c>
      <c r="F189" s="16">
        <f>IF(ISNUMBER(D189), $B199 * E189, "")</f>
        <v>-5202.3121387283281</v>
      </c>
      <c r="G189" s="29">
        <v>6.68</v>
      </c>
      <c r="H189" s="14">
        <f>IF(ISNUMBER(G189), (G189 - $B189) / $B189, "")</f>
        <v>-3.4682080924855523E-2</v>
      </c>
      <c r="I189" s="90">
        <f>IF(ISNUMBER(G189), $B199 * H189, "")</f>
        <v>-5202.3121387283281</v>
      </c>
      <c r="J189" s="13">
        <v>6.68</v>
      </c>
      <c r="K189" s="14">
        <f>IF(ISNUMBER(J189), (J189 - $B189) / $B189, "")</f>
        <v>-3.4682080924855523E-2</v>
      </c>
      <c r="L189" s="16">
        <f>IF(ISNUMBER(J189), $B199 * K189, "")</f>
        <v>-5202.3121387283281</v>
      </c>
      <c r="M189" s="29">
        <v>6.64</v>
      </c>
      <c r="N189" s="14">
        <f>IF(ISNUMBER(M189), (M189 - $B189) / $B189, "")</f>
        <v>-4.0462427745664775E-2</v>
      </c>
      <c r="O189" s="16">
        <f>IF(ISNUMBER(M189), $B199 * N189, "")</f>
        <v>-6069.3641618497159</v>
      </c>
      <c r="Q189" s="173"/>
      <c r="R189" s="174"/>
      <c r="S189" s="175"/>
    </row>
    <row r="190" spans="1:19" ht="17.25" thickBot="1">
      <c r="A190" s="109" t="s">
        <v>204</v>
      </c>
      <c r="B190" s="110">
        <v>249</v>
      </c>
      <c r="C190" s="70">
        <v>-5.3231939200000002E-2</v>
      </c>
      <c r="D190" s="15">
        <v>222</v>
      </c>
      <c r="E190" s="32">
        <f t="shared" ref="E190:E193" si="102">IF(ISNUMBER(D190), (D190 - $B190) / $B190, "")</f>
        <v>-0.10843373493975904</v>
      </c>
      <c r="F190" s="18">
        <f>IF(ISNUMBER(D190), $B199 * E190, "")</f>
        <v>-16265.060240963856</v>
      </c>
      <c r="G190" s="31">
        <v>222</v>
      </c>
      <c r="H190" s="32">
        <f t="shared" ref="H190:H193" si="103">IF(ISNUMBER(G190), (G190 - $B190) / $B190, "")</f>
        <v>-0.10843373493975904</v>
      </c>
      <c r="I190" s="91">
        <f>IF(ISNUMBER(G190), $B199 * H190, "")</f>
        <v>-16265.060240963856</v>
      </c>
      <c r="J190" s="15">
        <v>222</v>
      </c>
      <c r="K190" s="32">
        <f t="shared" ref="K190:K193" si="104">IF(ISNUMBER(J190), (J190 - $B190) / $B190, "")</f>
        <v>-0.10843373493975904</v>
      </c>
      <c r="L190" s="18">
        <f>IF(ISNUMBER(J190), $B199 * K190, "")</f>
        <v>-16265.060240963856</v>
      </c>
      <c r="M190" s="31">
        <v>222</v>
      </c>
      <c r="N190" s="32">
        <f t="shared" ref="N190:N193" si="105">IF(ISNUMBER(M190), (M190 - $B190) / $B190, "")</f>
        <v>-0.10843373493975904</v>
      </c>
      <c r="O190" s="18">
        <f>IF(ISNUMBER(M190), $B199 * N190, "")</f>
        <v>-16265.060240963856</v>
      </c>
      <c r="Q190" s="176"/>
      <c r="R190" s="177"/>
      <c r="S190" s="178"/>
    </row>
    <row r="191" spans="1:19" ht="17.25" thickBot="1">
      <c r="A191" s="109" t="s">
        <v>95</v>
      </c>
      <c r="B191" s="110">
        <v>1200</v>
      </c>
      <c r="C191" s="70">
        <v>-5.5118110200000001E-2</v>
      </c>
      <c r="D191" s="15">
        <v>1135</v>
      </c>
      <c r="E191" s="32">
        <f t="shared" si="102"/>
        <v>-5.4166666666666669E-2</v>
      </c>
      <c r="F191" s="18">
        <f>IF(ISNUMBER(D191), $B199 * E191, "")</f>
        <v>-8125</v>
      </c>
      <c r="G191" s="31">
        <v>1135</v>
      </c>
      <c r="H191" s="32">
        <f t="shared" si="103"/>
        <v>-5.4166666666666669E-2</v>
      </c>
      <c r="I191" s="91">
        <f>IF(ISNUMBER(G191), $B199 * H191, "")</f>
        <v>-8125</v>
      </c>
      <c r="J191" s="15">
        <v>1135</v>
      </c>
      <c r="K191" s="32">
        <f t="shared" si="104"/>
        <v>-5.4166666666666669E-2</v>
      </c>
      <c r="L191" s="18">
        <f>IF(ISNUMBER(J191), $B199 * K191, "")</f>
        <v>-8125</v>
      </c>
      <c r="M191" s="31">
        <v>1130</v>
      </c>
      <c r="N191" s="32">
        <f t="shared" si="105"/>
        <v>-5.8333333333333334E-2</v>
      </c>
      <c r="O191" s="18">
        <f>IF(ISNUMBER(M191), $B199 * N191, "")</f>
        <v>-8750</v>
      </c>
      <c r="Q191" s="161"/>
      <c r="R191" s="161"/>
      <c r="S191" s="161"/>
    </row>
    <row r="192" spans="1:19" ht="17.25" thickBot="1">
      <c r="A192" s="109" t="s">
        <v>111</v>
      </c>
      <c r="B192" s="110">
        <v>675</v>
      </c>
      <c r="C192" s="70">
        <v>-5.7262569800000003E-2</v>
      </c>
      <c r="D192" s="15">
        <v>628</v>
      </c>
      <c r="E192" s="32">
        <f t="shared" si="102"/>
        <v>-6.9629629629629625E-2</v>
      </c>
      <c r="F192" s="18">
        <f>IF(ISNUMBER(D192), $B199 * E192, "")</f>
        <v>-10444.444444444443</v>
      </c>
      <c r="G192" s="31">
        <v>628</v>
      </c>
      <c r="H192" s="32">
        <f t="shared" si="103"/>
        <v>-6.9629629629629625E-2</v>
      </c>
      <c r="I192" s="91">
        <f>IF(ISNUMBER(G192), $B199 * H192, "")</f>
        <v>-10444.444444444443</v>
      </c>
      <c r="J192" s="15">
        <v>628</v>
      </c>
      <c r="K192" s="32">
        <f t="shared" si="104"/>
        <v>-6.9629629629629625E-2</v>
      </c>
      <c r="L192" s="18">
        <f>IF(ISNUMBER(J192), $B199 * K192, "")</f>
        <v>-10444.444444444443</v>
      </c>
      <c r="M192" s="31">
        <v>626</v>
      </c>
      <c r="N192" s="32">
        <f t="shared" si="105"/>
        <v>-7.2592592592592597E-2</v>
      </c>
      <c r="O192" s="18">
        <f>IF(ISNUMBER(M192), $B199 * N192, "")</f>
        <v>-10888.888888888891</v>
      </c>
      <c r="Q192" s="156"/>
      <c r="R192" s="156"/>
      <c r="S192" s="156"/>
    </row>
    <row r="193" spans="1:19" ht="17.25" thickBot="1">
      <c r="A193" s="111" t="s">
        <v>344</v>
      </c>
      <c r="B193" s="112">
        <v>5815</v>
      </c>
      <c r="C193" s="71">
        <v>-5.8299595099999997E-2</v>
      </c>
      <c r="D193" s="20">
        <v>5335</v>
      </c>
      <c r="E193" s="21">
        <f t="shared" si="102"/>
        <v>-8.2545141874462602E-2</v>
      </c>
      <c r="F193" s="22">
        <f>IF(ISNUMBER(D193), $B199 * E193, "")</f>
        <v>-12381.771281169391</v>
      </c>
      <c r="G193" s="30">
        <v>5335</v>
      </c>
      <c r="H193" s="21">
        <f t="shared" si="103"/>
        <v>-8.2545141874462602E-2</v>
      </c>
      <c r="I193" s="95">
        <f>IF(ISNUMBER(G193), $B199 * H193, "")</f>
        <v>-12381.771281169391</v>
      </c>
      <c r="J193" s="20">
        <v>5335</v>
      </c>
      <c r="K193" s="21">
        <f t="shared" si="104"/>
        <v>-8.2545141874462602E-2</v>
      </c>
      <c r="L193" s="22">
        <f>IF(ISNUMBER(J193), $B199 * K193, "")</f>
        <v>-12381.771281169391</v>
      </c>
      <c r="M193" s="30">
        <v>5295</v>
      </c>
      <c r="N193" s="21">
        <f t="shared" si="105"/>
        <v>-8.9423903697334481E-2</v>
      </c>
      <c r="O193" s="22">
        <f>IF(ISNUMBER(M193), $B199 * N193, "")</f>
        <v>-13413.585554600171</v>
      </c>
      <c r="Q193" s="156"/>
      <c r="R193" s="156"/>
      <c r="S193" s="156"/>
    </row>
    <row r="194" spans="1:19" ht="17.25" thickBot="1">
      <c r="A194" s="109" t="s">
        <v>330</v>
      </c>
      <c r="B194" s="113">
        <v>17330</v>
      </c>
      <c r="C194" s="73">
        <v>-6.6774367299999998E-2</v>
      </c>
      <c r="D194" s="96">
        <v>16220</v>
      </c>
      <c r="E194" s="97">
        <f>IF(ISNUMBER(D194), (D194 - $B194) / $B194, "")</f>
        <v>-6.4050778995960761E-2</v>
      </c>
      <c r="F194" s="98">
        <f>IF(ISNUMBER(D194), $B199 * E194, "")</f>
        <v>-9607.616849394115</v>
      </c>
      <c r="G194" s="99">
        <v>16220</v>
      </c>
      <c r="H194" s="97">
        <f>IF(ISNUMBER(G194), (G194 - $B194) / $B194, "")</f>
        <v>-6.4050778995960761E-2</v>
      </c>
      <c r="I194" s="100">
        <f>IF(ISNUMBER(G194), $B199 * H194, "")</f>
        <v>-9607.616849394115</v>
      </c>
      <c r="J194" s="96">
        <v>16220</v>
      </c>
      <c r="K194" s="97">
        <f>IF(ISNUMBER(J194), (J194 - $B194) / $B194, "")</f>
        <v>-6.4050778995960761E-2</v>
      </c>
      <c r="L194" s="98">
        <f>IF(ISNUMBER(J194), $B199 * K194, "")</f>
        <v>-9607.616849394115</v>
      </c>
      <c r="M194" s="99">
        <v>16240</v>
      </c>
      <c r="N194" s="97">
        <f>IF(ISNUMBER(M194), (M194 - $B194) / $B194, "")</f>
        <v>-6.2896710905943454E-2</v>
      </c>
      <c r="O194" s="98">
        <f>IF(ISNUMBER(M194), $B199 * N194, "")</f>
        <v>-9434.5066358915174</v>
      </c>
      <c r="Q194" s="161"/>
      <c r="R194" s="161"/>
      <c r="S194" s="161"/>
    </row>
    <row r="195" spans="1:19" ht="17.25" thickBot="1">
      <c r="A195" s="109" t="s">
        <v>346</v>
      </c>
      <c r="B195" s="110">
        <v>462</v>
      </c>
      <c r="C195" s="70">
        <v>-6.8548387099999997E-2</v>
      </c>
      <c r="D195" s="15">
        <v>395</v>
      </c>
      <c r="E195" s="32">
        <f t="shared" ref="E195:E198" si="106">IF(ISNUMBER(D195), (D195 - $B195) / $B195, "")</f>
        <v>-0.14502164502164502</v>
      </c>
      <c r="F195" s="18">
        <f>IF(ISNUMBER(D195), $B199 * E195, "")</f>
        <v>-21753.246753246753</v>
      </c>
      <c r="G195" s="31">
        <v>395</v>
      </c>
      <c r="H195" s="32">
        <f t="shared" ref="H195:H198" si="107">IF(ISNUMBER(G195), (G195 - $B195) / $B195, "")</f>
        <v>-0.14502164502164502</v>
      </c>
      <c r="I195" s="91">
        <f>IF(ISNUMBER(G195), $B199 * H195, "")</f>
        <v>-21753.246753246753</v>
      </c>
      <c r="J195" s="15">
        <v>395</v>
      </c>
      <c r="K195" s="32">
        <f t="shared" ref="K195:K198" si="108">IF(ISNUMBER(J195), (J195 - $B195) / $B195, "")</f>
        <v>-0.14502164502164502</v>
      </c>
      <c r="L195" s="18">
        <f>IF(ISNUMBER(J195), $B199 * K195, "")</f>
        <v>-21753.246753246753</v>
      </c>
      <c r="M195" s="31">
        <v>394</v>
      </c>
      <c r="N195" s="32">
        <f t="shared" ref="N195:N198" si="109">IF(ISNUMBER(M195), (M195 - $B195) / $B195, "")</f>
        <v>-0.1471861471861472</v>
      </c>
      <c r="O195" s="18">
        <f>IF(ISNUMBER(M195), $B199 * N195, "")</f>
        <v>-22077.922077922081</v>
      </c>
      <c r="Q195" s="161"/>
      <c r="R195" s="161"/>
      <c r="S195" s="161"/>
    </row>
    <row r="196" spans="1:19" ht="17.25" thickBot="1">
      <c r="A196" s="109" t="s">
        <v>352</v>
      </c>
      <c r="B196" s="110">
        <v>221</v>
      </c>
      <c r="C196" s="70">
        <v>-7.1428571400000002E-2</v>
      </c>
      <c r="D196" s="15">
        <v>196</v>
      </c>
      <c r="E196" s="32">
        <f t="shared" si="106"/>
        <v>-0.11312217194570136</v>
      </c>
      <c r="F196" s="18">
        <f>IF(ISNUMBER(D196), $B199 * E196, "")</f>
        <v>-16968.325791855204</v>
      </c>
      <c r="G196" s="31">
        <v>196</v>
      </c>
      <c r="H196" s="32">
        <f t="shared" si="107"/>
        <v>-0.11312217194570136</v>
      </c>
      <c r="I196" s="91">
        <f>IF(ISNUMBER(G196), $B199 * H196, "")</f>
        <v>-16968.325791855204</v>
      </c>
      <c r="J196" s="15">
        <v>196</v>
      </c>
      <c r="K196" s="32">
        <f t="shared" si="108"/>
        <v>-0.11312217194570136</v>
      </c>
      <c r="L196" s="18">
        <f>IF(ISNUMBER(J196), $B199 * K196, "")</f>
        <v>-16968.325791855204</v>
      </c>
      <c r="M196" s="31">
        <v>197</v>
      </c>
      <c r="N196" s="32">
        <f t="shared" si="109"/>
        <v>-0.10859728506787331</v>
      </c>
      <c r="O196" s="18">
        <f>IF(ISNUMBER(M196), $B199 * N196, "")</f>
        <v>-16289.592760180996</v>
      </c>
      <c r="Q196" s="161"/>
      <c r="R196" s="161"/>
      <c r="S196" s="161"/>
    </row>
    <row r="197" spans="1:19">
      <c r="A197" s="109" t="s">
        <v>62</v>
      </c>
      <c r="B197" s="110">
        <v>9550</v>
      </c>
      <c r="C197" s="70">
        <v>-7.3714840000000004E-2</v>
      </c>
      <c r="D197" s="15">
        <v>8750</v>
      </c>
      <c r="E197" s="32">
        <f t="shared" si="106"/>
        <v>-8.3769633507853408E-2</v>
      </c>
      <c r="F197" s="18">
        <f>IF(ISNUMBER(D197), $B199 * E197, "")</f>
        <v>-12565.445026178011</v>
      </c>
      <c r="G197" s="31">
        <v>8750</v>
      </c>
      <c r="H197" s="32">
        <f t="shared" si="107"/>
        <v>-8.3769633507853408E-2</v>
      </c>
      <c r="I197" s="91">
        <f>IF(ISNUMBER(G197), $B199 * H197, "")</f>
        <v>-12565.445026178011</v>
      </c>
      <c r="J197" s="15">
        <v>8750</v>
      </c>
      <c r="K197" s="32">
        <f t="shared" si="108"/>
        <v>-8.3769633507853408E-2</v>
      </c>
      <c r="L197" s="18">
        <f>IF(ISNUMBER(J197), $B199 * K197, "")</f>
        <v>-12565.445026178011</v>
      </c>
      <c r="M197" s="31">
        <v>8745</v>
      </c>
      <c r="N197" s="32">
        <f t="shared" si="109"/>
        <v>-8.429319371727749E-2</v>
      </c>
      <c r="O197" s="18">
        <f>IF(ISNUMBER(M197), $B199 * N197, "")</f>
        <v>-12643.979057591623</v>
      </c>
      <c r="Q197" s="183"/>
      <c r="R197" s="184"/>
      <c r="S197" s="185"/>
    </row>
    <row r="198" spans="1:19" ht="17.25" thickBot="1">
      <c r="A198" s="114" t="s">
        <v>198</v>
      </c>
      <c r="B198" s="115">
        <v>8.19</v>
      </c>
      <c r="C198" s="72">
        <v>-7.6662908700000004E-2</v>
      </c>
      <c r="D198" s="24">
        <v>7.05</v>
      </c>
      <c r="E198" s="25">
        <f t="shared" si="106"/>
        <v>-0.13919413919413917</v>
      </c>
      <c r="F198" s="94">
        <f>IF(ISNUMBER(D198), $B199 * E198, "")</f>
        <v>-20879.120879120877</v>
      </c>
      <c r="G198" s="92">
        <v>7.05</v>
      </c>
      <c r="H198" s="25">
        <f t="shared" si="107"/>
        <v>-0.13919413919413917</v>
      </c>
      <c r="I198" s="93">
        <f>IF(ISNUMBER(G198), $B199 * H198, "")</f>
        <v>-20879.120879120877</v>
      </c>
      <c r="J198" s="24">
        <v>7.05</v>
      </c>
      <c r="K198" s="25">
        <f t="shared" si="108"/>
        <v>-0.13919413919413917</v>
      </c>
      <c r="L198" s="94">
        <f>IF(ISNUMBER(J198), $B199 * K198, "")</f>
        <v>-20879.120879120877</v>
      </c>
      <c r="M198" s="92">
        <v>7.07</v>
      </c>
      <c r="N198" s="25">
        <f t="shared" si="109"/>
        <v>-0.13675213675213665</v>
      </c>
      <c r="O198" s="94">
        <f>IF(ISNUMBER(M198), $B199 * N198, "")</f>
        <v>-20512.820512820497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-9.0346026881658895E-2</v>
      </c>
      <c r="F199" s="28">
        <f>SUM(F179:F198)</f>
        <v>-271038.08064497658</v>
      </c>
      <c r="G199" s="26" t="s">
        <v>261</v>
      </c>
      <c r="H199" s="27">
        <f>IF(COUNT(H179:H198), SUM(H179:H198) / COUNT(H179:H198), 0)</f>
        <v>-9.0346026881658895E-2</v>
      </c>
      <c r="I199" s="28">
        <f>SUM(I179:I198)</f>
        <v>-271038.08064497658</v>
      </c>
      <c r="J199" s="26" t="s">
        <v>261</v>
      </c>
      <c r="K199" s="27">
        <f>IF(COUNT(K179:K198), SUM(K179:K198) / COUNT(K179:K198), 0)</f>
        <v>-9.0346026881658895E-2</v>
      </c>
      <c r="L199" s="28">
        <f>SUM(L179:L198)</f>
        <v>-271038.08064497658</v>
      </c>
      <c r="M199" s="26" t="s">
        <v>261</v>
      </c>
      <c r="N199" s="27">
        <f>IF(COUNT(N179:N198), SUM(N179:N198) / COUNT(N179:N198), 0)</f>
        <v>-9.0791225915622095E-2</v>
      </c>
      <c r="O199" s="28">
        <f>SUM(O179:O198)</f>
        <v>-272373.67774686625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42F0F-72B1-418D-98D2-57000C0E21A2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44913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-22,820 KRW (-0.76%)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15,214 KRW (0.51%)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-3,779 KRW (-0.13%)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38,748 KRW (1.29%)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2022-12-18(일) 오전 00:00</v>
      </c>
      <c r="C15" s="202"/>
      <c r="D15" s="158" t="str">
        <f>TEXT($G$1, "[$-ko-KR]yyyy-mm-dd(ddd) ") &amp; "오후 14:00"</f>
        <v>2022-12-18(일) 오후 14:00</v>
      </c>
      <c r="E15" s="159"/>
      <c r="F15" s="160"/>
      <c r="G15" s="158" t="str">
        <f>TEXT($G$1, "[$-ko-KR]yyyy-mm-dd(ddd) ") &amp; "오후 19:00"</f>
        <v>2022-12-18(일) 오후 19:00</v>
      </c>
      <c r="H15" s="159"/>
      <c r="I15" s="160"/>
      <c r="J15" s="158" t="str">
        <f>TEXT($G$1, "[$-ko-KR]yyyy-mm-dd(ddd) ") &amp; "오후 21:00"</f>
        <v>2022-12-18(일) 오후 21:00</v>
      </c>
      <c r="K15" s="159"/>
      <c r="L15" s="160"/>
      <c r="M15" s="158" t="str">
        <f>TEXT($G$1+1, "[$-ko-KR]yyyy-mm-dd(ddd) ") &amp; "오전 00:00"</f>
        <v>2022-12-19(월)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2022-12-18(일) 오전 00:00</v>
      </c>
      <c r="C42" s="199"/>
      <c r="D42" s="158" t="str">
        <f>TEXT($G$1, "[$-ko-KR]yyyy-mm-dd(ddd) ") &amp; "오후 14:00"</f>
        <v>2022-12-18(일) 오후 14:00</v>
      </c>
      <c r="E42" s="159"/>
      <c r="F42" s="160"/>
      <c r="G42" s="158" t="str">
        <f>TEXT($G$1, "[$-ko-KR]yyyy-mm-dd(ddd) ") &amp; "오후 19:00"</f>
        <v>2022-12-18(일) 오후 19:00</v>
      </c>
      <c r="H42" s="159"/>
      <c r="I42" s="160"/>
      <c r="J42" s="158" t="str">
        <f>TEXT($G$1, "[$-ko-KR]yyyy-mm-dd(ddd) ") &amp; "오후 21:00"</f>
        <v>2022-12-18(일) 오후 21:00</v>
      </c>
      <c r="K42" s="159"/>
      <c r="L42" s="160"/>
      <c r="M42" s="158" t="str">
        <f>TEXT($G$1+1, "[$-ko-KR]yyyy-mm-dd(ddd) ") &amp; "오전 00:00"</f>
        <v>2022-12-19(월)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208</v>
      </c>
      <c r="B44" s="108">
        <v>94.8</v>
      </c>
      <c r="C44" s="69">
        <v>1.9354838700000002E-2</v>
      </c>
      <c r="D44" s="13">
        <v>92.8</v>
      </c>
      <c r="E44" s="14">
        <f>IF(ISNUMBER(D44), (D44 - $B44) / $B44, "")</f>
        <v>-2.1097046413502109E-2</v>
      </c>
      <c r="F44" s="16">
        <f>IF(ISNUMBER(D44), $B64 * E44, "")</f>
        <v>-3164.5569620253164</v>
      </c>
      <c r="G44" s="29">
        <v>92.8</v>
      </c>
      <c r="H44" s="14">
        <f>IF(ISNUMBER(G44), (G44 - $B44) / $B44, "")</f>
        <v>-2.1097046413502109E-2</v>
      </c>
      <c r="I44" s="90">
        <f>IF(ISNUMBER(G44), $B64 * H44, "")</f>
        <v>-3164.5569620253164</v>
      </c>
      <c r="J44" s="13">
        <v>93.1</v>
      </c>
      <c r="K44" s="14">
        <f>IF(ISNUMBER(J44), (J44 - $B44) / $B44, "")</f>
        <v>-1.7932489451476824E-2</v>
      </c>
      <c r="L44" s="16">
        <f>IF(ISNUMBER(J44), $B64 * K44, "")</f>
        <v>-2689.8734177215238</v>
      </c>
      <c r="M44" s="29">
        <v>92.8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156"/>
      <c r="R44" s="156"/>
      <c r="S44" s="156"/>
    </row>
    <row r="45" spans="1:19" ht="17.25" customHeight="1" thickBot="1">
      <c r="A45" s="109" t="s">
        <v>350</v>
      </c>
      <c r="B45" s="110">
        <v>6.64</v>
      </c>
      <c r="C45" s="70">
        <v>4.5385779000000001E-3</v>
      </c>
      <c r="D45" s="15">
        <v>6.61</v>
      </c>
      <c r="E45" s="32">
        <f t="shared" ref="E45:E48" si="14">IF(ISNUMBER(D45), (D45 - $B45) / $B45, "")</f>
        <v>-4.51807228915653E-3</v>
      </c>
      <c r="F45" s="18">
        <f>IF(ISNUMBER(D45), $B64 * E45, "")</f>
        <v>-677.71084337347952</v>
      </c>
      <c r="G45" s="31">
        <v>6.61</v>
      </c>
      <c r="H45" s="32">
        <f t="shared" ref="H45:H48" si="15">IF(ISNUMBER(G45), (G45 - $B45) / $B45, "")</f>
        <v>-4.51807228915653E-3</v>
      </c>
      <c r="I45" s="91">
        <f>IF(ISNUMBER(G45), $B64 * H45, "")</f>
        <v>-677.71084337347952</v>
      </c>
      <c r="J45" s="15">
        <v>6.55</v>
      </c>
      <c r="K45" s="32">
        <f t="shared" ref="K45:K48" si="16">IF(ISNUMBER(J45), (J45 - $B45) / $B45, "")</f>
        <v>-1.3554216867469859E-2</v>
      </c>
      <c r="L45" s="18">
        <f>IF(ISNUMBER(J45), $B64 * K45, "")</f>
        <v>-2033.1325301204788</v>
      </c>
      <c r="M45" s="31">
        <v>6.46</v>
      </c>
      <c r="N45" s="32">
        <f t="shared" ref="N45:N48" si="17">IF(ISNUMBER(M45), (M45 - $B45) / $B45, "")</f>
        <v>-2.7108433734939718E-2</v>
      </c>
      <c r="O45" s="18">
        <f>IF(ISNUMBER(M45), $B64 * N45, "")</f>
        <v>-4066.2650602409576</v>
      </c>
      <c r="Q45" s="156"/>
      <c r="R45" s="156"/>
      <c r="S45" s="156"/>
    </row>
    <row r="46" spans="1:19" ht="17.25" customHeight="1" thickBot="1">
      <c r="A46" s="109" t="s">
        <v>145</v>
      </c>
      <c r="B46" s="110">
        <v>71.099999999999994</v>
      </c>
      <c r="C46" s="70">
        <v>2.8208744999999999E-3</v>
      </c>
      <c r="D46" s="15">
        <v>71.8</v>
      </c>
      <c r="E46" s="32">
        <f t="shared" si="14"/>
        <v>9.845288326301025E-3</v>
      </c>
      <c r="F46" s="18">
        <f>IF(ISNUMBER(D46), $B64 * E46, "")</f>
        <v>1476.7932489451537</v>
      </c>
      <c r="G46" s="31">
        <v>71.8</v>
      </c>
      <c r="H46" s="32">
        <f t="shared" si="15"/>
        <v>9.845288326301025E-3</v>
      </c>
      <c r="I46" s="91">
        <f>IF(ISNUMBER(G46), $B64 * H46, "")</f>
        <v>1476.7932489451537</v>
      </c>
      <c r="J46" s="15">
        <v>71.8</v>
      </c>
      <c r="K46" s="32">
        <f t="shared" si="16"/>
        <v>9.845288326301025E-3</v>
      </c>
      <c r="L46" s="18">
        <f>IF(ISNUMBER(J46), $B64 * K46, "")</f>
        <v>1476.7932489451537</v>
      </c>
      <c r="M46" s="31">
        <v>71.2</v>
      </c>
      <c r="N46" s="32">
        <f t="shared" si="17"/>
        <v>1.4064697609002606E-3</v>
      </c>
      <c r="O46" s="18">
        <f>IF(ISNUMBER(M46), $B64 * N46, "")</f>
        <v>210.97046413503909</v>
      </c>
      <c r="Q46" s="161"/>
      <c r="R46" s="161"/>
      <c r="S46" s="161"/>
    </row>
    <row r="47" spans="1:19" ht="17.25" customHeight="1" thickBot="1">
      <c r="A47" s="109" t="s">
        <v>336</v>
      </c>
      <c r="B47" s="110">
        <v>74.5</v>
      </c>
      <c r="C47" s="70">
        <v>2.6917899999999999E-3</v>
      </c>
      <c r="D47" s="15">
        <v>74.8</v>
      </c>
      <c r="E47" s="32">
        <f t="shared" si="14"/>
        <v>4.0268456375838549E-3</v>
      </c>
      <c r="F47" s="18">
        <f>IF(ISNUMBER(D47), $B64 * E47, "")</f>
        <v>604.02684563757828</v>
      </c>
      <c r="G47" s="31">
        <v>74.8</v>
      </c>
      <c r="H47" s="32">
        <f t="shared" si="15"/>
        <v>4.0268456375838549E-3</v>
      </c>
      <c r="I47" s="91">
        <f>IF(ISNUMBER(G47), $B64 * H47, "")</f>
        <v>604.02684563757828</v>
      </c>
      <c r="J47" s="15">
        <v>74.400000000000006</v>
      </c>
      <c r="K47" s="32">
        <f t="shared" si="16"/>
        <v>-1.3422818791945545E-3</v>
      </c>
      <c r="L47" s="18">
        <f>IF(ISNUMBER(J47), $B64 * K47, "")</f>
        <v>-201.34228187918316</v>
      </c>
      <c r="M47" s="31">
        <v>74.3</v>
      </c>
      <c r="N47" s="32">
        <f t="shared" si="17"/>
        <v>-2.6845637583892998E-3</v>
      </c>
      <c r="O47" s="18">
        <f>IF(ISNUMBER(M47), $B64 * N47, "")</f>
        <v>-402.68456375839497</v>
      </c>
      <c r="Q47" s="161"/>
      <c r="R47" s="161"/>
      <c r="S47" s="161"/>
    </row>
    <row r="48" spans="1:19" ht="17.25" customHeight="1" thickBot="1">
      <c r="A48" s="111" t="s">
        <v>71</v>
      </c>
      <c r="B48" s="112">
        <v>10.3</v>
      </c>
      <c r="C48" s="71">
        <v>0</v>
      </c>
      <c r="D48" s="20">
        <v>10.3</v>
      </c>
      <c r="E48" s="21">
        <f t="shared" si="14"/>
        <v>0</v>
      </c>
      <c r="F48" s="22">
        <f>IF(ISNUMBER(D48), $B64 * E48, "")</f>
        <v>0</v>
      </c>
      <c r="G48" s="30">
        <v>10.3</v>
      </c>
      <c r="H48" s="21">
        <f t="shared" si="15"/>
        <v>0</v>
      </c>
      <c r="I48" s="95">
        <f>IF(ISNUMBER(G48), $B64 * H48, "")</f>
        <v>0</v>
      </c>
      <c r="J48" s="20">
        <v>10.3</v>
      </c>
      <c r="K48" s="21">
        <f t="shared" si="16"/>
        <v>0</v>
      </c>
      <c r="L48" s="22">
        <f>IF(ISNUMBER(J48), $B64 * K48, "")</f>
        <v>0</v>
      </c>
      <c r="M48" s="30">
        <v>10.3</v>
      </c>
      <c r="N48" s="21">
        <f t="shared" si="17"/>
        <v>0</v>
      </c>
      <c r="O48" s="22">
        <f>IF(ISNUMBER(M48), $B64 * N48, "")</f>
        <v>0</v>
      </c>
      <c r="Q48" s="161"/>
      <c r="R48" s="161"/>
      <c r="S48" s="161"/>
    </row>
    <row r="49" spans="1:19" ht="17.25" customHeight="1" thickBot="1">
      <c r="A49" s="109" t="s">
        <v>64</v>
      </c>
      <c r="B49" s="113">
        <v>9.66</v>
      </c>
      <c r="C49" s="73">
        <v>-1.0245901599999999E-2</v>
      </c>
      <c r="D49" s="96">
        <v>9.67</v>
      </c>
      <c r="E49" s="97">
        <f>IF(ISNUMBER(D49), (D49 - $B49) / $B49, "")</f>
        <v>1.0351966873705784E-3</v>
      </c>
      <c r="F49" s="98">
        <f>IF(ISNUMBER(D49), $B64 * E49, "")</f>
        <v>155.27950310558677</v>
      </c>
      <c r="G49" s="99">
        <v>9.67</v>
      </c>
      <c r="H49" s="97">
        <f>IF(ISNUMBER(G49), (G49 - $B49) / $B49, "")</f>
        <v>1.0351966873705784E-3</v>
      </c>
      <c r="I49" s="100">
        <f>IF(ISNUMBER(G49), $B64 * H49, "")</f>
        <v>155.27950310558677</v>
      </c>
      <c r="J49" s="96">
        <v>9.73</v>
      </c>
      <c r="K49" s="97">
        <f>IF(ISNUMBER(J49), (J49 - $B49) / $B49, "")</f>
        <v>7.2463768115942325E-3</v>
      </c>
      <c r="L49" s="98">
        <f>IF(ISNUMBER(J49), $B64 * K49, "")</f>
        <v>1086.9565217391348</v>
      </c>
      <c r="M49" s="99">
        <v>9.66</v>
      </c>
      <c r="N49" s="97">
        <f>IF(ISNUMBER(M49), (M49 - $B49) / $B49, "")</f>
        <v>0</v>
      </c>
      <c r="O49" s="98">
        <f>IF(ISNUMBER(M49), $B64 * N49, "")</f>
        <v>0</v>
      </c>
      <c r="Q49" s="161"/>
      <c r="R49" s="161"/>
      <c r="S49" s="161"/>
    </row>
    <row r="50" spans="1:19" ht="17.25" customHeight="1" thickBot="1">
      <c r="A50" s="109" t="s">
        <v>51</v>
      </c>
      <c r="B50" s="110">
        <v>98.3</v>
      </c>
      <c r="C50" s="70">
        <v>-1.20603015E-2</v>
      </c>
      <c r="D50" s="15">
        <v>100</v>
      </c>
      <c r="E50" s="32">
        <f t="shared" ref="E50:E53" si="18">IF(ISNUMBER(D50), (D50 - $B50) / $B50, "")</f>
        <v>1.7293997965412033E-2</v>
      </c>
      <c r="F50" s="18">
        <f>IF(ISNUMBER(D50), $B64 * E50, "")</f>
        <v>2594.099694811805</v>
      </c>
      <c r="G50" s="31">
        <v>100</v>
      </c>
      <c r="H50" s="32">
        <f t="shared" ref="H50:H53" si="19">IF(ISNUMBER(G50), (G50 - $B50) / $B50, "")</f>
        <v>1.7293997965412033E-2</v>
      </c>
      <c r="I50" s="91">
        <f>IF(ISNUMBER(G50), $B64 * H50, "")</f>
        <v>2594.099694811805</v>
      </c>
      <c r="J50" s="15">
        <v>101</v>
      </c>
      <c r="K50" s="32">
        <f t="shared" ref="K50:K53" si="20">IF(ISNUMBER(J50), (J50 - $B50) / $B50, "")</f>
        <v>2.7466937945066154E-2</v>
      </c>
      <c r="L50" s="18">
        <f>IF(ISNUMBER(J50), $B64 * K50, "")</f>
        <v>4120.040691759923</v>
      </c>
      <c r="M50" s="31">
        <v>101</v>
      </c>
      <c r="N50" s="32">
        <f t="shared" ref="N50:N53" si="21">IF(ISNUMBER(M50), (M50 - $B50) / $B50, "")</f>
        <v>2.7466937945066154E-2</v>
      </c>
      <c r="O50" s="18">
        <f>IF(ISNUMBER(M50), $B64 * N50, "")</f>
        <v>4120.040691759923</v>
      </c>
      <c r="Q50" s="161"/>
      <c r="R50" s="161"/>
      <c r="S50" s="161"/>
    </row>
    <row r="51" spans="1:19" ht="17.25" customHeight="1" thickBot="1">
      <c r="A51" s="109" t="s">
        <v>333</v>
      </c>
      <c r="B51" s="110">
        <v>55.7</v>
      </c>
      <c r="C51" s="70">
        <v>-1.4159292E-2</v>
      </c>
      <c r="D51" s="15">
        <v>57.8</v>
      </c>
      <c r="E51" s="32">
        <f t="shared" si="18"/>
        <v>3.7701974865349985E-2</v>
      </c>
      <c r="F51" s="18">
        <f>IF(ISNUMBER(D51), $B64 * E51, "")</f>
        <v>5655.2962298024977</v>
      </c>
      <c r="G51" s="31">
        <v>57.8</v>
      </c>
      <c r="H51" s="32">
        <f t="shared" si="19"/>
        <v>3.7701974865349985E-2</v>
      </c>
      <c r="I51" s="91">
        <f>IF(ISNUMBER(G51), $B64 * H51, "")</f>
        <v>5655.2962298024977</v>
      </c>
      <c r="J51" s="15">
        <v>58.4</v>
      </c>
      <c r="K51" s="32">
        <f t="shared" si="20"/>
        <v>4.8473967684021464E-2</v>
      </c>
      <c r="L51" s="18">
        <f>IF(ISNUMBER(J51), $B64 * K51, "")</f>
        <v>7271.0951526032195</v>
      </c>
      <c r="M51" s="31">
        <v>57.7</v>
      </c>
      <c r="N51" s="32">
        <f t="shared" si="21"/>
        <v>3.5906642728904849E-2</v>
      </c>
      <c r="O51" s="18">
        <f>IF(ISNUMBER(M51), $B64 * N51, "")</f>
        <v>5385.9964093357275</v>
      </c>
      <c r="Q51" s="161"/>
      <c r="R51" s="161"/>
      <c r="S51" s="161"/>
    </row>
    <row r="52" spans="1:19" ht="17.25" customHeight="1" thickBot="1">
      <c r="A52" s="109" t="s">
        <v>338</v>
      </c>
      <c r="B52" s="110">
        <v>4.42</v>
      </c>
      <c r="C52" s="70">
        <v>-1.55902004E-2</v>
      </c>
      <c r="D52" s="15">
        <v>4.49</v>
      </c>
      <c r="E52" s="32">
        <f t="shared" si="18"/>
        <v>1.5837104072398255E-2</v>
      </c>
      <c r="F52" s="18">
        <f>IF(ISNUMBER(D52), $B64 * E52, "")</f>
        <v>2375.5656108597382</v>
      </c>
      <c r="G52" s="31">
        <v>4.49</v>
      </c>
      <c r="H52" s="32">
        <f t="shared" si="19"/>
        <v>1.5837104072398255E-2</v>
      </c>
      <c r="I52" s="91">
        <f>IF(ISNUMBER(G52), $B64 * H52, "")</f>
        <v>2375.5656108597382</v>
      </c>
      <c r="J52" s="15">
        <v>4.5</v>
      </c>
      <c r="K52" s="32">
        <f t="shared" si="20"/>
        <v>1.8099547511312233E-2</v>
      </c>
      <c r="L52" s="18">
        <f>IF(ISNUMBER(J52), $B64 * K52, "")</f>
        <v>2714.932126696835</v>
      </c>
      <c r="M52" s="31">
        <v>4.3899999999999997</v>
      </c>
      <c r="N52" s="32">
        <f t="shared" si="21"/>
        <v>-6.787330316742138E-3</v>
      </c>
      <c r="O52" s="18">
        <f>IF(ISNUMBER(M52), $B64 * N52, "")</f>
        <v>-1018.0995475113207</v>
      </c>
      <c r="Q52" s="33"/>
      <c r="R52" s="33"/>
    </row>
    <row r="53" spans="1:19" ht="17.25" customHeight="1" thickBot="1">
      <c r="A53" s="114" t="s">
        <v>230</v>
      </c>
      <c r="B53" s="115">
        <v>36.1</v>
      </c>
      <c r="C53" s="72">
        <v>-1.6348773800000001E-2</v>
      </c>
      <c r="D53" s="24">
        <v>36.6</v>
      </c>
      <c r="E53" s="25">
        <f t="shared" si="18"/>
        <v>1.3850415512465374E-2</v>
      </c>
      <c r="F53" s="94">
        <f>IF(ISNUMBER(D53), $B64 * E53, "")</f>
        <v>2077.5623268698059</v>
      </c>
      <c r="G53" s="92">
        <v>36.6</v>
      </c>
      <c r="H53" s="25">
        <f t="shared" si="19"/>
        <v>1.3850415512465374E-2</v>
      </c>
      <c r="I53" s="93">
        <f>IF(ISNUMBER(G53), $B64 * H53, "")</f>
        <v>2077.5623268698059</v>
      </c>
      <c r="J53" s="24">
        <v>36.700000000000003</v>
      </c>
      <c r="K53" s="25">
        <f t="shared" si="20"/>
        <v>1.6620498614958488E-2</v>
      </c>
      <c r="L53" s="94">
        <f>IF(ISNUMBER(J53), $B64 * K53, "")</f>
        <v>2493.0747922437731</v>
      </c>
      <c r="M53" s="92">
        <v>36.200000000000003</v>
      </c>
      <c r="N53" s="25">
        <f t="shared" si="21"/>
        <v>2.7700831024931143E-3</v>
      </c>
      <c r="O53" s="94">
        <f>IF(ISNUMBER(M53), $B64 * N53, "")</f>
        <v>415.51246537396713</v>
      </c>
      <c r="Q53" s="170"/>
      <c r="R53" s="171"/>
      <c r="S53" s="172"/>
    </row>
    <row r="54" spans="1:19" ht="17.25" customHeight="1">
      <c r="A54" s="107" t="s">
        <v>193</v>
      </c>
      <c r="B54" s="108">
        <v>17.7</v>
      </c>
      <c r="C54" s="69">
        <v>-1.6666666699999999E-2</v>
      </c>
      <c r="D54" s="13">
        <v>18</v>
      </c>
      <c r="E54" s="14">
        <f>IF(ISNUMBER(D54), (D54 - $B54) / $B54, "")</f>
        <v>1.6949152542372923E-2</v>
      </c>
      <c r="F54" s="16">
        <f>IF(ISNUMBER(D54), $B64 * E54, "")</f>
        <v>2542.3728813559383</v>
      </c>
      <c r="G54" s="29">
        <v>18</v>
      </c>
      <c r="H54" s="14">
        <f>IF(ISNUMBER(G54), (G54 - $B54) / $B54, "")</f>
        <v>1.6949152542372923E-2</v>
      </c>
      <c r="I54" s="90">
        <f>IF(ISNUMBER(G54), $B64 * H54, "")</f>
        <v>2542.3728813559383</v>
      </c>
      <c r="J54" s="13">
        <v>18</v>
      </c>
      <c r="K54" s="14">
        <f>IF(ISNUMBER(J54), (J54 - $B54) / $B54, "")</f>
        <v>1.6949152542372923E-2</v>
      </c>
      <c r="L54" s="16">
        <f>IF(ISNUMBER(J54), $B64 * K54, "")</f>
        <v>2542.3728813559383</v>
      </c>
      <c r="M54" s="29">
        <v>17.8</v>
      </c>
      <c r="N54" s="14">
        <f>IF(ISNUMBER(M54), (M54 - $B54) / $B54, "")</f>
        <v>5.6497175141243744E-3</v>
      </c>
      <c r="O54" s="16">
        <f>IF(ISNUMBER(M54), $B64 * N54, "")</f>
        <v>847.45762711865621</v>
      </c>
      <c r="Q54" s="173"/>
      <c r="R54" s="174"/>
      <c r="S54" s="175"/>
    </row>
    <row r="55" spans="1:19" ht="17.25" customHeight="1" thickBot="1">
      <c r="A55" s="109" t="s">
        <v>56</v>
      </c>
      <c r="B55" s="110">
        <v>39.299999999999997</v>
      </c>
      <c r="C55" s="70">
        <v>-1.9950124699999999E-2</v>
      </c>
      <c r="D55" s="15">
        <v>39.799999999999997</v>
      </c>
      <c r="E55" s="32">
        <f t="shared" ref="E55:E58" si="22">IF(ISNUMBER(D55), (D55 - $B55) / $B55, "")</f>
        <v>1.2722646310432571E-2</v>
      </c>
      <c r="F55" s="18">
        <f>IF(ISNUMBER(D55), $B64 * E55, "")</f>
        <v>1908.3969465648856</v>
      </c>
      <c r="G55" s="31">
        <v>39.799999999999997</v>
      </c>
      <c r="H55" s="32">
        <f t="shared" ref="H55:H58" si="23">IF(ISNUMBER(G55), (G55 - $B55) / $B55, "")</f>
        <v>1.2722646310432571E-2</v>
      </c>
      <c r="I55" s="91">
        <f>IF(ISNUMBER(G55), $B64 * H55, "")</f>
        <v>1908.3969465648856</v>
      </c>
      <c r="J55" s="15">
        <v>39.700000000000003</v>
      </c>
      <c r="K55" s="32">
        <f t="shared" ref="K55:K58" si="24">IF(ISNUMBER(J55), (J55 - $B55) / $B55, "")</f>
        <v>1.0178117048346201E-2</v>
      </c>
      <c r="L55" s="18">
        <f>IF(ISNUMBER(J55), $B64 * K55, "")</f>
        <v>1526.7175572519302</v>
      </c>
      <c r="M55" s="31">
        <v>39.9</v>
      </c>
      <c r="N55" s="32">
        <f t="shared" ref="N55:N58" si="25">IF(ISNUMBER(M55), (M55 - $B55) / $B55, "")</f>
        <v>1.5267175572519122E-2</v>
      </c>
      <c r="O55" s="18">
        <f>IF(ISNUMBER(M55), $B64 * N55, "")</f>
        <v>2290.0763358778681</v>
      </c>
      <c r="Q55" s="176"/>
      <c r="R55" s="177"/>
      <c r="S55" s="178"/>
    </row>
    <row r="56" spans="1:19" ht="17.25" customHeight="1" thickBot="1">
      <c r="A56" s="109" t="s">
        <v>224</v>
      </c>
      <c r="B56" s="110">
        <v>18.5</v>
      </c>
      <c r="C56" s="70">
        <v>-2.1164021200000001E-2</v>
      </c>
      <c r="D56" s="15">
        <v>18.899999999999999</v>
      </c>
      <c r="E56" s="32">
        <f t="shared" si="22"/>
        <v>2.1621621621621546E-2</v>
      </c>
      <c r="F56" s="18">
        <f>IF(ISNUMBER(D56), $B64 * E56, "")</f>
        <v>3243.243243243232</v>
      </c>
      <c r="G56" s="31">
        <v>18.899999999999999</v>
      </c>
      <c r="H56" s="32">
        <f t="shared" si="23"/>
        <v>2.1621621621621546E-2</v>
      </c>
      <c r="I56" s="91">
        <f>IF(ISNUMBER(G56), $B64 * H56, "")</f>
        <v>3243.243243243232</v>
      </c>
      <c r="J56" s="15">
        <v>18.899999999999999</v>
      </c>
      <c r="K56" s="32">
        <f t="shared" si="24"/>
        <v>2.1621621621621546E-2</v>
      </c>
      <c r="L56" s="18">
        <f>IF(ISNUMBER(J56), $B64 * K56, "")</f>
        <v>3243.243243243232</v>
      </c>
      <c r="M56" s="31">
        <v>18.600000000000001</v>
      </c>
      <c r="N56" s="32">
        <f t="shared" si="25"/>
        <v>5.405405405405482E-3</v>
      </c>
      <c r="O56" s="18">
        <f>IF(ISNUMBER(M56), $B64 * N56, "")</f>
        <v>810.81081081082232</v>
      </c>
      <c r="Q56" s="161"/>
      <c r="R56" s="161"/>
      <c r="S56" s="161"/>
    </row>
    <row r="57" spans="1:19" ht="17.25" customHeight="1" thickBot="1">
      <c r="A57" s="109" t="s">
        <v>240</v>
      </c>
      <c r="B57" s="110">
        <v>26.8</v>
      </c>
      <c r="C57" s="70">
        <v>-2.1897810199999999E-2</v>
      </c>
      <c r="D57" s="15">
        <v>27</v>
      </c>
      <c r="E57" s="32">
        <f t="shared" si="22"/>
        <v>7.4626865671641521E-3</v>
      </c>
      <c r="F57" s="18">
        <f>IF(ISNUMBER(D57), $B64 * E57, "")</f>
        <v>1119.4029850746228</v>
      </c>
      <c r="G57" s="31">
        <v>27</v>
      </c>
      <c r="H57" s="32">
        <f t="shared" si="23"/>
        <v>7.4626865671641521E-3</v>
      </c>
      <c r="I57" s="91">
        <f>IF(ISNUMBER(G57), $B64 * H57, "")</f>
        <v>1119.4029850746228</v>
      </c>
      <c r="J57" s="15">
        <v>27.1</v>
      </c>
      <c r="K57" s="32">
        <f t="shared" si="24"/>
        <v>1.1194029850746294E-2</v>
      </c>
      <c r="L57" s="18">
        <f>IF(ISNUMBER(J57), $B64 * K57, "")</f>
        <v>1679.104477611944</v>
      </c>
      <c r="M57" s="31">
        <v>27.1</v>
      </c>
      <c r="N57" s="32">
        <f t="shared" si="25"/>
        <v>1.1194029850746294E-2</v>
      </c>
      <c r="O57" s="18">
        <f>IF(ISNUMBER(M57), $B64 * N57, "")</f>
        <v>1679.104477611944</v>
      </c>
      <c r="Q57" s="156"/>
      <c r="R57" s="156"/>
      <c r="S57" s="156"/>
    </row>
    <row r="58" spans="1:19" ht="17.25" customHeight="1" thickBot="1">
      <c r="A58" s="111" t="s">
        <v>122</v>
      </c>
      <c r="B58" s="112">
        <v>22.1</v>
      </c>
      <c r="C58" s="71">
        <v>-2.2123893799999999E-2</v>
      </c>
      <c r="D58" s="20">
        <v>21.9</v>
      </c>
      <c r="E58" s="21">
        <f t="shared" si="22"/>
        <v>-9.049773755656236E-3</v>
      </c>
      <c r="F58" s="22">
        <f>IF(ISNUMBER(D58), $B64 * E58, "")</f>
        <v>-1357.4660633484355</v>
      </c>
      <c r="G58" s="30">
        <v>21.9</v>
      </c>
      <c r="H58" s="21">
        <f t="shared" si="23"/>
        <v>-9.049773755656236E-3</v>
      </c>
      <c r="I58" s="95">
        <f>IF(ISNUMBER(G58), $B64 * H58, "")</f>
        <v>-1357.4660633484355</v>
      </c>
      <c r="J58" s="20">
        <v>22.2</v>
      </c>
      <c r="K58" s="21">
        <f t="shared" si="24"/>
        <v>4.5248868778279576E-3</v>
      </c>
      <c r="L58" s="22">
        <f>IF(ISNUMBER(J58), $B64 * K58, "")</f>
        <v>678.73303167419363</v>
      </c>
      <c r="M58" s="30">
        <v>22.2</v>
      </c>
      <c r="N58" s="21">
        <f t="shared" si="25"/>
        <v>4.5248868778279576E-3</v>
      </c>
      <c r="O58" s="22">
        <f>IF(ISNUMBER(M58), $B64 * N58, "")</f>
        <v>678.73303167419363</v>
      </c>
      <c r="Q58" s="156"/>
      <c r="R58" s="156"/>
      <c r="S58" s="156"/>
    </row>
    <row r="59" spans="1:19" ht="17.25" customHeight="1" thickBot="1">
      <c r="A59" s="109" t="s">
        <v>126</v>
      </c>
      <c r="B59" s="113">
        <v>24.9</v>
      </c>
      <c r="C59" s="73">
        <v>-2.35294118E-2</v>
      </c>
      <c r="D59" s="96">
        <v>24.8</v>
      </c>
      <c r="E59" s="97">
        <f>IF(ISNUMBER(D59), (D59 - $B59) / $B59, "")</f>
        <v>-4.0160642570280271E-3</v>
      </c>
      <c r="F59" s="98">
        <f>IF(ISNUMBER(D59), $B64 * E59, "")</f>
        <v>-602.40963855420409</v>
      </c>
      <c r="G59" s="99">
        <v>24.8</v>
      </c>
      <c r="H59" s="97">
        <f>IF(ISNUMBER(G59), (G59 - $B59) / $B59, "")</f>
        <v>-4.0160642570280271E-3</v>
      </c>
      <c r="I59" s="100">
        <f>IF(ISNUMBER(G59), $B64 * H59, "")</f>
        <v>-602.40963855420409</v>
      </c>
      <c r="J59" s="96">
        <v>25</v>
      </c>
      <c r="K59" s="97">
        <f>IF(ISNUMBER(J59), (J59 - $B59) / $B59, "")</f>
        <v>4.0160642570281693E-3</v>
      </c>
      <c r="L59" s="98">
        <f>IF(ISNUMBER(J59), $B64 * K59, "")</f>
        <v>602.40963855422535</v>
      </c>
      <c r="M59" s="99">
        <v>24.8</v>
      </c>
      <c r="N59" s="97">
        <f>IF(ISNUMBER(M59), (M59 - $B59) / $B59, "")</f>
        <v>-4.0160642570280271E-3</v>
      </c>
      <c r="O59" s="98">
        <f>IF(ISNUMBER(M59), $B64 * N59, "")</f>
        <v>-602.40963855420409</v>
      </c>
      <c r="Q59" s="161"/>
      <c r="R59" s="161"/>
      <c r="S59" s="161"/>
    </row>
    <row r="60" spans="1:19" ht="17.25" customHeight="1" thickBot="1">
      <c r="A60" s="109" t="s">
        <v>335</v>
      </c>
      <c r="B60" s="110">
        <v>3.2800000000000003E-2</v>
      </c>
      <c r="C60" s="70">
        <v>-2.67062315E-2</v>
      </c>
      <c r="D60" s="15">
        <v>3.3099999999999997E-2</v>
      </c>
      <c r="E60" s="32">
        <f t="shared" ref="E60:E63" si="26">IF(ISNUMBER(D60), (D60 - $B60) / $B60, "")</f>
        <v>9.1463414634144723E-3</v>
      </c>
      <c r="F60" s="18">
        <f>IF(ISNUMBER(D60), $B64 * E60, "")</f>
        <v>1371.9512195121708</v>
      </c>
      <c r="G60" s="31">
        <v>3.3099999999999997E-2</v>
      </c>
      <c r="H60" s="32">
        <f t="shared" ref="H60:H63" si="27">IF(ISNUMBER(G60), (G60 - $B60) / $B60, "")</f>
        <v>9.1463414634144723E-3</v>
      </c>
      <c r="I60" s="91">
        <f>IF(ISNUMBER(G60), $B64 * H60, "")</f>
        <v>1371.9512195121708</v>
      </c>
      <c r="J60" s="15">
        <v>3.32E-2</v>
      </c>
      <c r="K60" s="32">
        <f t="shared" ref="K60:K63" si="28">IF(ISNUMBER(J60), (J60 - $B60) / $B60, "")</f>
        <v>1.2195121951219438E-2</v>
      </c>
      <c r="L60" s="18">
        <f>IF(ISNUMBER(J60), $B64 * K60, "")</f>
        <v>1829.2682926829157</v>
      </c>
      <c r="M60" s="31">
        <v>3.32E-2</v>
      </c>
      <c r="N60" s="32">
        <f t="shared" ref="N60:N63" si="29">IF(ISNUMBER(M60), (M60 - $B60) / $B60, "")</f>
        <v>1.2195121951219438E-2</v>
      </c>
      <c r="O60" s="18">
        <f>IF(ISNUMBER(M60), $B64 * N60, "")</f>
        <v>1829.2682926829157</v>
      </c>
      <c r="Q60" s="161"/>
      <c r="R60" s="161"/>
      <c r="S60" s="161"/>
    </row>
    <row r="61" spans="1:19" ht="17.25" customHeight="1" thickBot="1">
      <c r="A61" s="109" t="s">
        <v>185</v>
      </c>
      <c r="B61" s="110">
        <v>27.4</v>
      </c>
      <c r="C61" s="70">
        <v>-2.83687943E-2</v>
      </c>
      <c r="D61" s="15">
        <v>27.4</v>
      </c>
      <c r="E61" s="32">
        <f t="shared" si="26"/>
        <v>0</v>
      </c>
      <c r="F61" s="18">
        <f>IF(ISNUMBER(D61), $B64 * E61, "")</f>
        <v>0</v>
      </c>
      <c r="G61" s="31">
        <v>27.4</v>
      </c>
      <c r="H61" s="32">
        <f t="shared" si="27"/>
        <v>0</v>
      </c>
      <c r="I61" s="91">
        <f>IF(ISNUMBER(G61), $B64 * H61, "")</f>
        <v>0</v>
      </c>
      <c r="J61" s="15">
        <v>27.6</v>
      </c>
      <c r="K61" s="32">
        <f t="shared" si="28"/>
        <v>7.2992700729928046E-3</v>
      </c>
      <c r="L61" s="18">
        <f>IF(ISNUMBER(J61), $B64 * K61, "")</f>
        <v>1094.8905109489208</v>
      </c>
      <c r="M61" s="31">
        <v>27.6</v>
      </c>
      <c r="N61" s="32">
        <f t="shared" si="29"/>
        <v>7.2992700729928046E-3</v>
      </c>
      <c r="O61" s="18">
        <f>IF(ISNUMBER(M61), $B64 * N61, "")</f>
        <v>1094.8905109489208</v>
      </c>
      <c r="Q61" s="161"/>
      <c r="R61" s="161"/>
      <c r="S61" s="161"/>
    </row>
    <row r="62" spans="1:19" ht="17.25" customHeight="1">
      <c r="A62" s="109" t="s">
        <v>138</v>
      </c>
      <c r="B62" s="110">
        <v>23.9</v>
      </c>
      <c r="C62" s="70">
        <v>-2.8455284599999998E-2</v>
      </c>
      <c r="D62" s="15">
        <v>23.9</v>
      </c>
      <c r="E62" s="32">
        <f t="shared" si="26"/>
        <v>0</v>
      </c>
      <c r="F62" s="18">
        <f>IF(ISNUMBER(D62), $B64 * E62, "")</f>
        <v>0</v>
      </c>
      <c r="G62" s="31">
        <v>23.9</v>
      </c>
      <c r="H62" s="32">
        <f t="shared" si="27"/>
        <v>0</v>
      </c>
      <c r="I62" s="91">
        <f>IF(ISNUMBER(G62), $B64 * H62, "")</f>
        <v>0</v>
      </c>
      <c r="J62" s="15">
        <v>24.1</v>
      </c>
      <c r="K62" s="32">
        <f t="shared" si="28"/>
        <v>8.3682008368202027E-3</v>
      </c>
      <c r="L62" s="18">
        <f>IF(ISNUMBER(J62), $B64 * K62, "")</f>
        <v>1255.2301255230304</v>
      </c>
      <c r="M62" s="31">
        <v>24</v>
      </c>
      <c r="N62" s="32">
        <f t="shared" si="29"/>
        <v>4.1841004184101013E-3</v>
      </c>
      <c r="O62" s="18">
        <f>IF(ISNUMBER(M62), $B64 * N62, "")</f>
        <v>627.61506276151522</v>
      </c>
      <c r="Q62" s="183"/>
      <c r="R62" s="184"/>
      <c r="S62" s="185"/>
    </row>
    <row r="63" spans="1:19" ht="17.25" customHeight="1" thickBot="1">
      <c r="A63" s="114" t="s">
        <v>155</v>
      </c>
      <c r="B63" s="115">
        <v>26.8</v>
      </c>
      <c r="C63" s="72">
        <v>-2.89855072E-2</v>
      </c>
      <c r="D63" s="24">
        <v>27.5</v>
      </c>
      <c r="E63" s="25">
        <f t="shared" si="26"/>
        <v>2.6119402985074598E-2</v>
      </c>
      <c r="F63" s="94">
        <f>IF(ISNUMBER(D63), $B64 * E63, "")</f>
        <v>3917.9104477611895</v>
      </c>
      <c r="G63" s="92">
        <v>27.5</v>
      </c>
      <c r="H63" s="25">
        <f t="shared" si="27"/>
        <v>2.6119402985074598E-2</v>
      </c>
      <c r="I63" s="93">
        <f>IF(ISNUMBER(G63), $B64 * H63, "")</f>
        <v>3917.9104477611895</v>
      </c>
      <c r="J63" s="24">
        <v>27.6</v>
      </c>
      <c r="K63" s="25">
        <f t="shared" si="28"/>
        <v>2.9850746268656744E-2</v>
      </c>
      <c r="L63" s="94">
        <f>IF(ISNUMBER(J63), $B64 * K63, "")</f>
        <v>4477.6119402985114</v>
      </c>
      <c r="M63" s="92">
        <v>27.6</v>
      </c>
      <c r="N63" s="25">
        <f t="shared" si="29"/>
        <v>2.9850746268656744E-2</v>
      </c>
      <c r="O63" s="94">
        <f>IF(ISNUMBER(M63), $B64 * N63, "")</f>
        <v>4477.6119402985114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7.7465858920809216E-3</v>
      </c>
      <c r="F64" s="28">
        <f>SUM(F44:F63)</f>
        <v>23239.757676242771</v>
      </c>
      <c r="G64" s="26" t="s">
        <v>261</v>
      </c>
      <c r="H64" s="27">
        <f>IF(COUNT(H44:H63), SUM(H44:H63) / COUNT(H44:H63), 0)</f>
        <v>7.7465858920809216E-3</v>
      </c>
      <c r="I64" s="28">
        <f>SUM(I44:I63)</f>
        <v>23239.757676242771</v>
      </c>
      <c r="J64" s="26" t="s">
        <v>261</v>
      </c>
      <c r="K64" s="27">
        <f>IF(COUNT(K44:K63), SUM(K44:K63) / COUNT(K44:K63), 0)</f>
        <v>1.1056042001137231E-2</v>
      </c>
      <c r="L64" s="28">
        <f>SUM(L44:L63)</f>
        <v>33168.126003411693</v>
      </c>
      <c r="M64" s="26" t="s">
        <v>261</v>
      </c>
      <c r="N64" s="27">
        <f>IF(COUNT(N44:N63), SUM(N44:N63) / COUNT(N44:N63), 0)</f>
        <v>5.0713574494332713E-3</v>
      </c>
      <c r="O64" s="28">
        <f>SUM(O44:O63)</f>
        <v>15214.072348299811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2022-12-18(일) 오전 00:00</v>
      </c>
      <c r="C69" s="199"/>
      <c r="D69" s="158" t="str">
        <f>TEXT($G$1, "[$-ko-KR]yyyy-mm-dd(ddd) ") &amp; "오후 14:00"</f>
        <v>2022-12-18(일) 오후 14:00</v>
      </c>
      <c r="E69" s="159"/>
      <c r="F69" s="160"/>
      <c r="G69" s="158" t="str">
        <f>TEXT($G$1, "[$-ko-KR]yyyy-mm-dd(ddd) ") &amp; "오후 19:00"</f>
        <v>2022-12-18(일) 오후 19:00</v>
      </c>
      <c r="H69" s="159"/>
      <c r="I69" s="160"/>
      <c r="J69" s="158" t="str">
        <f>TEXT($G$1, "[$-ko-KR]yyyy-mm-dd(ddd) ") &amp; "오후 21:00"</f>
        <v>2022-12-18(일) 오후 21:00</v>
      </c>
      <c r="K69" s="159"/>
      <c r="L69" s="160"/>
      <c r="M69" s="158" t="str">
        <f>TEXT($G$1+1, "[$-ko-KR]yyyy-mm-dd(ddd) ") &amp; "오전 00:00"</f>
        <v>2022-12-19(월)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169</v>
      </c>
      <c r="B71" s="108">
        <v>224</v>
      </c>
      <c r="C71" s="69">
        <v>1.8181818200000002E-2</v>
      </c>
      <c r="D71" s="13">
        <v>223</v>
      </c>
      <c r="E71" s="14">
        <f>IF(ISNUMBER(D71), (D71 - $B71) / $B71, "")</f>
        <v>-4.464285714285714E-3</v>
      </c>
      <c r="F71" s="16">
        <f>IF(ISNUMBER(D71), $B91 * E71, "")</f>
        <v>-669.64285714285711</v>
      </c>
      <c r="G71" s="29">
        <v>223</v>
      </c>
      <c r="H71" s="14">
        <f>IF(ISNUMBER(G71), (G71 - $B71) / $B71, "")</f>
        <v>-4.464285714285714E-3</v>
      </c>
      <c r="I71" s="90">
        <f>IF(ISNUMBER(G71), $B91 * H71, "")</f>
        <v>-669.64285714285711</v>
      </c>
      <c r="J71" s="13">
        <v>225</v>
      </c>
      <c r="K71" s="14">
        <f>IF(ISNUMBER(J71), (J71 - $B71) / $B71, "")</f>
        <v>4.464285714285714E-3</v>
      </c>
      <c r="L71" s="16">
        <f>IF(ISNUMBER(J71), $B91 * K71, "")</f>
        <v>669.64285714285711</v>
      </c>
      <c r="M71" s="29">
        <v>223</v>
      </c>
      <c r="N71" s="14">
        <f>IF(ISNUMBER(M71), (M71 - $B71) / $B71, "")</f>
        <v>-4.464285714285714E-3</v>
      </c>
      <c r="O71" s="16">
        <f>IF(ISNUMBER(M71), $B91 * N71, "")</f>
        <v>-669.64285714285711</v>
      </c>
      <c r="Q71" s="156"/>
      <c r="R71" s="156"/>
      <c r="S71" s="156"/>
    </row>
    <row r="72" spans="1:19" ht="17.25" thickBot="1">
      <c r="A72" s="109" t="s">
        <v>256</v>
      </c>
      <c r="B72" s="110">
        <v>103</v>
      </c>
      <c r="C72" s="70">
        <v>9.8039215999999995E-3</v>
      </c>
      <c r="D72" s="15">
        <v>104</v>
      </c>
      <c r="E72" s="32">
        <f t="shared" ref="E72:E75" si="30">IF(ISNUMBER(D72), (D72 - $B72) / $B72, "")</f>
        <v>9.7087378640776691E-3</v>
      </c>
      <c r="F72" s="18">
        <f>IF(ISNUMBER(D72), $B91 * E72, "")</f>
        <v>1456.3106796116504</v>
      </c>
      <c r="G72" s="31">
        <v>104</v>
      </c>
      <c r="H72" s="32">
        <f t="shared" ref="H72:H75" si="31">IF(ISNUMBER(G72), (G72 - $B72) / $B72, "")</f>
        <v>9.7087378640776691E-3</v>
      </c>
      <c r="I72" s="91">
        <f>IF(ISNUMBER(G72), $B91 * H72, "")</f>
        <v>1456.3106796116504</v>
      </c>
      <c r="J72" s="15">
        <v>104</v>
      </c>
      <c r="K72" s="32">
        <f t="shared" ref="K72:K75" si="32">IF(ISNUMBER(J72), (J72 - $B72) / $B72, "")</f>
        <v>9.7087378640776691E-3</v>
      </c>
      <c r="L72" s="18">
        <f>IF(ISNUMBER(J72), $B91 * K72, "")</f>
        <v>1456.3106796116504</v>
      </c>
      <c r="M72" s="31">
        <v>104</v>
      </c>
      <c r="N72" s="32">
        <f t="shared" ref="N72:N75" si="33">IF(ISNUMBER(M72), (M72 - $B72) / $B72, "")</f>
        <v>9.7087378640776691E-3</v>
      </c>
      <c r="O72" s="18">
        <f>IF(ISNUMBER(M72), $B91 * N72, "")</f>
        <v>1456.3106796116504</v>
      </c>
      <c r="Q72" s="156"/>
      <c r="R72" s="156"/>
      <c r="S72" s="156"/>
    </row>
    <row r="73" spans="1:19" ht="17.25" thickBot="1">
      <c r="A73" s="109" t="s">
        <v>332</v>
      </c>
      <c r="B73" s="110">
        <v>251</v>
      </c>
      <c r="C73" s="70">
        <v>8.0321284999999992E-3</v>
      </c>
      <c r="D73" s="15">
        <v>249</v>
      </c>
      <c r="E73" s="32">
        <f t="shared" si="30"/>
        <v>-7.9681274900398405E-3</v>
      </c>
      <c r="F73" s="18">
        <f>IF(ISNUMBER(D73), $B91 * E73, "")</f>
        <v>-1195.2191235059761</v>
      </c>
      <c r="G73" s="31">
        <v>249</v>
      </c>
      <c r="H73" s="32">
        <f t="shared" si="31"/>
        <v>-7.9681274900398405E-3</v>
      </c>
      <c r="I73" s="91">
        <f>IF(ISNUMBER(G73), $B91 * H73, "")</f>
        <v>-1195.2191235059761</v>
      </c>
      <c r="J73" s="15">
        <v>252</v>
      </c>
      <c r="K73" s="32">
        <f t="shared" si="32"/>
        <v>3.9840637450199202E-3</v>
      </c>
      <c r="L73" s="18">
        <f>IF(ISNUMBER(J73), $B91 * K73, "")</f>
        <v>597.60956175298804</v>
      </c>
      <c r="M73" s="31">
        <v>250</v>
      </c>
      <c r="N73" s="32">
        <f t="shared" si="33"/>
        <v>-3.9840637450199202E-3</v>
      </c>
      <c r="O73" s="18">
        <f>IF(ISNUMBER(M73), $B91 * N73, "")</f>
        <v>-597.60956175298804</v>
      </c>
      <c r="Q73" s="161"/>
      <c r="R73" s="161"/>
      <c r="S73" s="161"/>
    </row>
    <row r="74" spans="1:19" ht="17.25" thickBot="1">
      <c r="A74" s="109" t="s">
        <v>202</v>
      </c>
      <c r="B74" s="110">
        <v>311</v>
      </c>
      <c r="C74" s="70">
        <v>0</v>
      </c>
      <c r="D74" s="15">
        <v>310</v>
      </c>
      <c r="E74" s="32">
        <f t="shared" si="30"/>
        <v>-3.2154340836012861E-3</v>
      </c>
      <c r="F74" s="18">
        <f>IF(ISNUMBER(D74), $B91 * E74, "")</f>
        <v>-482.3151125401929</v>
      </c>
      <c r="G74" s="31">
        <v>310</v>
      </c>
      <c r="H74" s="32">
        <f t="shared" si="31"/>
        <v>-3.2154340836012861E-3</v>
      </c>
      <c r="I74" s="91">
        <f>IF(ISNUMBER(G74), $B91 * H74, "")</f>
        <v>-482.3151125401929</v>
      </c>
      <c r="J74" s="15">
        <v>308</v>
      </c>
      <c r="K74" s="32">
        <f t="shared" si="32"/>
        <v>-9.6463022508038593E-3</v>
      </c>
      <c r="L74" s="18">
        <f>IF(ISNUMBER(J74), $B91 * K74, "")</f>
        <v>-1446.9453376205788</v>
      </c>
      <c r="M74" s="31">
        <v>307</v>
      </c>
      <c r="N74" s="32">
        <f t="shared" si="33"/>
        <v>-1.2861736334405145E-2</v>
      </c>
      <c r="O74" s="18">
        <f>IF(ISNUMBER(M74), $B91 * N74, "")</f>
        <v>-1929.2604501607716</v>
      </c>
      <c r="Q74" s="161"/>
      <c r="R74" s="161"/>
      <c r="S74" s="161"/>
    </row>
    <row r="75" spans="1:19" ht="17.25" thickBot="1">
      <c r="A75" s="111" t="s">
        <v>111</v>
      </c>
      <c r="B75" s="112">
        <v>626</v>
      </c>
      <c r="C75" s="71">
        <v>-6.3492063000000001E-3</v>
      </c>
      <c r="D75" s="20">
        <v>623</v>
      </c>
      <c r="E75" s="21">
        <f t="shared" si="30"/>
        <v>-4.7923322683706068E-3</v>
      </c>
      <c r="F75" s="22">
        <f>IF(ISNUMBER(D75), $B91 * E75, "")</f>
        <v>-718.84984025559106</v>
      </c>
      <c r="G75" s="30">
        <v>623</v>
      </c>
      <c r="H75" s="21">
        <f t="shared" si="31"/>
        <v>-4.7923322683706068E-3</v>
      </c>
      <c r="I75" s="95">
        <f>IF(ISNUMBER(G75), $B91 * H75, "")</f>
        <v>-718.84984025559106</v>
      </c>
      <c r="J75" s="20">
        <v>625</v>
      </c>
      <c r="K75" s="21">
        <f t="shared" si="32"/>
        <v>-1.5974440894568689E-3</v>
      </c>
      <c r="L75" s="22">
        <f>IF(ISNUMBER(J75), $B91 * K75, "")</f>
        <v>-239.61661341853033</v>
      </c>
      <c r="M75" s="30">
        <v>620</v>
      </c>
      <c r="N75" s="21">
        <f t="shared" si="33"/>
        <v>-9.5846645367412137E-3</v>
      </c>
      <c r="O75" s="22">
        <f>IF(ISNUMBER(M75), $B91 * N75, "")</f>
        <v>-1437.6996805111821</v>
      </c>
      <c r="Q75" s="161"/>
      <c r="R75" s="161"/>
      <c r="S75" s="161"/>
    </row>
    <row r="76" spans="1:19" ht="17.25" thickBot="1">
      <c r="A76" s="109" t="s">
        <v>342</v>
      </c>
      <c r="B76" s="113">
        <v>121</v>
      </c>
      <c r="C76" s="73">
        <v>-8.1967212999999994E-3</v>
      </c>
      <c r="D76" s="96">
        <v>122</v>
      </c>
      <c r="E76" s="97">
        <f>IF(ISNUMBER(D76), (D76 - $B76) / $B76, "")</f>
        <v>8.2644628099173556E-3</v>
      </c>
      <c r="F76" s="98">
        <f>IF(ISNUMBER(D76), $B91 * E76, "")</f>
        <v>1239.6694214876034</v>
      </c>
      <c r="G76" s="99">
        <v>122</v>
      </c>
      <c r="H76" s="97">
        <f>IF(ISNUMBER(G76), (G76 - $B76) / $B76, "")</f>
        <v>8.2644628099173556E-3</v>
      </c>
      <c r="I76" s="100">
        <f>IF(ISNUMBER(G76), $B91 * H76, "")</f>
        <v>1239.6694214876034</v>
      </c>
      <c r="J76" s="96">
        <v>122</v>
      </c>
      <c r="K76" s="97">
        <f>IF(ISNUMBER(J76), (J76 - $B76) / $B76, "")</f>
        <v>8.2644628099173556E-3</v>
      </c>
      <c r="L76" s="98">
        <f>IF(ISNUMBER(J76), $B91 * K76, "")</f>
        <v>1239.6694214876034</v>
      </c>
      <c r="M76" s="99">
        <v>120</v>
      </c>
      <c r="N76" s="97">
        <f>IF(ISNUMBER(M76), (M76 - $B76) / $B76, "")</f>
        <v>-8.2644628099173556E-3</v>
      </c>
      <c r="O76" s="98">
        <f>IF(ISNUMBER(M76), $B91 * N76, "")</f>
        <v>-1239.6694214876034</v>
      </c>
      <c r="Q76" s="161"/>
      <c r="R76" s="161"/>
      <c r="S76" s="161"/>
    </row>
    <row r="77" spans="1:19" ht="17.25" thickBot="1">
      <c r="A77" s="109" t="s">
        <v>81</v>
      </c>
      <c r="B77" s="110">
        <v>350</v>
      </c>
      <c r="C77" s="70">
        <v>-8.4985835999999999E-3</v>
      </c>
      <c r="D77" s="15">
        <v>350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350</v>
      </c>
      <c r="H77" s="32">
        <f t="shared" ref="H77:H80" si="35">IF(ISNUMBER(G77), (G77 - $B77) / $B77, "")</f>
        <v>0</v>
      </c>
      <c r="I77" s="91">
        <f>IF(ISNUMBER(G77), $B91 * H77, "")</f>
        <v>0</v>
      </c>
      <c r="J77" s="15">
        <v>352</v>
      </c>
      <c r="K77" s="32">
        <f t="shared" ref="K77:K80" si="36">IF(ISNUMBER(J77), (J77 - $B77) / $B77, "")</f>
        <v>5.7142857142857143E-3</v>
      </c>
      <c r="L77" s="18">
        <f>IF(ISNUMBER(J77), $B91 * K77, "")</f>
        <v>857.14285714285711</v>
      </c>
      <c r="M77" s="31">
        <v>351</v>
      </c>
      <c r="N77" s="32">
        <f t="shared" ref="N77:N80" si="37">IF(ISNUMBER(M77), (M77 - $B77) / $B77, "")</f>
        <v>2.8571428571428571E-3</v>
      </c>
      <c r="O77" s="18">
        <f>IF(ISNUMBER(M77), $B91 * N77, "")</f>
        <v>428.57142857142856</v>
      </c>
      <c r="Q77" s="161"/>
      <c r="R77" s="161"/>
      <c r="S77" s="161"/>
    </row>
    <row r="78" spans="1:19" ht="17.25" thickBot="1">
      <c r="A78" s="109" t="s">
        <v>89</v>
      </c>
      <c r="B78" s="110">
        <v>466</v>
      </c>
      <c r="C78" s="70">
        <v>-8.5106382999999997E-3</v>
      </c>
      <c r="D78" s="15">
        <v>466</v>
      </c>
      <c r="E78" s="32">
        <f t="shared" si="34"/>
        <v>0</v>
      </c>
      <c r="F78" s="18">
        <f>IF(ISNUMBER(D78), $B91 * E78, "")</f>
        <v>0</v>
      </c>
      <c r="G78" s="31">
        <v>466</v>
      </c>
      <c r="H78" s="32">
        <f t="shared" si="35"/>
        <v>0</v>
      </c>
      <c r="I78" s="91">
        <f>IF(ISNUMBER(G78), $B91 * H78, "")</f>
        <v>0</v>
      </c>
      <c r="J78" s="15">
        <v>468</v>
      </c>
      <c r="K78" s="32">
        <f t="shared" si="36"/>
        <v>4.2918454935622317E-3</v>
      </c>
      <c r="L78" s="18">
        <f>IF(ISNUMBER(J78), $B91 * K78, "")</f>
        <v>643.77682403433471</v>
      </c>
      <c r="M78" s="31">
        <v>465</v>
      </c>
      <c r="N78" s="32">
        <f t="shared" si="37"/>
        <v>-2.1459227467811159E-3</v>
      </c>
      <c r="O78" s="18">
        <f>IF(ISNUMBER(M78), $B91 * N78, "")</f>
        <v>-321.88841201716735</v>
      </c>
      <c r="Q78" s="161"/>
      <c r="R78" s="161"/>
      <c r="S78" s="161"/>
    </row>
    <row r="79" spans="1:19" ht="17.25" thickBot="1">
      <c r="A79" s="109" t="s">
        <v>103</v>
      </c>
      <c r="B79" s="110">
        <v>221</v>
      </c>
      <c r="C79" s="70">
        <v>-8.9686099000000005E-3</v>
      </c>
      <c r="D79" s="15">
        <v>218</v>
      </c>
      <c r="E79" s="32">
        <f t="shared" si="34"/>
        <v>-1.3574660633484163E-2</v>
      </c>
      <c r="F79" s="18">
        <f>IF(ISNUMBER(D79), $B91 * E79, "")</f>
        <v>-2036.1990950226245</v>
      </c>
      <c r="G79" s="31">
        <v>218</v>
      </c>
      <c r="H79" s="32">
        <f t="shared" si="35"/>
        <v>-1.3574660633484163E-2</v>
      </c>
      <c r="I79" s="91">
        <f>IF(ISNUMBER(G79), $B91 * H79, "")</f>
        <v>-2036.1990950226245</v>
      </c>
      <c r="J79" s="15">
        <v>218</v>
      </c>
      <c r="K79" s="32">
        <f t="shared" si="36"/>
        <v>-1.3574660633484163E-2</v>
      </c>
      <c r="L79" s="18">
        <f>IF(ISNUMBER(J79), $B91 * K79, "")</f>
        <v>-2036.1990950226245</v>
      </c>
      <c r="M79" s="31">
        <v>219</v>
      </c>
      <c r="N79" s="32">
        <f t="shared" si="37"/>
        <v>-9.0497737556561094E-3</v>
      </c>
      <c r="O79" s="18">
        <f>IF(ISNUMBER(M79), $B91 * N79, "")</f>
        <v>-1357.4660633484164</v>
      </c>
      <c r="Q79" s="33"/>
      <c r="R79" s="33"/>
    </row>
    <row r="80" spans="1:19" ht="17.25" thickBot="1">
      <c r="A80" s="114" t="s">
        <v>109</v>
      </c>
      <c r="B80" s="115">
        <v>982</v>
      </c>
      <c r="C80" s="72">
        <v>-1.10775428E-2</v>
      </c>
      <c r="D80" s="24">
        <v>984</v>
      </c>
      <c r="E80" s="25">
        <f t="shared" si="34"/>
        <v>2.0366598778004071E-3</v>
      </c>
      <c r="F80" s="94">
        <f>IF(ISNUMBER(D80), $B91 * E80, "")</f>
        <v>305.49898167006108</v>
      </c>
      <c r="G80" s="92">
        <v>984</v>
      </c>
      <c r="H80" s="25">
        <f t="shared" si="35"/>
        <v>2.0366598778004071E-3</v>
      </c>
      <c r="I80" s="93">
        <f>IF(ISNUMBER(G80), $B91 * H80, "")</f>
        <v>305.49898167006108</v>
      </c>
      <c r="J80" s="24">
        <v>999</v>
      </c>
      <c r="K80" s="25">
        <f t="shared" si="36"/>
        <v>1.7311608961303463E-2</v>
      </c>
      <c r="L80" s="94">
        <f>IF(ISNUMBER(J80), $B91 * K80, "")</f>
        <v>2596.7413441955196</v>
      </c>
      <c r="M80" s="92">
        <v>993</v>
      </c>
      <c r="N80" s="25">
        <f t="shared" si="37"/>
        <v>1.1201629327902239E-2</v>
      </c>
      <c r="O80" s="94">
        <f>IF(ISNUMBER(M80), $B91 * N80, "")</f>
        <v>1680.2443991853359</v>
      </c>
      <c r="Q80" s="170"/>
      <c r="R80" s="171"/>
      <c r="S80" s="172"/>
    </row>
    <row r="81" spans="1:19">
      <c r="A81" s="107" t="s">
        <v>149</v>
      </c>
      <c r="B81" s="108">
        <v>345</v>
      </c>
      <c r="C81" s="69">
        <v>-1.42857143E-2</v>
      </c>
      <c r="D81" s="13">
        <v>343</v>
      </c>
      <c r="E81" s="14">
        <f>IF(ISNUMBER(D81), (D81 - $B81) / $B81, "")</f>
        <v>-5.7971014492753624E-3</v>
      </c>
      <c r="F81" s="16">
        <f>IF(ISNUMBER(D81), $B91 * E81, "")</f>
        <v>-869.56521739130437</v>
      </c>
      <c r="G81" s="29">
        <v>343</v>
      </c>
      <c r="H81" s="14">
        <f>IF(ISNUMBER(G81), (G81 - $B81) / $B81, "")</f>
        <v>-5.7971014492753624E-3</v>
      </c>
      <c r="I81" s="90">
        <f>IF(ISNUMBER(G81), $B91 * H81, "")</f>
        <v>-869.56521739130437</v>
      </c>
      <c r="J81" s="13">
        <v>344</v>
      </c>
      <c r="K81" s="14">
        <f>IF(ISNUMBER(J81), (J81 - $B81) / $B81, "")</f>
        <v>-2.8985507246376812E-3</v>
      </c>
      <c r="L81" s="16">
        <f>IF(ISNUMBER(J81), $B91 * K81, "")</f>
        <v>-434.78260869565219</v>
      </c>
      <c r="M81" s="29">
        <v>343</v>
      </c>
      <c r="N81" s="14">
        <f>IF(ISNUMBER(M81), (M81 - $B81) / $B81, "")</f>
        <v>-5.7971014492753624E-3</v>
      </c>
      <c r="O81" s="16">
        <f>IF(ISNUMBER(M81), $B91 * N81, "")</f>
        <v>-869.56521739130437</v>
      </c>
      <c r="Q81" s="173"/>
      <c r="R81" s="174"/>
      <c r="S81" s="175"/>
    </row>
    <row r="82" spans="1:19" ht="17.25" thickBot="1">
      <c r="A82" s="109" t="s">
        <v>130</v>
      </c>
      <c r="B82" s="110">
        <v>709</v>
      </c>
      <c r="C82" s="70">
        <v>-1.52777778E-2</v>
      </c>
      <c r="D82" s="15">
        <v>702</v>
      </c>
      <c r="E82" s="32">
        <f t="shared" ref="E82:E85" si="38">IF(ISNUMBER(D82), (D82 - $B82) / $B82, "")</f>
        <v>-9.8730606488011286E-3</v>
      </c>
      <c r="F82" s="18">
        <f>IF(ISNUMBER(D82), $B91 * E82, "")</f>
        <v>-1480.9590973201693</v>
      </c>
      <c r="G82" s="31">
        <v>702</v>
      </c>
      <c r="H82" s="32">
        <f t="shared" ref="H82:H85" si="39">IF(ISNUMBER(G82), (G82 - $B82) / $B82, "")</f>
        <v>-9.8730606488011286E-3</v>
      </c>
      <c r="I82" s="91">
        <f>IF(ISNUMBER(G82), $B91 * H82, "")</f>
        <v>-1480.9590973201693</v>
      </c>
      <c r="J82" s="15">
        <v>705</v>
      </c>
      <c r="K82" s="32">
        <f t="shared" ref="K82:K85" si="40">IF(ISNUMBER(J82), (J82 - $B82) / $B82, "")</f>
        <v>-5.6417489421720732E-3</v>
      </c>
      <c r="L82" s="18">
        <f>IF(ISNUMBER(J82), $B91 * K82, "")</f>
        <v>-846.26234132581101</v>
      </c>
      <c r="M82" s="31">
        <v>700</v>
      </c>
      <c r="N82" s="32">
        <f t="shared" ref="N82:N85" si="41">IF(ISNUMBER(M82), (M82 - $B82) / $B82, "")</f>
        <v>-1.2693935119887164E-2</v>
      </c>
      <c r="O82" s="18">
        <f>IF(ISNUMBER(M82), $B91 * N82, "")</f>
        <v>-1904.0902679830747</v>
      </c>
      <c r="Q82" s="176"/>
      <c r="R82" s="177"/>
      <c r="S82" s="178"/>
    </row>
    <row r="83" spans="1:19" ht="17.25" thickBot="1">
      <c r="A83" s="109" t="s">
        <v>242</v>
      </c>
      <c r="B83" s="110">
        <v>416</v>
      </c>
      <c r="C83" s="70">
        <v>-1.6548463400000001E-2</v>
      </c>
      <c r="D83" s="15">
        <v>420</v>
      </c>
      <c r="E83" s="32">
        <f t="shared" si="38"/>
        <v>9.6153846153846159E-3</v>
      </c>
      <c r="F83" s="18">
        <f>IF(ISNUMBER(D83), $B91 * E83, "")</f>
        <v>1442.3076923076924</v>
      </c>
      <c r="G83" s="31">
        <v>420</v>
      </c>
      <c r="H83" s="32">
        <f t="shared" si="39"/>
        <v>9.6153846153846159E-3</v>
      </c>
      <c r="I83" s="91">
        <f>IF(ISNUMBER(G83), $B91 * H83, "")</f>
        <v>1442.3076923076924</v>
      </c>
      <c r="J83" s="15">
        <v>423</v>
      </c>
      <c r="K83" s="32">
        <f t="shared" si="40"/>
        <v>1.6826923076923076E-2</v>
      </c>
      <c r="L83" s="18">
        <f>IF(ISNUMBER(J83), $B91 * K83, "")</f>
        <v>2524.0384615384614</v>
      </c>
      <c r="M83" s="31">
        <v>419</v>
      </c>
      <c r="N83" s="32">
        <f t="shared" si="41"/>
        <v>7.2115384615384619E-3</v>
      </c>
      <c r="O83" s="18">
        <f>IF(ISNUMBER(M83), $B91 * N83, "")</f>
        <v>1081.7307692307693</v>
      </c>
      <c r="Q83" s="161"/>
      <c r="R83" s="161"/>
      <c r="S83" s="161"/>
    </row>
    <row r="84" spans="1:19" ht="17.25" thickBot="1">
      <c r="A84" s="109" t="s">
        <v>216</v>
      </c>
      <c r="B84" s="110">
        <v>460</v>
      </c>
      <c r="C84" s="70">
        <v>-1.7094017100000001E-2</v>
      </c>
      <c r="D84" s="15">
        <v>465</v>
      </c>
      <c r="E84" s="32">
        <f t="shared" si="38"/>
        <v>1.0869565217391304E-2</v>
      </c>
      <c r="F84" s="18">
        <f>IF(ISNUMBER(D84), $B91 * E84, "")</f>
        <v>1630.4347826086955</v>
      </c>
      <c r="G84" s="31">
        <v>465</v>
      </c>
      <c r="H84" s="32">
        <f t="shared" si="39"/>
        <v>1.0869565217391304E-2</v>
      </c>
      <c r="I84" s="91">
        <f>IF(ISNUMBER(G84), $B91 * H84, "")</f>
        <v>1630.4347826086955</v>
      </c>
      <c r="J84" s="15">
        <v>471</v>
      </c>
      <c r="K84" s="32">
        <f t="shared" si="40"/>
        <v>2.391304347826087E-2</v>
      </c>
      <c r="L84" s="18">
        <f>IF(ISNUMBER(J84), $B91 * K84, "")</f>
        <v>3586.9565217391305</v>
      </c>
      <c r="M84" s="31">
        <v>465</v>
      </c>
      <c r="N84" s="32">
        <f t="shared" si="41"/>
        <v>1.0869565217391304E-2</v>
      </c>
      <c r="O84" s="18">
        <f>IF(ISNUMBER(M84), $B91 * N84, "")</f>
        <v>1630.4347826086955</v>
      </c>
      <c r="Q84" s="156"/>
      <c r="R84" s="156"/>
      <c r="S84" s="156"/>
    </row>
    <row r="85" spans="1:19" ht="17.25" thickBot="1">
      <c r="A85" s="111" t="s">
        <v>337</v>
      </c>
      <c r="B85" s="112">
        <v>285</v>
      </c>
      <c r="C85" s="71">
        <v>-1.7241379300000002E-2</v>
      </c>
      <c r="D85" s="20">
        <v>284</v>
      </c>
      <c r="E85" s="21">
        <f t="shared" si="38"/>
        <v>-3.5087719298245615E-3</v>
      </c>
      <c r="F85" s="22">
        <f>IF(ISNUMBER(D85), $B91 * E85, "")</f>
        <v>-526.31578947368428</v>
      </c>
      <c r="G85" s="30">
        <v>284</v>
      </c>
      <c r="H85" s="21">
        <f t="shared" si="39"/>
        <v>-3.5087719298245615E-3</v>
      </c>
      <c r="I85" s="95">
        <f>IF(ISNUMBER(G85), $B91 * H85, "")</f>
        <v>-526.31578947368428</v>
      </c>
      <c r="J85" s="20">
        <v>285</v>
      </c>
      <c r="K85" s="21">
        <f t="shared" si="40"/>
        <v>0</v>
      </c>
      <c r="L85" s="22">
        <f>IF(ISNUMBER(J85), $B91 * K85, "")</f>
        <v>0</v>
      </c>
      <c r="M85" s="30">
        <v>284</v>
      </c>
      <c r="N85" s="21">
        <f t="shared" si="41"/>
        <v>-3.5087719298245615E-3</v>
      </c>
      <c r="O85" s="22">
        <f>IF(ISNUMBER(M85), $B91 * N85, "")</f>
        <v>-526.31578947368428</v>
      </c>
      <c r="Q85" s="156"/>
      <c r="R85" s="156"/>
      <c r="S85" s="156"/>
    </row>
    <row r="86" spans="1:19" ht="17.25" thickBot="1">
      <c r="A86" s="109" t="s">
        <v>340</v>
      </c>
      <c r="B86" s="113">
        <v>506</v>
      </c>
      <c r="C86" s="73">
        <v>-1.9379845E-2</v>
      </c>
      <c r="D86" s="96">
        <v>509</v>
      </c>
      <c r="E86" s="97">
        <f>IF(ISNUMBER(D86), (D86 - $B86) / $B86, "")</f>
        <v>5.9288537549407111E-3</v>
      </c>
      <c r="F86" s="98">
        <f>IF(ISNUMBER(D86), $B91 * E86, "")</f>
        <v>889.32806324110663</v>
      </c>
      <c r="G86" s="99">
        <v>509</v>
      </c>
      <c r="H86" s="97">
        <f>IF(ISNUMBER(G86), (G86 - $B86) / $B86, "")</f>
        <v>5.9288537549407111E-3</v>
      </c>
      <c r="I86" s="100">
        <f>IF(ISNUMBER(G86), $B91 * H86, "")</f>
        <v>889.32806324110663</v>
      </c>
      <c r="J86" s="96">
        <v>514</v>
      </c>
      <c r="K86" s="97">
        <f>IF(ISNUMBER(J86), (J86 - $B86) / $B86, "")</f>
        <v>1.5810276679841896E-2</v>
      </c>
      <c r="L86" s="98">
        <f>IF(ISNUMBER(J86), $B91 * K86, "")</f>
        <v>2371.5415019762845</v>
      </c>
      <c r="M86" s="99">
        <v>514</v>
      </c>
      <c r="N86" s="97">
        <f>IF(ISNUMBER(M86), (M86 - $B86) / $B86, "")</f>
        <v>1.5810276679841896E-2</v>
      </c>
      <c r="O86" s="98">
        <f>IF(ISNUMBER(M86), $B91 * N86, "")</f>
        <v>2371.5415019762845</v>
      </c>
      <c r="Q86" s="161"/>
      <c r="R86" s="161"/>
      <c r="S86" s="161"/>
    </row>
    <row r="87" spans="1:19" ht="17.25" thickBot="1">
      <c r="A87" s="109" t="s">
        <v>79</v>
      </c>
      <c r="B87" s="110">
        <v>252</v>
      </c>
      <c r="C87" s="70">
        <v>-1.9455252900000001E-2</v>
      </c>
      <c r="D87" s="15">
        <v>251</v>
      </c>
      <c r="E87" s="32">
        <f t="shared" ref="E87:E90" si="42">IF(ISNUMBER(D87), (D87 - $B87) / $B87, "")</f>
        <v>-3.968253968253968E-3</v>
      </c>
      <c r="F87" s="18">
        <f>IF(ISNUMBER(D87), $B91 * E87, "")</f>
        <v>-595.23809523809518</v>
      </c>
      <c r="G87" s="31">
        <v>251</v>
      </c>
      <c r="H87" s="32">
        <f t="shared" ref="H87:H90" si="43">IF(ISNUMBER(G87), (G87 - $B87) / $B87, "")</f>
        <v>-3.968253968253968E-3</v>
      </c>
      <c r="I87" s="91">
        <f>IF(ISNUMBER(G87), $B91 * H87, "")</f>
        <v>-595.23809523809518</v>
      </c>
      <c r="J87" s="15">
        <v>252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250</v>
      </c>
      <c r="N87" s="32">
        <f t="shared" ref="N87:N90" si="45">IF(ISNUMBER(M87), (M87 - $B87) / $B87, "")</f>
        <v>-7.9365079365079361E-3</v>
      </c>
      <c r="O87" s="18">
        <f>IF(ISNUMBER(M87), $B91 * N87, "")</f>
        <v>-1190.4761904761904</v>
      </c>
      <c r="Q87" s="161"/>
      <c r="R87" s="161"/>
      <c r="S87" s="161"/>
    </row>
    <row r="88" spans="1:19" ht="17.25" thickBot="1">
      <c r="A88" s="109" t="s">
        <v>187</v>
      </c>
      <c r="B88" s="110">
        <v>785</v>
      </c>
      <c r="C88" s="70">
        <v>-2.3631840800000001E-2</v>
      </c>
      <c r="D88" s="15">
        <v>804</v>
      </c>
      <c r="E88" s="32">
        <f t="shared" si="42"/>
        <v>2.4203821656050957E-2</v>
      </c>
      <c r="F88" s="18">
        <f>IF(ISNUMBER(D88), $B91 * E88, "")</f>
        <v>3630.5732484076434</v>
      </c>
      <c r="G88" s="31">
        <v>804</v>
      </c>
      <c r="H88" s="32">
        <f t="shared" si="43"/>
        <v>2.4203821656050957E-2</v>
      </c>
      <c r="I88" s="91">
        <f>IF(ISNUMBER(G88), $B91 * H88, "")</f>
        <v>3630.5732484076434</v>
      </c>
      <c r="J88" s="15">
        <v>806</v>
      </c>
      <c r="K88" s="32">
        <f t="shared" si="44"/>
        <v>2.6751592356687899E-2</v>
      </c>
      <c r="L88" s="18">
        <f>IF(ISNUMBER(J88), $B91 * K88, "")</f>
        <v>4012.7388535031851</v>
      </c>
      <c r="M88" s="31">
        <v>801</v>
      </c>
      <c r="N88" s="32">
        <f t="shared" si="45"/>
        <v>2.038216560509554E-2</v>
      </c>
      <c r="O88" s="18">
        <f>IF(ISNUMBER(M88), $B91 * N88, "")</f>
        <v>3057.3248407643309</v>
      </c>
      <c r="Q88" s="161"/>
      <c r="R88" s="161"/>
      <c r="S88" s="161"/>
    </row>
    <row r="89" spans="1:19">
      <c r="A89" s="109" t="s">
        <v>60</v>
      </c>
      <c r="B89" s="110">
        <v>441</v>
      </c>
      <c r="C89" s="70">
        <v>-2.6490066199999999E-2</v>
      </c>
      <c r="D89" s="15">
        <v>432</v>
      </c>
      <c r="E89" s="32">
        <f t="shared" si="42"/>
        <v>-2.0408163265306121E-2</v>
      </c>
      <c r="F89" s="18">
        <f>IF(ISNUMBER(D89), $B91 * E89, "")</f>
        <v>-3061.2244897959181</v>
      </c>
      <c r="G89" s="31">
        <v>432</v>
      </c>
      <c r="H89" s="32">
        <f t="shared" si="43"/>
        <v>-2.0408163265306121E-2</v>
      </c>
      <c r="I89" s="91">
        <f>IF(ISNUMBER(G89), $B91 * H89, "")</f>
        <v>-3061.2244897959181</v>
      </c>
      <c r="J89" s="15">
        <v>435</v>
      </c>
      <c r="K89" s="32">
        <f t="shared" si="44"/>
        <v>-1.3605442176870748E-2</v>
      </c>
      <c r="L89" s="18">
        <f>IF(ISNUMBER(J89), $B91 * K89, "")</f>
        <v>-2040.8163265306121</v>
      </c>
      <c r="M89" s="31">
        <v>428</v>
      </c>
      <c r="N89" s="32">
        <f t="shared" si="45"/>
        <v>-2.9478458049886622E-2</v>
      </c>
      <c r="O89" s="18">
        <f>IF(ISNUMBER(M89), $B91 * N89, "")</f>
        <v>-4421.7687074829928</v>
      </c>
      <c r="Q89" s="183"/>
      <c r="R89" s="184"/>
      <c r="S89" s="185"/>
    </row>
    <row r="90" spans="1:19" ht="17.25" thickBot="1">
      <c r="A90" s="114" t="s">
        <v>218</v>
      </c>
      <c r="B90" s="115">
        <v>306</v>
      </c>
      <c r="C90" s="72">
        <v>-3.1645569599999999E-2</v>
      </c>
      <c r="D90" s="24">
        <v>307</v>
      </c>
      <c r="E90" s="25">
        <f t="shared" si="42"/>
        <v>3.2679738562091504E-3</v>
      </c>
      <c r="F90" s="94">
        <f>IF(ISNUMBER(D90), $B91 * E90, "")</f>
        <v>490.19607843137254</v>
      </c>
      <c r="G90" s="92">
        <v>307</v>
      </c>
      <c r="H90" s="25">
        <f t="shared" si="43"/>
        <v>3.2679738562091504E-3</v>
      </c>
      <c r="I90" s="93">
        <f>IF(ISNUMBER(G90), $B91 * H90, "")</f>
        <v>490.19607843137254</v>
      </c>
      <c r="J90" s="24">
        <v>310</v>
      </c>
      <c r="K90" s="25">
        <f t="shared" si="44"/>
        <v>1.3071895424836602E-2</v>
      </c>
      <c r="L90" s="94">
        <f>IF(ISNUMBER(J90), $B91 * K90, "")</f>
        <v>1960.7843137254902</v>
      </c>
      <c r="M90" s="92">
        <v>308</v>
      </c>
      <c r="N90" s="25">
        <f t="shared" si="45"/>
        <v>6.5359477124183009E-3</v>
      </c>
      <c r="O90" s="94">
        <f>IF(ISNUMBER(M90), $B91 * N90, "")</f>
        <v>980.39215686274508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-1.8373658997352914E-4</v>
      </c>
      <c r="F91" s="28">
        <f>SUM(F71:F90)</f>
        <v>-551.20976992058809</v>
      </c>
      <c r="G91" s="26" t="s">
        <v>261</v>
      </c>
      <c r="H91" s="27">
        <f>IF(COUNT(H71:H90), SUM(H71:H90) / COUNT(H71:H90), 0)</f>
        <v>-1.8373658997352914E-4</v>
      </c>
      <c r="I91" s="28">
        <f>SUM(I71:I90)</f>
        <v>-551.20976992058809</v>
      </c>
      <c r="J91" s="26" t="s">
        <v>261</v>
      </c>
      <c r="K91" s="27">
        <f>IF(COUNT(K71:K90), SUM(K71:K90) / COUNT(K71:K90), 0)</f>
        <v>5.1574436250788501E-3</v>
      </c>
      <c r="L91" s="28">
        <f>SUM(L71:L90)</f>
        <v>15472.330875236554</v>
      </c>
      <c r="M91" s="26" t="s">
        <v>261</v>
      </c>
      <c r="N91" s="27">
        <f>IF(COUNT(N71:N90), SUM(N71:N90) / COUNT(N71:N90), 0)</f>
        <v>-1.2596340201389976E-3</v>
      </c>
      <c r="O91" s="28">
        <f>SUM(O71:O90)</f>
        <v>-3778.9020604169905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2022-12-18(일) 오전 00:00</v>
      </c>
      <c r="C96" s="199"/>
      <c r="D96" s="158" t="str">
        <f>TEXT($G$1, "[$-ko-KR]yyyy-mm-dd(ddd) ") &amp; "오후 14:00"</f>
        <v>2022-12-18(일) 오후 14:00</v>
      </c>
      <c r="E96" s="159"/>
      <c r="F96" s="160"/>
      <c r="G96" s="158" t="str">
        <f>TEXT($G$1, "[$-ko-KR]yyyy-mm-dd(ddd) ") &amp; "오후 19:00"</f>
        <v>2022-12-18(일) 오후 19:00</v>
      </c>
      <c r="H96" s="159"/>
      <c r="I96" s="160"/>
      <c r="J96" s="158" t="str">
        <f>TEXT($G$1, "[$-ko-KR]yyyy-mm-dd(ddd) ") &amp; "오후 21:00"</f>
        <v>2022-12-18(일) 오후 21:00</v>
      </c>
      <c r="K96" s="159"/>
      <c r="L96" s="160"/>
      <c r="M96" s="158" t="str">
        <f>TEXT($G$1+1, "[$-ko-KR]yyyy-mm-dd(ddd) ") &amp; "오전 00:00"</f>
        <v>2022-12-19(월)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91</v>
      </c>
      <c r="B98" s="108">
        <v>18510</v>
      </c>
      <c r="C98" s="69">
        <v>2.49169435E-2</v>
      </c>
      <c r="D98" s="13">
        <v>18150</v>
      </c>
      <c r="E98" s="14">
        <f>IF(ISNUMBER(D98), (D98 - $B98) / $B98, "")</f>
        <v>-1.9448946515397084E-2</v>
      </c>
      <c r="F98" s="16">
        <f>IF(ISNUMBER(D98), $B118 * E98, "")</f>
        <v>-2917.3419773095625</v>
      </c>
      <c r="G98" s="29">
        <v>18150</v>
      </c>
      <c r="H98" s="14">
        <f>IF(ISNUMBER(G98), (G98 - $B98) / $B98, "")</f>
        <v>-1.9448946515397084E-2</v>
      </c>
      <c r="I98" s="90">
        <f>IF(ISNUMBER(G98), $B118 * H98, "")</f>
        <v>-2917.3419773095625</v>
      </c>
      <c r="J98" s="13">
        <v>18200</v>
      </c>
      <c r="K98" s="14">
        <f>IF(ISNUMBER(J98), (J98 - $B98) / $B98, "")</f>
        <v>-1.6747703943814155E-2</v>
      </c>
      <c r="L98" s="16">
        <f>IF(ISNUMBER(J98), $B118 * K98, "")</f>
        <v>-2512.1555915721233</v>
      </c>
      <c r="M98" s="29">
        <v>18050</v>
      </c>
      <c r="N98" s="14">
        <f>IF(ISNUMBER(M98), (M98 - $B98) / $B98, "")</f>
        <v>-2.4851431658562941E-2</v>
      </c>
      <c r="O98" s="16">
        <f>IF(ISNUMBER(M98), $B118 * N98, "")</f>
        <v>-3727.7147487844409</v>
      </c>
      <c r="Q98" s="156"/>
      <c r="R98" s="156"/>
      <c r="S98" s="156"/>
    </row>
    <row r="99" spans="1:19" ht="17.25" thickBot="1">
      <c r="A99" s="109" t="s">
        <v>208</v>
      </c>
      <c r="B99" s="110">
        <v>94.8</v>
      </c>
      <c r="C99" s="70">
        <v>1.9354838700000002E-2</v>
      </c>
      <c r="D99" s="15">
        <v>92.8</v>
      </c>
      <c r="E99" s="32">
        <f t="shared" ref="E99:E102" si="46">IF(ISNUMBER(D99), (D99 - $B99) / $B99, "")</f>
        <v>-2.1097046413502109E-2</v>
      </c>
      <c r="F99" s="18">
        <f>IF(ISNUMBER(D99), $B118 * E99, "")</f>
        <v>-3164.5569620253164</v>
      </c>
      <c r="G99" s="31">
        <v>92.8</v>
      </c>
      <c r="H99" s="32">
        <f t="shared" ref="H99:H102" si="47">IF(ISNUMBER(G99), (G99 - $B99) / $B99, "")</f>
        <v>-2.1097046413502109E-2</v>
      </c>
      <c r="I99" s="91">
        <f>IF(ISNUMBER(G99), $B118 * H99, "")</f>
        <v>-3164.5569620253164</v>
      </c>
      <c r="J99" s="15">
        <v>93.1</v>
      </c>
      <c r="K99" s="32">
        <f t="shared" ref="K99:K102" si="48">IF(ISNUMBER(J99), (J99 - $B99) / $B99, "")</f>
        <v>-1.7932489451476824E-2</v>
      </c>
      <c r="L99" s="18">
        <f>IF(ISNUMBER(J99), $B118 * K99, "")</f>
        <v>-2689.8734177215238</v>
      </c>
      <c r="M99" s="31">
        <v>92.8</v>
      </c>
      <c r="N99" s="32">
        <f t="shared" ref="N99:N102" si="49">IF(ISNUMBER(M99), (M99 - $B99) / $B99, "")</f>
        <v>-2.1097046413502109E-2</v>
      </c>
      <c r="O99" s="18">
        <f>IF(ISNUMBER(M99), $B118 * N99, "")</f>
        <v>-3164.5569620253164</v>
      </c>
      <c r="Q99" s="156"/>
      <c r="R99" s="156"/>
      <c r="S99" s="156"/>
    </row>
    <row r="100" spans="1:19" ht="17.25" thickBot="1">
      <c r="A100" s="109" t="s">
        <v>169</v>
      </c>
      <c r="B100" s="110">
        <v>224</v>
      </c>
      <c r="C100" s="70">
        <v>1.8181818200000002E-2</v>
      </c>
      <c r="D100" s="15">
        <v>223</v>
      </c>
      <c r="E100" s="32">
        <f t="shared" si="46"/>
        <v>-4.464285714285714E-3</v>
      </c>
      <c r="F100" s="18">
        <f>IF(ISNUMBER(D100), $B118 * E100, "")</f>
        <v>-669.64285714285711</v>
      </c>
      <c r="G100" s="31">
        <v>223</v>
      </c>
      <c r="H100" s="32">
        <f t="shared" si="47"/>
        <v>-4.464285714285714E-3</v>
      </c>
      <c r="I100" s="91">
        <f>IF(ISNUMBER(G100), $B118 * H100, "")</f>
        <v>-669.64285714285711</v>
      </c>
      <c r="J100" s="15">
        <v>225</v>
      </c>
      <c r="K100" s="32">
        <f t="shared" si="48"/>
        <v>4.464285714285714E-3</v>
      </c>
      <c r="L100" s="18">
        <f>IF(ISNUMBER(J100), $B118 * K100, "")</f>
        <v>669.64285714285711</v>
      </c>
      <c r="M100" s="31">
        <v>223</v>
      </c>
      <c r="N100" s="32">
        <f t="shared" si="49"/>
        <v>-4.464285714285714E-3</v>
      </c>
      <c r="O100" s="18">
        <f>IF(ISNUMBER(M100), $B118 * N100, "")</f>
        <v>-669.64285714285711</v>
      </c>
      <c r="Q100" s="161"/>
      <c r="R100" s="161"/>
      <c r="S100" s="161"/>
    </row>
    <row r="101" spans="1:19" ht="17.25" thickBot="1">
      <c r="A101" s="109" t="s">
        <v>151</v>
      </c>
      <c r="B101" s="110">
        <v>2090</v>
      </c>
      <c r="C101" s="70">
        <v>1.45631068E-2</v>
      </c>
      <c r="D101" s="15">
        <v>2040</v>
      </c>
      <c r="E101" s="32">
        <f t="shared" si="46"/>
        <v>-2.3923444976076555E-2</v>
      </c>
      <c r="F101" s="18">
        <f>IF(ISNUMBER(D101), $B118 * E101, "")</f>
        <v>-3588.5167464114834</v>
      </c>
      <c r="G101" s="31">
        <v>2040</v>
      </c>
      <c r="H101" s="32">
        <f t="shared" si="47"/>
        <v>-2.3923444976076555E-2</v>
      </c>
      <c r="I101" s="91">
        <f>IF(ISNUMBER(G101), $B118 * H101, "")</f>
        <v>-3588.5167464114834</v>
      </c>
      <c r="J101" s="15">
        <v>2040</v>
      </c>
      <c r="K101" s="32">
        <f t="shared" si="48"/>
        <v>-2.3923444976076555E-2</v>
      </c>
      <c r="L101" s="18">
        <f>IF(ISNUMBER(J101), $B118 * K101, "")</f>
        <v>-3588.5167464114834</v>
      </c>
      <c r="M101" s="31">
        <v>2005</v>
      </c>
      <c r="N101" s="32">
        <f t="shared" si="49"/>
        <v>-4.0669856459330141E-2</v>
      </c>
      <c r="O101" s="18">
        <f>IF(ISNUMBER(M101), $B118 * N101, "")</f>
        <v>-6100.4784688995214</v>
      </c>
      <c r="Q101" s="161"/>
      <c r="R101" s="161"/>
      <c r="S101" s="161"/>
    </row>
    <row r="102" spans="1:19" ht="17.25" thickBot="1">
      <c r="A102" s="111" t="s">
        <v>87</v>
      </c>
      <c r="B102" s="112">
        <v>60880</v>
      </c>
      <c r="C102" s="71">
        <v>1.44975837E-2</v>
      </c>
      <c r="D102" s="20">
        <v>58980</v>
      </c>
      <c r="E102" s="21">
        <f t="shared" si="46"/>
        <v>-3.1208935611038109E-2</v>
      </c>
      <c r="F102" s="22">
        <f>IF(ISNUMBER(D102), $B118 * E102, "")</f>
        <v>-4681.3403416557167</v>
      </c>
      <c r="G102" s="30">
        <v>58980</v>
      </c>
      <c r="H102" s="21">
        <f t="shared" si="47"/>
        <v>-3.1208935611038109E-2</v>
      </c>
      <c r="I102" s="95">
        <f>IF(ISNUMBER(G102), $B118 * H102, "")</f>
        <v>-4681.3403416557167</v>
      </c>
      <c r="J102" s="20">
        <v>58790</v>
      </c>
      <c r="K102" s="21">
        <f t="shared" si="48"/>
        <v>-3.4329829172141918E-2</v>
      </c>
      <c r="L102" s="22">
        <f>IF(ISNUMBER(J102), $B118 * K102, "")</f>
        <v>-5149.474375821288</v>
      </c>
      <c r="M102" s="30">
        <v>58810</v>
      </c>
      <c r="N102" s="21">
        <f t="shared" si="49"/>
        <v>-3.4001314060446777E-2</v>
      </c>
      <c r="O102" s="22">
        <f>IF(ISNUMBER(M102), $B118 * N102, "")</f>
        <v>-5100.1971090670168</v>
      </c>
      <c r="Q102" s="161"/>
      <c r="R102" s="161"/>
      <c r="S102" s="161"/>
    </row>
    <row r="103" spans="1:19" ht="17.25" thickBot="1">
      <c r="A103" s="109" t="s">
        <v>256</v>
      </c>
      <c r="B103" s="113">
        <v>103</v>
      </c>
      <c r="C103" s="73">
        <v>9.8039215999999995E-3</v>
      </c>
      <c r="D103" s="96">
        <v>104</v>
      </c>
      <c r="E103" s="97">
        <f>IF(ISNUMBER(D103), (D103 - $B103) / $B103, "")</f>
        <v>9.7087378640776691E-3</v>
      </c>
      <c r="F103" s="98">
        <f>IF(ISNUMBER(D103), $B118 * E103, "")</f>
        <v>1456.3106796116504</v>
      </c>
      <c r="G103" s="99">
        <v>104</v>
      </c>
      <c r="H103" s="97">
        <f>IF(ISNUMBER(G103), (G103 - $B103) / $B103, "")</f>
        <v>9.7087378640776691E-3</v>
      </c>
      <c r="I103" s="100">
        <f>IF(ISNUMBER(G103), $B118 * H103, "")</f>
        <v>1456.3106796116504</v>
      </c>
      <c r="J103" s="96">
        <v>104</v>
      </c>
      <c r="K103" s="97">
        <f>IF(ISNUMBER(J103), (J103 - $B103) / $B103, "")</f>
        <v>9.7087378640776691E-3</v>
      </c>
      <c r="L103" s="98">
        <f>IF(ISNUMBER(J103), $B118 * K103, "")</f>
        <v>1456.3106796116504</v>
      </c>
      <c r="M103" s="99">
        <v>104</v>
      </c>
      <c r="N103" s="97">
        <f>IF(ISNUMBER(M103), (M103 - $B103) / $B103, "")</f>
        <v>9.7087378640776691E-3</v>
      </c>
      <c r="O103" s="98">
        <f>IF(ISNUMBER(M103), $B118 * N103, "")</f>
        <v>1456.3106796116504</v>
      </c>
      <c r="Q103" s="161"/>
      <c r="R103" s="161"/>
      <c r="S103" s="161"/>
    </row>
    <row r="104" spans="1:19" ht="17.25" thickBot="1">
      <c r="A104" s="109" t="s">
        <v>77</v>
      </c>
      <c r="B104" s="110">
        <v>135250</v>
      </c>
      <c r="C104" s="70">
        <v>9.3283581999999993E-3</v>
      </c>
      <c r="D104" s="15">
        <v>135300</v>
      </c>
      <c r="E104" s="32">
        <f t="shared" ref="E104:E107" si="50">IF(ISNUMBER(D104), (D104 - $B104) / $B104, "")</f>
        <v>3.6968576709796671E-4</v>
      </c>
      <c r="F104" s="18">
        <f>IF(ISNUMBER(D104), $B118 * E104, "")</f>
        <v>55.452865064695004</v>
      </c>
      <c r="G104" s="31">
        <v>135300</v>
      </c>
      <c r="H104" s="32">
        <f t="shared" ref="H104:H107" si="51">IF(ISNUMBER(G104), (G104 - $B104) / $B104, "")</f>
        <v>3.6968576709796671E-4</v>
      </c>
      <c r="I104" s="91">
        <f>IF(ISNUMBER(G104), $B118 * H104, "")</f>
        <v>55.452865064695004</v>
      </c>
      <c r="J104" s="15">
        <v>135900</v>
      </c>
      <c r="K104" s="32">
        <f t="shared" ref="K104:K107" si="52">IF(ISNUMBER(J104), (J104 - $B104) / $B104, "")</f>
        <v>4.8059149722735678E-3</v>
      </c>
      <c r="L104" s="18">
        <f>IF(ISNUMBER(J104), $B118 * K104, "")</f>
        <v>720.88724584103511</v>
      </c>
      <c r="M104" s="31">
        <v>135350</v>
      </c>
      <c r="N104" s="32">
        <f t="shared" ref="N104:N107" si="53">IF(ISNUMBER(M104), (M104 - $B104) / $B104, "")</f>
        <v>7.3937153419593343E-4</v>
      </c>
      <c r="O104" s="18">
        <f>IF(ISNUMBER(M104), $B118 * N104, "")</f>
        <v>110.90573012939001</v>
      </c>
      <c r="Q104" s="161"/>
      <c r="R104" s="161"/>
      <c r="S104" s="161"/>
    </row>
    <row r="105" spans="1:19" ht="17.25" thickBot="1">
      <c r="A105" s="109" t="s">
        <v>95</v>
      </c>
      <c r="B105" s="110">
        <v>1130</v>
      </c>
      <c r="C105" s="70">
        <v>8.9285713999999999E-3</v>
      </c>
      <c r="D105" s="15">
        <v>1100</v>
      </c>
      <c r="E105" s="32">
        <f t="shared" si="50"/>
        <v>-2.6548672566371681E-2</v>
      </c>
      <c r="F105" s="18">
        <f>IF(ISNUMBER(D105), $B118 * E105, "")</f>
        <v>-3982.3008849557523</v>
      </c>
      <c r="G105" s="31">
        <v>1100</v>
      </c>
      <c r="H105" s="32">
        <f t="shared" si="51"/>
        <v>-2.6548672566371681E-2</v>
      </c>
      <c r="I105" s="91">
        <f>IF(ISNUMBER(G105), $B118 * H105, "")</f>
        <v>-3982.3008849557523</v>
      </c>
      <c r="J105" s="15">
        <v>1110</v>
      </c>
      <c r="K105" s="32">
        <f t="shared" si="52"/>
        <v>-1.7699115044247787E-2</v>
      </c>
      <c r="L105" s="18">
        <f>IF(ISNUMBER(J105), $B118 * K105, "")</f>
        <v>-2654.8672566371679</v>
      </c>
      <c r="M105" s="31">
        <v>1110</v>
      </c>
      <c r="N105" s="32">
        <f t="shared" si="53"/>
        <v>-1.7699115044247787E-2</v>
      </c>
      <c r="O105" s="18">
        <f>IF(ISNUMBER(M105), $B118 * N105, "")</f>
        <v>-2654.8672566371679</v>
      </c>
      <c r="Q105" s="161"/>
      <c r="R105" s="161"/>
      <c r="S105" s="161"/>
    </row>
    <row r="106" spans="1:19" ht="17.25" thickBot="1">
      <c r="A106" s="109" t="s">
        <v>332</v>
      </c>
      <c r="B106" s="110">
        <v>251</v>
      </c>
      <c r="C106" s="70">
        <v>8.0321284999999992E-3</v>
      </c>
      <c r="D106" s="15">
        <v>249</v>
      </c>
      <c r="E106" s="32">
        <f t="shared" si="50"/>
        <v>-7.9681274900398405E-3</v>
      </c>
      <c r="F106" s="18">
        <f>IF(ISNUMBER(D106), $B118 * E106, "")</f>
        <v>-1195.2191235059761</v>
      </c>
      <c r="G106" s="31">
        <v>249</v>
      </c>
      <c r="H106" s="32">
        <f t="shared" si="51"/>
        <v>-7.9681274900398405E-3</v>
      </c>
      <c r="I106" s="91">
        <f>IF(ISNUMBER(G106), $B118 * H106, "")</f>
        <v>-1195.2191235059761</v>
      </c>
      <c r="J106" s="15">
        <v>252</v>
      </c>
      <c r="K106" s="32">
        <f t="shared" si="52"/>
        <v>3.9840637450199202E-3</v>
      </c>
      <c r="L106" s="18">
        <f>IF(ISNUMBER(J106), $B118 * K106, "")</f>
        <v>597.60956175298804</v>
      </c>
      <c r="M106" s="31">
        <v>250</v>
      </c>
      <c r="N106" s="32">
        <f t="shared" si="53"/>
        <v>-3.9840637450199202E-3</v>
      </c>
      <c r="O106" s="18">
        <f>IF(ISNUMBER(M106), $B118 * N106, "")</f>
        <v>-597.60956175298804</v>
      </c>
      <c r="Q106" s="33"/>
      <c r="R106" s="33"/>
    </row>
    <row r="107" spans="1:19" ht="17.25" thickBot="1">
      <c r="A107" s="114" t="s">
        <v>75</v>
      </c>
      <c r="B107" s="115">
        <v>7940</v>
      </c>
      <c r="C107" s="72">
        <v>5.6998099999999996E-3</v>
      </c>
      <c r="D107" s="24">
        <v>7915</v>
      </c>
      <c r="E107" s="25">
        <f t="shared" si="50"/>
        <v>-3.1486146095717885E-3</v>
      </c>
      <c r="F107" s="94">
        <f>IF(ISNUMBER(D107), $B118 * E107, "")</f>
        <v>-472.2921914357683</v>
      </c>
      <c r="G107" s="92">
        <v>7915</v>
      </c>
      <c r="H107" s="25">
        <f t="shared" si="51"/>
        <v>-3.1486146095717885E-3</v>
      </c>
      <c r="I107" s="93">
        <f>IF(ISNUMBER(G107), $B118 * H107, "")</f>
        <v>-472.2921914357683</v>
      </c>
      <c r="J107" s="24">
        <v>7945</v>
      </c>
      <c r="K107" s="25">
        <f t="shared" si="52"/>
        <v>6.2972292191435767E-4</v>
      </c>
      <c r="L107" s="94">
        <f>IF(ISNUMBER(J107), $B118 * K107, "")</f>
        <v>94.458438287153655</v>
      </c>
      <c r="M107" s="92">
        <v>7910</v>
      </c>
      <c r="N107" s="25">
        <f t="shared" si="53"/>
        <v>-3.778337531486146E-3</v>
      </c>
      <c r="O107" s="94">
        <f>IF(ISNUMBER(M107), $B118 * N107, "")</f>
        <v>-566.75062972292187</v>
      </c>
      <c r="Q107" s="170"/>
      <c r="R107" s="171"/>
      <c r="S107" s="172"/>
    </row>
    <row r="108" spans="1:19">
      <c r="A108" s="107" t="s">
        <v>350</v>
      </c>
      <c r="B108" s="108">
        <v>6.64</v>
      </c>
      <c r="C108" s="69">
        <v>4.5385779000000001E-3</v>
      </c>
      <c r="D108" s="13">
        <v>6.61</v>
      </c>
      <c r="E108" s="14">
        <f>IF(ISNUMBER(D108), (D108 - $B108) / $B108, "")</f>
        <v>-4.51807228915653E-3</v>
      </c>
      <c r="F108" s="16">
        <f>IF(ISNUMBER(D108), $B118 * E108, "")</f>
        <v>-677.71084337347952</v>
      </c>
      <c r="G108" s="29">
        <v>6.61</v>
      </c>
      <c r="H108" s="14">
        <f>IF(ISNUMBER(G108), (G108 - $B108) / $B108, "")</f>
        <v>-4.51807228915653E-3</v>
      </c>
      <c r="I108" s="90">
        <f>IF(ISNUMBER(G108), $B118 * H108, "")</f>
        <v>-677.71084337347952</v>
      </c>
      <c r="J108" s="13">
        <v>6.55</v>
      </c>
      <c r="K108" s="14">
        <f>IF(ISNUMBER(J108), (J108 - $B108) / $B108, "")</f>
        <v>-1.3554216867469859E-2</v>
      </c>
      <c r="L108" s="16">
        <f>IF(ISNUMBER(J108), $B118 * K108, "")</f>
        <v>-2033.1325301204788</v>
      </c>
      <c r="M108" s="29">
        <v>6.46</v>
      </c>
      <c r="N108" s="14">
        <f>IF(ISNUMBER(M108), (M108 - $B108) / $B108, "")</f>
        <v>-2.7108433734939718E-2</v>
      </c>
      <c r="O108" s="16">
        <f>IF(ISNUMBER(M108), $B118 * N108, "")</f>
        <v>-4066.2650602409576</v>
      </c>
      <c r="Q108" s="173"/>
      <c r="R108" s="174"/>
      <c r="S108" s="175"/>
    </row>
    <row r="109" spans="1:19" ht="17.25" thickBot="1">
      <c r="A109" s="109" t="s">
        <v>83</v>
      </c>
      <c r="B109" s="110">
        <v>1170</v>
      </c>
      <c r="C109" s="70">
        <v>4.2918454999999996E-3</v>
      </c>
      <c r="D109" s="15">
        <v>1165</v>
      </c>
      <c r="E109" s="32">
        <f t="shared" ref="E109:E112" si="54">IF(ISNUMBER(D109), (D109 - $B109) / $B109, "")</f>
        <v>-4.2735042735042739E-3</v>
      </c>
      <c r="F109" s="18">
        <f>IF(ISNUMBER(D109), $B118 * E109, "")</f>
        <v>-641.02564102564111</v>
      </c>
      <c r="G109" s="31">
        <v>1165</v>
      </c>
      <c r="H109" s="32">
        <f t="shared" ref="H109:H112" si="55">IF(ISNUMBER(G109), (G109 - $B109) / $B109, "")</f>
        <v>-4.2735042735042739E-3</v>
      </c>
      <c r="I109" s="91">
        <f>IF(ISNUMBER(G109), $B118 * H109, "")</f>
        <v>-641.02564102564111</v>
      </c>
      <c r="J109" s="15">
        <v>1170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1165</v>
      </c>
      <c r="N109" s="32">
        <f t="shared" ref="N109:N112" si="57">IF(ISNUMBER(M109), (M109 - $B109) / $B109, "")</f>
        <v>-4.2735042735042739E-3</v>
      </c>
      <c r="O109" s="18">
        <f>IF(ISNUMBER(M109), $B118 * N109, "")</f>
        <v>-641.02564102564111</v>
      </c>
      <c r="Q109" s="176"/>
      <c r="R109" s="177"/>
      <c r="S109" s="178"/>
    </row>
    <row r="110" spans="1:19" ht="17.25" thickBot="1">
      <c r="A110" s="109" t="s">
        <v>145</v>
      </c>
      <c r="B110" s="110">
        <v>71.099999999999994</v>
      </c>
      <c r="C110" s="70">
        <v>2.8208744999999999E-3</v>
      </c>
      <c r="D110" s="15">
        <v>71.8</v>
      </c>
      <c r="E110" s="32">
        <f t="shared" si="54"/>
        <v>9.845288326301025E-3</v>
      </c>
      <c r="F110" s="18">
        <f>IF(ISNUMBER(D110), $B118 * E110, "")</f>
        <v>1476.7932489451537</v>
      </c>
      <c r="G110" s="31">
        <v>71.8</v>
      </c>
      <c r="H110" s="32">
        <f t="shared" si="55"/>
        <v>9.845288326301025E-3</v>
      </c>
      <c r="I110" s="91">
        <f>IF(ISNUMBER(G110), $B118 * H110, "")</f>
        <v>1476.7932489451537</v>
      </c>
      <c r="J110" s="15">
        <v>71.8</v>
      </c>
      <c r="K110" s="32">
        <f t="shared" si="56"/>
        <v>9.845288326301025E-3</v>
      </c>
      <c r="L110" s="18">
        <f>IF(ISNUMBER(J110), $B118 * K110, "")</f>
        <v>1476.7932489451537</v>
      </c>
      <c r="M110" s="31">
        <v>71.2</v>
      </c>
      <c r="N110" s="32">
        <f t="shared" si="57"/>
        <v>1.4064697609002606E-3</v>
      </c>
      <c r="O110" s="18">
        <f>IF(ISNUMBER(M110), $B118 * N110, "")</f>
        <v>210.97046413503909</v>
      </c>
      <c r="Q110" s="161"/>
      <c r="R110" s="161"/>
      <c r="S110" s="161"/>
    </row>
    <row r="111" spans="1:19" ht="17.25" thickBot="1">
      <c r="A111" s="109" t="s">
        <v>336</v>
      </c>
      <c r="B111" s="110">
        <v>74.5</v>
      </c>
      <c r="C111" s="70">
        <v>2.6917899999999999E-3</v>
      </c>
      <c r="D111" s="15">
        <v>74.8</v>
      </c>
      <c r="E111" s="32">
        <f t="shared" si="54"/>
        <v>4.0268456375838549E-3</v>
      </c>
      <c r="F111" s="18">
        <f>IF(ISNUMBER(D111), $B118 * E111, "")</f>
        <v>604.02684563757828</v>
      </c>
      <c r="G111" s="31">
        <v>74.8</v>
      </c>
      <c r="H111" s="32">
        <f t="shared" si="55"/>
        <v>4.0268456375838549E-3</v>
      </c>
      <c r="I111" s="91">
        <f>IF(ISNUMBER(G111), $B118 * H111, "")</f>
        <v>604.02684563757828</v>
      </c>
      <c r="J111" s="15">
        <v>74.400000000000006</v>
      </c>
      <c r="K111" s="32">
        <f t="shared" si="56"/>
        <v>-1.3422818791945545E-3</v>
      </c>
      <c r="L111" s="18">
        <f>IF(ISNUMBER(J111), $B118 * K111, "")</f>
        <v>-201.34228187918316</v>
      </c>
      <c r="M111" s="31">
        <v>74.3</v>
      </c>
      <c r="N111" s="32">
        <f t="shared" si="57"/>
        <v>-2.6845637583892998E-3</v>
      </c>
      <c r="O111" s="18">
        <f>IF(ISNUMBER(M111), $B118 * N111, "")</f>
        <v>-402.68456375839497</v>
      </c>
      <c r="Q111" s="156"/>
      <c r="R111" s="156"/>
      <c r="S111" s="156"/>
    </row>
    <row r="112" spans="1:19" ht="17.25" thickBot="1">
      <c r="A112" s="111" t="s">
        <v>73</v>
      </c>
      <c r="B112" s="112">
        <v>11530</v>
      </c>
      <c r="C112" s="71">
        <v>1.7376195000000001E-3</v>
      </c>
      <c r="D112" s="20">
        <v>11670</v>
      </c>
      <c r="E112" s="21">
        <f t="shared" si="54"/>
        <v>1.2142237640936688E-2</v>
      </c>
      <c r="F112" s="22">
        <f>IF(ISNUMBER(D112), $B118 * E112, "")</f>
        <v>1821.3356461405031</v>
      </c>
      <c r="G112" s="30">
        <v>11670</v>
      </c>
      <c r="H112" s="21">
        <f t="shared" si="55"/>
        <v>1.2142237640936688E-2</v>
      </c>
      <c r="I112" s="95">
        <f>IF(ISNUMBER(G112), $B118 * H112, "")</f>
        <v>1821.3356461405031</v>
      </c>
      <c r="J112" s="20">
        <v>11760</v>
      </c>
      <c r="K112" s="21">
        <f t="shared" si="56"/>
        <v>1.9947961838681701E-2</v>
      </c>
      <c r="L112" s="22">
        <f>IF(ISNUMBER(J112), $B118 * K112, "")</f>
        <v>2992.1942758022551</v>
      </c>
      <c r="M112" s="30">
        <v>11700</v>
      </c>
      <c r="N112" s="21">
        <f t="shared" si="57"/>
        <v>1.4744145706851692E-2</v>
      </c>
      <c r="O112" s="22">
        <f>IF(ISNUMBER(M112), $B118 * N112, "")</f>
        <v>2211.6218560277539</v>
      </c>
      <c r="Q112" s="156"/>
      <c r="R112" s="156"/>
      <c r="S112" s="156"/>
    </row>
    <row r="113" spans="1:19" ht="17.25" thickBot="1">
      <c r="A113" s="109" t="s">
        <v>147</v>
      </c>
      <c r="B113" s="113">
        <v>8960</v>
      </c>
      <c r="C113" s="73">
        <v>5.5834730000000005E-4</v>
      </c>
      <c r="D113" s="96">
        <v>9000</v>
      </c>
      <c r="E113" s="97">
        <f>IF(ISNUMBER(D113), (D113 - $B113) / $B113, "")</f>
        <v>4.464285714285714E-3</v>
      </c>
      <c r="F113" s="98">
        <f>IF(ISNUMBER(D113), $B118 * E113, "")</f>
        <v>669.64285714285711</v>
      </c>
      <c r="G113" s="99">
        <v>9000</v>
      </c>
      <c r="H113" s="97">
        <f>IF(ISNUMBER(G113), (G113 - $B113) / $B113, "")</f>
        <v>4.464285714285714E-3</v>
      </c>
      <c r="I113" s="100">
        <f>IF(ISNUMBER(G113), $B118 * H113, "")</f>
        <v>669.64285714285711</v>
      </c>
      <c r="J113" s="96">
        <v>9050</v>
      </c>
      <c r="K113" s="97">
        <f>IF(ISNUMBER(J113), (J113 - $B113) / $B113, "")</f>
        <v>1.0044642857142858E-2</v>
      </c>
      <c r="L113" s="98">
        <f>IF(ISNUMBER(J113), $B118 * K113, "")</f>
        <v>1506.6964285714287</v>
      </c>
      <c r="M113" s="99">
        <v>9010</v>
      </c>
      <c r="N113" s="97">
        <f>IF(ISNUMBER(M113), (M113 - $B113) / $B113, "")</f>
        <v>5.580357142857143E-3</v>
      </c>
      <c r="O113" s="98">
        <f>IF(ISNUMBER(M113), $B118 * N113, "")</f>
        <v>837.05357142857144</v>
      </c>
      <c r="Q113" s="161"/>
      <c r="R113" s="161"/>
      <c r="S113" s="161"/>
    </row>
    <row r="114" spans="1:19" ht="17.25" thickBot="1">
      <c r="A114" s="109" t="s">
        <v>71</v>
      </c>
      <c r="B114" s="110">
        <v>10.3</v>
      </c>
      <c r="C114" s="70">
        <v>0</v>
      </c>
      <c r="D114" s="15">
        <v>10.3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10.3</v>
      </c>
      <c r="H114" s="32">
        <f t="shared" ref="H114:H117" si="59">IF(ISNUMBER(G114), (G114 - $B114) / $B114, "")</f>
        <v>0</v>
      </c>
      <c r="I114" s="91">
        <f>IF(ISNUMBER(G114), $B118 * H114, "")</f>
        <v>0</v>
      </c>
      <c r="J114" s="15">
        <v>10.3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10.3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161"/>
      <c r="R114" s="161"/>
      <c r="S114" s="161"/>
    </row>
    <row r="115" spans="1:19" ht="17.25" thickBot="1">
      <c r="A115" s="109" t="s">
        <v>202</v>
      </c>
      <c r="B115" s="110">
        <v>311</v>
      </c>
      <c r="C115" s="70">
        <v>0</v>
      </c>
      <c r="D115" s="15">
        <v>310</v>
      </c>
      <c r="E115" s="32">
        <f t="shared" si="58"/>
        <v>-3.2154340836012861E-3</v>
      </c>
      <c r="F115" s="18">
        <f>IF(ISNUMBER(D115), $B118 * E115, "")</f>
        <v>-482.3151125401929</v>
      </c>
      <c r="G115" s="31">
        <v>310</v>
      </c>
      <c r="H115" s="32">
        <f t="shared" si="59"/>
        <v>-3.2154340836012861E-3</v>
      </c>
      <c r="I115" s="91">
        <f>IF(ISNUMBER(G115), $B118 * H115, "")</f>
        <v>-482.3151125401929</v>
      </c>
      <c r="J115" s="15">
        <v>308</v>
      </c>
      <c r="K115" s="32">
        <f t="shared" si="60"/>
        <v>-9.6463022508038593E-3</v>
      </c>
      <c r="L115" s="18">
        <f>IF(ISNUMBER(J115), $B118 * K115, "")</f>
        <v>-1446.9453376205788</v>
      </c>
      <c r="M115" s="31">
        <v>307</v>
      </c>
      <c r="N115" s="32">
        <f t="shared" si="61"/>
        <v>-1.2861736334405145E-2</v>
      </c>
      <c r="O115" s="18">
        <f>IF(ISNUMBER(M115), $B118 * N115, "")</f>
        <v>-1929.2604501607716</v>
      </c>
      <c r="Q115" s="161"/>
      <c r="R115" s="161"/>
      <c r="S115" s="161"/>
    </row>
    <row r="116" spans="1:19">
      <c r="A116" s="109" t="s">
        <v>236</v>
      </c>
      <c r="B116" s="110">
        <v>2795</v>
      </c>
      <c r="C116" s="70">
        <v>-1.7857143E-3</v>
      </c>
      <c r="D116" s="15">
        <v>2860</v>
      </c>
      <c r="E116" s="32">
        <f t="shared" si="58"/>
        <v>2.3255813953488372E-2</v>
      </c>
      <c r="F116" s="18">
        <f>IF(ISNUMBER(D116), $B118 * E116, "")</f>
        <v>3488.3720930232557</v>
      </c>
      <c r="G116" s="31">
        <v>2860</v>
      </c>
      <c r="H116" s="32">
        <f t="shared" si="59"/>
        <v>2.3255813953488372E-2</v>
      </c>
      <c r="I116" s="91">
        <f>IF(ISNUMBER(G116), $B118 * H116, "")</f>
        <v>3488.3720930232557</v>
      </c>
      <c r="J116" s="15">
        <v>2850</v>
      </c>
      <c r="K116" s="32">
        <f t="shared" si="60"/>
        <v>1.9677996422182469E-2</v>
      </c>
      <c r="L116" s="18">
        <f>IF(ISNUMBER(J116), $B118 * K116, "")</f>
        <v>2951.6994633273703</v>
      </c>
      <c r="M116" s="31">
        <v>2830</v>
      </c>
      <c r="N116" s="32">
        <f t="shared" si="61"/>
        <v>1.2522361359570662E-2</v>
      </c>
      <c r="O116" s="18">
        <f>IF(ISNUMBER(M116), $B118 * N116, "")</f>
        <v>1878.3542039355993</v>
      </c>
      <c r="Q116" s="183"/>
      <c r="R116" s="184"/>
      <c r="S116" s="185"/>
    </row>
    <row r="117" spans="1:19" ht="17.25" thickBot="1">
      <c r="A117" s="114" t="s">
        <v>93</v>
      </c>
      <c r="B117" s="115">
        <v>1559500</v>
      </c>
      <c r="C117" s="72">
        <v>-2.5583626E-3</v>
      </c>
      <c r="D117" s="24">
        <v>1565000</v>
      </c>
      <c r="E117" s="25">
        <f t="shared" si="58"/>
        <v>3.5267714010900932E-3</v>
      </c>
      <c r="F117" s="94">
        <f>IF(ISNUMBER(D117), $B118 * E117, "")</f>
        <v>529.01571016351397</v>
      </c>
      <c r="G117" s="92">
        <v>1565000</v>
      </c>
      <c r="H117" s="25">
        <f t="shared" si="59"/>
        <v>3.5267714010900932E-3</v>
      </c>
      <c r="I117" s="93">
        <f>IF(ISNUMBER(G117), $B118 * H117, "")</f>
        <v>529.01571016351397</v>
      </c>
      <c r="J117" s="24">
        <v>1569500</v>
      </c>
      <c r="K117" s="25">
        <f t="shared" si="60"/>
        <v>6.4123116383456233E-3</v>
      </c>
      <c r="L117" s="94">
        <f>IF(ISNUMBER(J117), $B118 * K117, "")</f>
        <v>961.84674575184351</v>
      </c>
      <c r="M117" s="92">
        <v>1560500</v>
      </c>
      <c r="N117" s="25">
        <f t="shared" si="61"/>
        <v>6.4123116383456237E-4</v>
      </c>
      <c r="O117" s="94">
        <f>IF(ISNUMBER(M117), $B118 * N117, "")</f>
        <v>96.18467457518436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-4.1237709118841798E-3</v>
      </c>
      <c r="F118" s="28">
        <f>SUM(F98:F117)</f>
        <v>-12371.312735652542</v>
      </c>
      <c r="G118" s="26" t="s">
        <v>261</v>
      </c>
      <c r="H118" s="27">
        <f>IF(COUNT(H98:H117), SUM(H98:H117) / COUNT(H98:H117), 0)</f>
        <v>-4.1237709118841798E-3</v>
      </c>
      <c r="I118" s="28">
        <f>SUM(I98:I117)</f>
        <v>-12371.312735652542</v>
      </c>
      <c r="J118" s="26" t="s">
        <v>261</v>
      </c>
      <c r="K118" s="27">
        <f>IF(COUNT(K98:K117), SUM(K98:K117) / COUNT(K98:K117), 0)</f>
        <v>-2.2827228642500305E-3</v>
      </c>
      <c r="L118" s="28">
        <f>SUM(L98:L117)</f>
        <v>-6848.1685927500894</v>
      </c>
      <c r="M118" s="26" t="s">
        <v>261</v>
      </c>
      <c r="N118" s="27">
        <f>IF(COUNT(N98:N117), SUM(N98:N117) / COUNT(N98:N117), 0)</f>
        <v>-7.6065507097916041E-3</v>
      </c>
      <c r="O118" s="28">
        <f>SUM(O98:O117)</f>
        <v>-22819.652129374805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2022-12-18(일) 오전 00:00</v>
      </c>
      <c r="C123" s="199"/>
      <c r="D123" s="158" t="str">
        <f>TEXT($G$1, "[$-ko-KR]yyyy-mm-dd(ddd) ") &amp; "오후 14:00"</f>
        <v>2022-12-18(일) 오후 14:00</v>
      </c>
      <c r="E123" s="159"/>
      <c r="F123" s="160"/>
      <c r="G123" s="158" t="str">
        <f>TEXT($G$1, "[$-ko-KR]yyyy-mm-dd(ddd) ") &amp; "오후 19:00"</f>
        <v>2022-12-18(일) 오후 19:00</v>
      </c>
      <c r="H123" s="159"/>
      <c r="I123" s="160"/>
      <c r="J123" s="158" t="str">
        <f>TEXT($G$1, "[$-ko-KR]yyyy-mm-dd(ddd) ") &amp; "오후 21:00"</f>
        <v>2022-12-18(일) 오후 21:00</v>
      </c>
      <c r="K123" s="159"/>
      <c r="L123" s="160"/>
      <c r="M123" s="158" t="str">
        <f>TEXT($G$1+1, "[$-ko-KR]yyyy-mm-dd(ddd) ") &amp; "오전 00:00"</f>
        <v>2022-12-19(월)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155</v>
      </c>
      <c r="B125" s="108">
        <v>26.8</v>
      </c>
      <c r="C125" s="69">
        <v>-2.89855072E-2</v>
      </c>
      <c r="D125" s="13">
        <v>27.5</v>
      </c>
      <c r="E125" s="14">
        <f>IF(ISNUMBER(D125), (D125 - $B125) / $B125, "")</f>
        <v>2.6119402985074598E-2</v>
      </c>
      <c r="F125" s="16">
        <f>IF(ISNUMBER(D125), $B145 * E125, "")</f>
        <v>3917.9104477611895</v>
      </c>
      <c r="G125" s="29">
        <v>27.5</v>
      </c>
      <c r="H125" s="14">
        <f>IF(ISNUMBER(G125), (G125 - $B125) / $B125, "")</f>
        <v>2.6119402985074598E-2</v>
      </c>
      <c r="I125" s="90">
        <f>IF(ISNUMBER(G125), $B145 * H125, "")</f>
        <v>3917.9104477611895</v>
      </c>
      <c r="J125" s="13">
        <v>27.6</v>
      </c>
      <c r="K125" s="14">
        <f>IF(ISNUMBER(J125), (J125 - $B125) / $B125, "")</f>
        <v>2.9850746268656744E-2</v>
      </c>
      <c r="L125" s="16">
        <f>IF(ISNUMBER(J125), $B145 * K125, "")</f>
        <v>4477.6119402985114</v>
      </c>
      <c r="M125" s="29">
        <v>27.6</v>
      </c>
      <c r="N125" s="14">
        <f>IF(ISNUMBER(M125), (M125 - $B125) / $B125, "")</f>
        <v>2.9850746268656744E-2</v>
      </c>
      <c r="O125" s="16">
        <f>IF(ISNUMBER(M125), $B145 * N125, "")</f>
        <v>4477.6119402985114</v>
      </c>
      <c r="Q125" s="156"/>
      <c r="R125" s="156"/>
      <c r="S125" s="156"/>
    </row>
    <row r="126" spans="1:19" ht="17.25" thickBot="1">
      <c r="A126" s="109" t="s">
        <v>200</v>
      </c>
      <c r="B126" s="110">
        <v>6.11</v>
      </c>
      <c r="C126" s="70">
        <v>-3.0158730200000001E-2</v>
      </c>
      <c r="D126" s="15">
        <v>6.34</v>
      </c>
      <c r="E126" s="32">
        <f t="shared" ref="E126:E129" si="62">IF(ISNUMBER(D126), (D126 - $B126) / $B126, "")</f>
        <v>3.7643207855973734E-2</v>
      </c>
      <c r="F126" s="18">
        <f>IF(ISNUMBER(D126), $B145 * E126, "")</f>
        <v>5646.4811783960604</v>
      </c>
      <c r="G126" s="31">
        <v>6.34</v>
      </c>
      <c r="H126" s="32">
        <f t="shared" ref="H126:H129" si="63">IF(ISNUMBER(G126), (G126 - $B126) / $B126, "")</f>
        <v>3.7643207855973734E-2</v>
      </c>
      <c r="I126" s="91">
        <f>IF(ISNUMBER(G126), $B145 * H126, "")</f>
        <v>5646.4811783960604</v>
      </c>
      <c r="J126" s="15">
        <v>6.23</v>
      </c>
      <c r="K126" s="32">
        <f t="shared" ref="K126:K129" si="64">IF(ISNUMBER(J126), (J126 - $B126) / $B126, "")</f>
        <v>1.9639934533551572E-2</v>
      </c>
      <c r="L126" s="18">
        <f>IF(ISNUMBER(J126), $B145 * K126, "")</f>
        <v>2945.9901800327357</v>
      </c>
      <c r="M126" s="31">
        <v>6.2</v>
      </c>
      <c r="N126" s="32">
        <f t="shared" ref="N126:N129" si="65">IF(ISNUMBER(M126), (M126 - $B126) / $B126, "")</f>
        <v>1.4729950900163642E-2</v>
      </c>
      <c r="O126" s="18">
        <f>IF(ISNUMBER(M126), $B145 * N126, "")</f>
        <v>2209.4926350245464</v>
      </c>
      <c r="Q126" s="156"/>
      <c r="R126" s="156"/>
      <c r="S126" s="156"/>
    </row>
    <row r="127" spans="1:19" ht="17.25" thickBot="1">
      <c r="A127" s="109" t="s">
        <v>107</v>
      </c>
      <c r="B127" s="110">
        <v>36.6</v>
      </c>
      <c r="C127" s="70">
        <v>-3.1746031700000003E-2</v>
      </c>
      <c r="D127" s="15">
        <v>36.5</v>
      </c>
      <c r="E127" s="32">
        <f t="shared" si="62"/>
        <v>-2.7322404371585085E-3</v>
      </c>
      <c r="F127" s="18">
        <f>IF(ISNUMBER(D127), $B145 * E127, "")</f>
        <v>-409.8360655737763</v>
      </c>
      <c r="G127" s="31">
        <v>36.5</v>
      </c>
      <c r="H127" s="32">
        <f t="shared" si="63"/>
        <v>-2.7322404371585085E-3</v>
      </c>
      <c r="I127" s="91">
        <f>IF(ISNUMBER(G127), $B145 * H127, "")</f>
        <v>-409.8360655737763</v>
      </c>
      <c r="J127" s="15">
        <v>36.9</v>
      </c>
      <c r="K127" s="32">
        <f t="shared" si="64"/>
        <v>8.1967213114753322E-3</v>
      </c>
      <c r="L127" s="18">
        <f>IF(ISNUMBER(J127), $B145 * K127, "")</f>
        <v>1229.5081967212998</v>
      </c>
      <c r="M127" s="31">
        <v>36.5</v>
      </c>
      <c r="N127" s="32">
        <f t="shared" si="65"/>
        <v>-2.7322404371585085E-3</v>
      </c>
      <c r="O127" s="18">
        <f>IF(ISNUMBER(M127), $B145 * N127, "")</f>
        <v>-409.8360655737763</v>
      </c>
      <c r="Q127" s="161"/>
      <c r="R127" s="161"/>
      <c r="S127" s="161"/>
    </row>
    <row r="128" spans="1:19" ht="17.25" thickBot="1">
      <c r="A128" s="109" t="s">
        <v>181</v>
      </c>
      <c r="B128" s="110">
        <v>4.1900000000000004</v>
      </c>
      <c r="C128" s="70">
        <v>-3.2332563500000001E-2</v>
      </c>
      <c r="D128" s="15">
        <v>4.32</v>
      </c>
      <c r="E128" s="32">
        <f t="shared" si="62"/>
        <v>3.1026252983293527E-2</v>
      </c>
      <c r="F128" s="18">
        <f>IF(ISNUMBER(D128), $B145 * E128, "")</f>
        <v>4653.9379474940288</v>
      </c>
      <c r="G128" s="31">
        <v>4.32</v>
      </c>
      <c r="H128" s="32">
        <f t="shared" si="63"/>
        <v>3.1026252983293527E-2</v>
      </c>
      <c r="I128" s="91">
        <f>IF(ISNUMBER(G128), $B145 * H128, "")</f>
        <v>4653.9379474940288</v>
      </c>
      <c r="J128" s="15">
        <v>4.3</v>
      </c>
      <c r="K128" s="32">
        <f t="shared" si="64"/>
        <v>2.6252983293555947E-2</v>
      </c>
      <c r="L128" s="18">
        <f>IF(ISNUMBER(J128), $B145 * K128, "")</f>
        <v>3937.9474940333921</v>
      </c>
      <c r="M128" s="31">
        <v>4.18</v>
      </c>
      <c r="N128" s="32">
        <f t="shared" si="65"/>
        <v>-2.3866348448688961E-3</v>
      </c>
      <c r="O128" s="18">
        <f>IF(ISNUMBER(M128), $B145 * N128, "")</f>
        <v>-357.99522673033442</v>
      </c>
      <c r="Q128" s="161"/>
      <c r="R128" s="161"/>
      <c r="S128" s="161"/>
    </row>
    <row r="129" spans="1:19" ht="17.25" thickBot="1">
      <c r="A129" s="111" t="s">
        <v>326</v>
      </c>
      <c r="B129" s="112">
        <v>20.5</v>
      </c>
      <c r="C129" s="71">
        <v>-3.3018867899999998E-2</v>
      </c>
      <c r="D129" s="20">
        <v>21.3</v>
      </c>
      <c r="E129" s="21">
        <f t="shared" si="62"/>
        <v>3.9024390243902474E-2</v>
      </c>
      <c r="F129" s="22">
        <f>IF(ISNUMBER(D129), $B145 * E129, "")</f>
        <v>5853.6585365853707</v>
      </c>
      <c r="G129" s="30">
        <v>21.3</v>
      </c>
      <c r="H129" s="21">
        <f t="shared" si="63"/>
        <v>3.9024390243902474E-2</v>
      </c>
      <c r="I129" s="95">
        <f>IF(ISNUMBER(G129), $B145 * H129, "")</f>
        <v>5853.6585365853707</v>
      </c>
      <c r="J129" s="20">
        <v>21.2</v>
      </c>
      <c r="K129" s="21">
        <f t="shared" si="64"/>
        <v>3.4146341463414602E-2</v>
      </c>
      <c r="L129" s="22">
        <f>IF(ISNUMBER(J129), $B145 * K129, "")</f>
        <v>5121.9512195121906</v>
      </c>
      <c r="M129" s="30">
        <v>21.1</v>
      </c>
      <c r="N129" s="21">
        <f t="shared" si="65"/>
        <v>2.9268292682926897E-2</v>
      </c>
      <c r="O129" s="22">
        <f>IF(ISNUMBER(M129), $B145 * N129, "")</f>
        <v>4390.2439024390342</v>
      </c>
      <c r="Q129" s="161"/>
      <c r="R129" s="161"/>
      <c r="S129" s="161"/>
    </row>
    <row r="130" spans="1:19" ht="17.25" thickBot="1">
      <c r="A130" s="109" t="s">
        <v>141</v>
      </c>
      <c r="B130" s="113">
        <v>3.19</v>
      </c>
      <c r="C130" s="73">
        <v>-3.3333333299999997E-2</v>
      </c>
      <c r="D130" s="96">
        <v>3.2</v>
      </c>
      <c r="E130" s="97">
        <f>IF(ISNUMBER(D130), (D130 - $B130) / $B130, "")</f>
        <v>3.1347962382445864E-3</v>
      </c>
      <c r="F130" s="98">
        <f>IF(ISNUMBER(D130), $B145 * E130, "")</f>
        <v>470.21943573668796</v>
      </c>
      <c r="G130" s="99">
        <v>3.2</v>
      </c>
      <c r="H130" s="97">
        <f>IF(ISNUMBER(G130), (G130 - $B130) / $B130, "")</f>
        <v>3.1347962382445864E-3</v>
      </c>
      <c r="I130" s="100">
        <f>IF(ISNUMBER(G130), $B145 * H130, "")</f>
        <v>470.21943573668796</v>
      </c>
      <c r="J130" s="96">
        <v>3.19</v>
      </c>
      <c r="K130" s="97">
        <f>IF(ISNUMBER(J130), (J130 - $B130) / $B130, "")</f>
        <v>0</v>
      </c>
      <c r="L130" s="98">
        <f>IF(ISNUMBER(J130), $B145 * K130, "")</f>
        <v>0</v>
      </c>
      <c r="M130" s="99">
        <v>3.19</v>
      </c>
      <c r="N130" s="97">
        <f>IF(ISNUMBER(M130), (M130 - $B130) / $B130, "")</f>
        <v>0</v>
      </c>
      <c r="O130" s="98">
        <f>IF(ISNUMBER(M130), $B145 * N130, "")</f>
        <v>0</v>
      </c>
      <c r="Q130" s="161"/>
      <c r="R130" s="161"/>
      <c r="S130" s="161"/>
    </row>
    <row r="131" spans="1:19" ht="17.25" thickBot="1">
      <c r="A131" s="109" t="s">
        <v>212</v>
      </c>
      <c r="B131" s="110">
        <v>74.3</v>
      </c>
      <c r="C131" s="70">
        <v>-3.3810143000000001E-2</v>
      </c>
      <c r="D131" s="15">
        <v>75.7</v>
      </c>
      <c r="E131" s="32">
        <f t="shared" ref="E131:E134" si="66">IF(ISNUMBER(D131), (D131 - $B131) / $B131, "")</f>
        <v>1.8842530282638031E-2</v>
      </c>
      <c r="F131" s="18">
        <f>IF(ISNUMBER(D131), $B145 * E131, "")</f>
        <v>2826.3795423957044</v>
      </c>
      <c r="G131" s="31">
        <v>75.7</v>
      </c>
      <c r="H131" s="32">
        <f t="shared" ref="H131:H134" si="67">IF(ISNUMBER(G131), (G131 - $B131) / $B131, "")</f>
        <v>1.8842530282638031E-2</v>
      </c>
      <c r="I131" s="91">
        <f>IF(ISNUMBER(G131), $B145 * H131, "")</f>
        <v>2826.3795423957044</v>
      </c>
      <c r="J131" s="15">
        <v>78.099999999999994</v>
      </c>
      <c r="K131" s="32">
        <f t="shared" ref="K131:K134" si="68">IF(ISNUMBER(J131), (J131 - $B131) / $B131, "")</f>
        <v>5.1144010767160124E-2</v>
      </c>
      <c r="L131" s="18">
        <f>IF(ISNUMBER(J131), $B145 * K131, "")</f>
        <v>7671.6016150740188</v>
      </c>
      <c r="M131" s="31">
        <v>75.8</v>
      </c>
      <c r="N131" s="32">
        <f t="shared" ref="N131:N134" si="69">IF(ISNUMBER(M131), (M131 - $B131) / $B131, "")</f>
        <v>2.0188425302826381E-2</v>
      </c>
      <c r="O131" s="18">
        <f>IF(ISNUMBER(M131), $B145 * N131, "")</f>
        <v>3028.2637954239572</v>
      </c>
      <c r="Q131" s="161"/>
      <c r="R131" s="161"/>
      <c r="S131" s="161"/>
    </row>
    <row r="132" spans="1:19" ht="17.25" thickBot="1">
      <c r="A132" s="109" t="s">
        <v>124</v>
      </c>
      <c r="B132" s="110">
        <v>28.8</v>
      </c>
      <c r="C132" s="70">
        <v>-3.6789297700000001E-2</v>
      </c>
      <c r="D132" s="15">
        <v>29.6</v>
      </c>
      <c r="E132" s="32">
        <f t="shared" si="66"/>
        <v>2.7777777777777801E-2</v>
      </c>
      <c r="F132" s="18">
        <f>IF(ISNUMBER(D132), $B145 * E132, "")</f>
        <v>4166.6666666666697</v>
      </c>
      <c r="G132" s="31">
        <v>29.6</v>
      </c>
      <c r="H132" s="32">
        <f t="shared" si="67"/>
        <v>2.7777777777777801E-2</v>
      </c>
      <c r="I132" s="91">
        <f>IF(ISNUMBER(G132), $B145 * H132, "")</f>
        <v>4166.6666666666697</v>
      </c>
      <c r="J132" s="15">
        <v>29.5</v>
      </c>
      <c r="K132" s="32">
        <f t="shared" si="68"/>
        <v>2.4305555555555532E-2</v>
      </c>
      <c r="L132" s="18">
        <f>IF(ISNUMBER(J132), $B145 * K132, "")</f>
        <v>3645.8333333333298</v>
      </c>
      <c r="M132" s="31">
        <v>29.2</v>
      </c>
      <c r="N132" s="32">
        <f t="shared" si="69"/>
        <v>1.388888888888884E-2</v>
      </c>
      <c r="O132" s="18">
        <f>IF(ISNUMBER(M132), $B145 * N132, "")</f>
        <v>2083.3333333333258</v>
      </c>
      <c r="Q132" s="161"/>
      <c r="R132" s="161"/>
      <c r="S132" s="161"/>
    </row>
    <row r="133" spans="1:19" ht="17.25" thickBot="1">
      <c r="A133" s="109" t="s">
        <v>244</v>
      </c>
      <c r="B133" s="110">
        <v>87.1</v>
      </c>
      <c r="C133" s="70">
        <v>-3.8631346599999998E-2</v>
      </c>
      <c r="D133" s="15">
        <v>90.6</v>
      </c>
      <c r="E133" s="32">
        <f t="shared" si="66"/>
        <v>4.0183696900114814E-2</v>
      </c>
      <c r="F133" s="18">
        <f>IF(ISNUMBER(D133), $B145 * E133, "")</f>
        <v>6027.5545350172224</v>
      </c>
      <c r="G133" s="31">
        <v>90.6</v>
      </c>
      <c r="H133" s="32">
        <f t="shared" si="67"/>
        <v>4.0183696900114814E-2</v>
      </c>
      <c r="I133" s="91">
        <f>IF(ISNUMBER(G133), $B145 * H133, "")</f>
        <v>6027.5545350172224</v>
      </c>
      <c r="J133" s="15">
        <v>95.3</v>
      </c>
      <c r="K133" s="32">
        <f t="shared" si="68"/>
        <v>9.4144661308840458E-2</v>
      </c>
      <c r="L133" s="18">
        <f>IF(ISNUMBER(J133), $B145 * K133, "")</f>
        <v>14121.699196326068</v>
      </c>
      <c r="M133" s="31">
        <v>90.5</v>
      </c>
      <c r="N133" s="32">
        <f t="shared" si="69"/>
        <v>3.9035591274397312E-2</v>
      </c>
      <c r="O133" s="18">
        <f>IF(ISNUMBER(M133), $B145 * N133, "")</f>
        <v>5855.3386911595971</v>
      </c>
      <c r="Q133" s="33"/>
      <c r="R133" s="33"/>
    </row>
    <row r="134" spans="1:19" ht="17.25" thickBot="1">
      <c r="A134" s="114" t="s">
        <v>143</v>
      </c>
      <c r="B134" s="115">
        <v>3.51</v>
      </c>
      <c r="C134" s="72">
        <v>-4.09836066E-2</v>
      </c>
      <c r="D134" s="24">
        <v>3.58</v>
      </c>
      <c r="E134" s="25">
        <f t="shared" si="66"/>
        <v>1.9943019943020026E-2</v>
      </c>
      <c r="F134" s="94">
        <f>IF(ISNUMBER(D134), $B145 * E134, "")</f>
        <v>2991.452991453004</v>
      </c>
      <c r="G134" s="92">
        <v>3.58</v>
      </c>
      <c r="H134" s="25">
        <f t="shared" si="67"/>
        <v>1.9943019943020026E-2</v>
      </c>
      <c r="I134" s="93">
        <f>IF(ISNUMBER(G134), $B145 * H134, "")</f>
        <v>2991.452991453004</v>
      </c>
      <c r="J134" s="24">
        <v>3.62</v>
      </c>
      <c r="K134" s="25">
        <f t="shared" si="68"/>
        <v>3.1339031339031431E-2</v>
      </c>
      <c r="L134" s="94">
        <f>IF(ISNUMBER(J134), $B145 * K134, "")</f>
        <v>4700.8547008547148</v>
      </c>
      <c r="M134" s="92">
        <v>3.59</v>
      </c>
      <c r="N134" s="25">
        <f t="shared" si="69"/>
        <v>2.2792022792022814E-2</v>
      </c>
      <c r="O134" s="94">
        <f>IF(ISNUMBER(M134), $B145 * N134, "")</f>
        <v>3418.8034188034221</v>
      </c>
      <c r="Q134" s="170"/>
      <c r="R134" s="171"/>
      <c r="S134" s="172"/>
    </row>
    <row r="135" spans="1:19">
      <c r="A135" s="107" t="s">
        <v>118</v>
      </c>
      <c r="B135" s="108">
        <v>5.43</v>
      </c>
      <c r="C135" s="69">
        <v>-4.5694200400000003E-2</v>
      </c>
      <c r="D135" s="13">
        <v>5.51</v>
      </c>
      <c r="E135" s="14">
        <f>IF(ISNUMBER(D135), (D135 - $B135) / $B135, "")</f>
        <v>1.4732965009208118E-2</v>
      </c>
      <c r="F135" s="16">
        <f>IF(ISNUMBER(D135), $B145 * E135, "")</f>
        <v>2209.9447513812174</v>
      </c>
      <c r="G135" s="29">
        <v>5.51</v>
      </c>
      <c r="H135" s="14">
        <f>IF(ISNUMBER(G135), (G135 - $B135) / $B135, "")</f>
        <v>1.4732965009208118E-2</v>
      </c>
      <c r="I135" s="90">
        <f>IF(ISNUMBER(G135), $B145 * H135, "")</f>
        <v>2209.9447513812174</v>
      </c>
      <c r="J135" s="13">
        <v>5.52</v>
      </c>
      <c r="K135" s="14">
        <f>IF(ISNUMBER(J135), (J135 - $B135) / $B135, "")</f>
        <v>1.6574585635359091E-2</v>
      </c>
      <c r="L135" s="16">
        <f>IF(ISNUMBER(J135), $B145 * K135, "")</f>
        <v>2486.1878453038635</v>
      </c>
      <c r="M135" s="29">
        <v>5.47</v>
      </c>
      <c r="N135" s="14">
        <f>IF(ISNUMBER(M135), (M135 - $B135) / $B135, "")</f>
        <v>7.3664825046040588E-3</v>
      </c>
      <c r="O135" s="16">
        <f>IF(ISNUMBER(M135), $B145 * N135, "")</f>
        <v>1104.9723756906087</v>
      </c>
      <c r="Q135" s="173"/>
      <c r="R135" s="174"/>
      <c r="S135" s="175"/>
    </row>
    <row r="136" spans="1:19" ht="17.25" thickBot="1">
      <c r="A136" s="109" t="s">
        <v>228</v>
      </c>
      <c r="B136" s="110">
        <v>54.4</v>
      </c>
      <c r="C136" s="70">
        <v>-4.8951049000000003E-2</v>
      </c>
      <c r="D136" s="15">
        <v>56</v>
      </c>
      <c r="E136" s="32">
        <f t="shared" ref="E136:E139" si="70">IF(ISNUMBER(D136), (D136 - $B136) / $B136, "")</f>
        <v>2.941176470588238E-2</v>
      </c>
      <c r="F136" s="18">
        <f>IF(ISNUMBER(D136), $B145 * E136, "")</f>
        <v>4411.7647058823568</v>
      </c>
      <c r="G136" s="31">
        <v>56</v>
      </c>
      <c r="H136" s="32">
        <f t="shared" ref="H136:H139" si="71">IF(ISNUMBER(G136), (G136 - $B136) / $B136, "")</f>
        <v>2.941176470588238E-2</v>
      </c>
      <c r="I136" s="91">
        <f>IF(ISNUMBER(G136), $B145 * H136, "")</f>
        <v>4411.7647058823568</v>
      </c>
      <c r="J136" s="15">
        <v>56.3</v>
      </c>
      <c r="K136" s="32">
        <f t="shared" ref="K136:K139" si="72">IF(ISNUMBER(J136), (J136 - $B136) / $B136, "")</f>
        <v>3.4926470588235267E-2</v>
      </c>
      <c r="L136" s="18">
        <f>IF(ISNUMBER(J136), $B145 * K136, "")</f>
        <v>5238.9705882352901</v>
      </c>
      <c r="M136" s="31">
        <v>55.6</v>
      </c>
      <c r="N136" s="32">
        <f t="shared" ref="N136:N139" si="73">IF(ISNUMBER(M136), (M136 - $B136) / $B136, "")</f>
        <v>2.2058823529411818E-2</v>
      </c>
      <c r="O136" s="18">
        <f>IF(ISNUMBER(M136), $B145 * N136, "")</f>
        <v>3308.8235294117726</v>
      </c>
      <c r="Q136" s="176"/>
      <c r="R136" s="177"/>
      <c r="S136" s="178"/>
    </row>
    <row r="137" spans="1:19" ht="17.25" thickBot="1">
      <c r="A137" s="109" t="s">
        <v>206</v>
      </c>
      <c r="B137" s="110">
        <v>3.22</v>
      </c>
      <c r="C137" s="70">
        <v>-5.0147492600000003E-2</v>
      </c>
      <c r="D137" s="15">
        <v>3.28</v>
      </c>
      <c r="E137" s="32">
        <f t="shared" si="70"/>
        <v>1.8633540372670686E-2</v>
      </c>
      <c r="F137" s="18">
        <f>IF(ISNUMBER(D137), $B145 * E137, "")</f>
        <v>2795.031055900603</v>
      </c>
      <c r="G137" s="31">
        <v>3.28</v>
      </c>
      <c r="H137" s="32">
        <f t="shared" si="71"/>
        <v>1.8633540372670686E-2</v>
      </c>
      <c r="I137" s="91">
        <f>IF(ISNUMBER(G137), $B145 * H137, "")</f>
        <v>2795.031055900603</v>
      </c>
      <c r="J137" s="15">
        <v>3.29</v>
      </c>
      <c r="K137" s="32">
        <f t="shared" si="72"/>
        <v>2.1739130434782556E-2</v>
      </c>
      <c r="L137" s="18">
        <f>IF(ISNUMBER(J137), $B145 * K137, "")</f>
        <v>3260.8695652173833</v>
      </c>
      <c r="M137" s="31">
        <v>3.26</v>
      </c>
      <c r="N137" s="32">
        <f t="shared" si="73"/>
        <v>1.2422360248447077E-2</v>
      </c>
      <c r="O137" s="18">
        <f>IF(ISNUMBER(M137), $B145 * N137, "")</f>
        <v>1863.3540372670616</v>
      </c>
      <c r="Q137" s="161"/>
      <c r="R137" s="161"/>
      <c r="S137" s="161"/>
    </row>
    <row r="138" spans="1:19" ht="17.25" thickBot="1">
      <c r="A138" s="109" t="s">
        <v>195</v>
      </c>
      <c r="B138" s="110">
        <v>5.86</v>
      </c>
      <c r="C138" s="70">
        <v>-5.0243111799999997E-2</v>
      </c>
      <c r="D138" s="15">
        <v>6.05</v>
      </c>
      <c r="E138" s="32">
        <f t="shared" si="70"/>
        <v>3.2423208191126193E-2</v>
      </c>
      <c r="F138" s="18">
        <f>IF(ISNUMBER(D138), $B145 * E138, "")</f>
        <v>4863.4812286689294</v>
      </c>
      <c r="G138" s="31">
        <v>6.05</v>
      </c>
      <c r="H138" s="32">
        <f t="shared" si="71"/>
        <v>3.2423208191126193E-2</v>
      </c>
      <c r="I138" s="91">
        <f>IF(ISNUMBER(G138), $B145 * H138, "")</f>
        <v>4863.4812286689294</v>
      </c>
      <c r="J138" s="15">
        <v>6.01</v>
      </c>
      <c r="K138" s="32">
        <f t="shared" si="72"/>
        <v>2.5597269624573288E-2</v>
      </c>
      <c r="L138" s="18">
        <f>IF(ISNUMBER(J138), $B145 * K138, "")</f>
        <v>3839.5904436859933</v>
      </c>
      <c r="M138" s="31">
        <v>5.95</v>
      </c>
      <c r="N138" s="32">
        <f t="shared" si="73"/>
        <v>1.5358361774744003E-2</v>
      </c>
      <c r="O138" s="18">
        <f>IF(ISNUMBER(M138), $B145 * N138, "")</f>
        <v>2303.7542662116002</v>
      </c>
      <c r="Q138" s="156"/>
      <c r="R138" s="156"/>
      <c r="S138" s="156"/>
    </row>
    <row r="139" spans="1:19" ht="17.25" thickBot="1">
      <c r="A139" s="111" t="s">
        <v>220</v>
      </c>
      <c r="B139" s="112">
        <v>63.3</v>
      </c>
      <c r="C139" s="71">
        <v>-5.0974512700000002E-2</v>
      </c>
      <c r="D139" s="20">
        <v>64.400000000000006</v>
      </c>
      <c r="E139" s="21">
        <f t="shared" si="70"/>
        <v>1.7377567140600451E-2</v>
      </c>
      <c r="F139" s="22">
        <f>IF(ISNUMBER(D139), $B145 * E139, "")</f>
        <v>2606.6350710900679</v>
      </c>
      <c r="G139" s="30">
        <v>64.400000000000006</v>
      </c>
      <c r="H139" s="21">
        <f t="shared" si="71"/>
        <v>1.7377567140600451E-2</v>
      </c>
      <c r="I139" s="95">
        <f>IF(ISNUMBER(G139), $B145 * H139, "")</f>
        <v>2606.6350710900679</v>
      </c>
      <c r="J139" s="20">
        <v>64.8</v>
      </c>
      <c r="K139" s="21">
        <f t="shared" si="72"/>
        <v>2.3696682464454978E-2</v>
      </c>
      <c r="L139" s="22">
        <f>IF(ISNUMBER(J139), $B145 * K139, "")</f>
        <v>3554.5023696682465</v>
      </c>
      <c r="M139" s="30">
        <v>64.5</v>
      </c>
      <c r="N139" s="21">
        <f t="shared" si="73"/>
        <v>1.8957345971564028E-2</v>
      </c>
      <c r="O139" s="22">
        <f>IF(ISNUMBER(M139), $B145 * N139, "")</f>
        <v>2843.6018957346041</v>
      </c>
      <c r="Q139" s="156"/>
      <c r="R139" s="156"/>
      <c r="S139" s="156"/>
    </row>
    <row r="140" spans="1:19" ht="17.25" thickBot="1">
      <c r="A140" s="109" t="s">
        <v>132</v>
      </c>
      <c r="B140" s="113">
        <v>47.5</v>
      </c>
      <c r="C140" s="73">
        <v>-5.1896207600000001E-2</v>
      </c>
      <c r="D140" s="96">
        <v>47.9</v>
      </c>
      <c r="E140" s="97">
        <f>IF(ISNUMBER(D140), (D140 - $B140) / $B140, "")</f>
        <v>8.4210526315789177E-3</v>
      </c>
      <c r="F140" s="98">
        <f>IF(ISNUMBER(D140), $B145 * E140, "")</f>
        <v>1263.1578947368378</v>
      </c>
      <c r="G140" s="99">
        <v>47.9</v>
      </c>
      <c r="H140" s="97">
        <f>IF(ISNUMBER(G140), (G140 - $B140) / $B140, "")</f>
        <v>8.4210526315789177E-3</v>
      </c>
      <c r="I140" s="100">
        <f>IF(ISNUMBER(G140), $B145 * H140, "")</f>
        <v>1263.1578947368378</v>
      </c>
      <c r="J140" s="96">
        <v>48.3</v>
      </c>
      <c r="K140" s="97">
        <f>IF(ISNUMBER(J140), (J140 - $B140) / $B140, "")</f>
        <v>1.6842105263157835E-2</v>
      </c>
      <c r="L140" s="98">
        <f>IF(ISNUMBER(J140), $B145 * K140, "")</f>
        <v>2526.3157894736755</v>
      </c>
      <c r="M140" s="99">
        <v>48</v>
      </c>
      <c r="N140" s="97">
        <f>IF(ISNUMBER(M140), (M140 - $B140) / $B140, "")</f>
        <v>1.0526315789473684E-2</v>
      </c>
      <c r="O140" s="98">
        <f>IF(ISNUMBER(M140), $B145 * N140, "")</f>
        <v>1578.9473684210525</v>
      </c>
      <c r="Q140" s="161"/>
      <c r="R140" s="161"/>
      <c r="S140" s="161"/>
    </row>
    <row r="141" spans="1:19" ht="17.25" thickBot="1">
      <c r="A141" s="109" t="s">
        <v>210</v>
      </c>
      <c r="B141" s="110">
        <v>61.8</v>
      </c>
      <c r="C141" s="70">
        <v>-5.2147239300000002E-2</v>
      </c>
      <c r="D141" s="15">
        <v>63.1</v>
      </c>
      <c r="E141" s="32">
        <f t="shared" ref="E141:E144" si="74">IF(ISNUMBER(D141), (D141 - $B141) / $B141, "")</f>
        <v>2.1035598705501687E-2</v>
      </c>
      <c r="F141" s="18">
        <f>IF(ISNUMBER(D141), $B145 * E141, "")</f>
        <v>3155.3398058252533</v>
      </c>
      <c r="G141" s="31">
        <v>63.1</v>
      </c>
      <c r="H141" s="32">
        <f t="shared" ref="H141:H144" si="75">IF(ISNUMBER(G141), (G141 - $B141) / $B141, "")</f>
        <v>2.1035598705501687E-2</v>
      </c>
      <c r="I141" s="91">
        <f>IF(ISNUMBER(G141), $B145 * H141, "")</f>
        <v>3155.3398058252533</v>
      </c>
      <c r="J141" s="15">
        <v>63.9</v>
      </c>
      <c r="K141" s="32">
        <f t="shared" ref="K141:K144" si="76">IF(ISNUMBER(J141), (J141 - $B141) / $B141, "")</f>
        <v>3.3980582524271871E-2</v>
      </c>
      <c r="L141" s="18">
        <f>IF(ISNUMBER(J141), $B145 * K141, "")</f>
        <v>5097.087378640781</v>
      </c>
      <c r="M141" s="31">
        <v>63.7</v>
      </c>
      <c r="N141" s="32">
        <f t="shared" ref="N141:N144" si="77">IF(ISNUMBER(M141), (M141 - $B141) / $B141, "")</f>
        <v>3.0744336569579381E-2</v>
      </c>
      <c r="O141" s="18">
        <f>IF(ISNUMBER(M141), $B145 * N141, "")</f>
        <v>4611.6504854369068</v>
      </c>
      <c r="Q141" s="161"/>
      <c r="R141" s="161"/>
      <c r="S141" s="161"/>
    </row>
    <row r="142" spans="1:19" ht="17.25" thickBot="1">
      <c r="A142" s="109" t="s">
        <v>191</v>
      </c>
      <c r="B142" s="110">
        <v>50.7</v>
      </c>
      <c r="C142" s="70">
        <v>-6.1111111099999997E-2</v>
      </c>
      <c r="D142" s="15">
        <v>51.3</v>
      </c>
      <c r="E142" s="32">
        <f t="shared" si="74"/>
        <v>1.1834319526627106E-2</v>
      </c>
      <c r="F142" s="18">
        <f>IF(ISNUMBER(D142), $B145 * E142, "")</f>
        <v>1775.147928994066</v>
      </c>
      <c r="G142" s="31">
        <v>51.3</v>
      </c>
      <c r="H142" s="32">
        <f t="shared" si="75"/>
        <v>1.1834319526627106E-2</v>
      </c>
      <c r="I142" s="91">
        <f>IF(ISNUMBER(G142), $B145 * H142, "")</f>
        <v>1775.147928994066</v>
      </c>
      <c r="J142" s="15">
        <v>51.4</v>
      </c>
      <c r="K142" s="32">
        <f t="shared" si="76"/>
        <v>1.3806706114398336E-2</v>
      </c>
      <c r="L142" s="18">
        <f>IF(ISNUMBER(J142), $B145 * K142, "")</f>
        <v>2071.0059171597504</v>
      </c>
      <c r="M142" s="31">
        <v>51</v>
      </c>
      <c r="N142" s="32">
        <f t="shared" si="77"/>
        <v>5.917159763313553E-3</v>
      </c>
      <c r="O142" s="18">
        <f>IF(ISNUMBER(M142), $B145 * N142, "")</f>
        <v>887.57396449703299</v>
      </c>
      <c r="Q142" s="161"/>
      <c r="R142" s="161"/>
      <c r="S142" s="161"/>
    </row>
    <row r="143" spans="1:19">
      <c r="A143" s="109" t="s">
        <v>198</v>
      </c>
      <c r="B143" s="110">
        <v>7.07</v>
      </c>
      <c r="C143" s="70">
        <v>-7.7023498699999998E-2</v>
      </c>
      <c r="D143" s="15">
        <v>7.03</v>
      </c>
      <c r="E143" s="32">
        <f t="shared" si="74"/>
        <v>-5.6577086280056622E-3</v>
      </c>
      <c r="F143" s="18">
        <f>IF(ISNUMBER(D143), $B145 * E143, "")</f>
        <v>-848.65629420084929</v>
      </c>
      <c r="G143" s="31">
        <v>7.03</v>
      </c>
      <c r="H143" s="32">
        <f t="shared" si="75"/>
        <v>-5.6577086280056622E-3</v>
      </c>
      <c r="I143" s="91">
        <f>IF(ISNUMBER(G143), $B145 * H143, "")</f>
        <v>-848.65629420084929</v>
      </c>
      <c r="J143" s="15">
        <v>7.02</v>
      </c>
      <c r="K143" s="32">
        <f t="shared" si="76"/>
        <v>-7.0721357850071723E-3</v>
      </c>
      <c r="L143" s="18">
        <f>IF(ISNUMBER(J143), $B145 * K143, "")</f>
        <v>-1060.8203677510758</v>
      </c>
      <c r="M143" s="31">
        <v>6.88</v>
      </c>
      <c r="N143" s="32">
        <f t="shared" si="77"/>
        <v>-2.6874115983026928E-2</v>
      </c>
      <c r="O143" s="18">
        <f>IF(ISNUMBER(M143), $B145 * N143, "")</f>
        <v>-4031.1173974540393</v>
      </c>
      <c r="Q143" s="183"/>
      <c r="R143" s="184"/>
      <c r="S143" s="185"/>
    </row>
    <row r="144" spans="1:19" ht="17.25" thickBot="1">
      <c r="A144" s="114" t="s">
        <v>97</v>
      </c>
      <c r="B144" s="115">
        <v>8.0000000000000004E-4</v>
      </c>
      <c r="C144" s="72">
        <v>-0.11111111110000001</v>
      </c>
      <c r="D144" s="24">
        <v>8.0000000000000004E-4</v>
      </c>
      <c r="E144" s="25">
        <f t="shared" si="74"/>
        <v>0</v>
      </c>
      <c r="F144" s="94">
        <f>IF(ISNUMBER(D144), $B145 * E144, "")</f>
        <v>0</v>
      </c>
      <c r="G144" s="92">
        <v>8.0000000000000004E-4</v>
      </c>
      <c r="H144" s="25">
        <f t="shared" si="75"/>
        <v>0</v>
      </c>
      <c r="I144" s="93">
        <f>IF(ISNUMBER(G144), $B145 * H144, "")</f>
        <v>0</v>
      </c>
      <c r="J144" s="24">
        <v>8.0000000000000004E-4</v>
      </c>
      <c r="K144" s="25">
        <f t="shared" si="76"/>
        <v>0</v>
      </c>
      <c r="L144" s="94">
        <f>IF(ISNUMBER(J144), $B145 * K144, "")</f>
        <v>0</v>
      </c>
      <c r="M144" s="92">
        <v>8.9999999999999998E-4</v>
      </c>
      <c r="N144" s="25">
        <f t="shared" si="77"/>
        <v>0.12499999999999992</v>
      </c>
      <c r="O144" s="94">
        <f>IF(ISNUMBER(M144), $B145 * N144, "")</f>
        <v>18749.999999999989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1.9458757121403547E-2</v>
      </c>
      <c r="F145" s="28">
        <f>SUM(F125:F144)</f>
        <v>58376.271364210661</v>
      </c>
      <c r="G145" s="26" t="s">
        <v>261</v>
      </c>
      <c r="H145" s="27">
        <f>IF(COUNT(H125:H144), SUM(H125:H144) / COUNT(H125:H144), 0)</f>
        <v>1.9458757121403547E-2</v>
      </c>
      <c r="I145" s="28">
        <f>SUM(I125:I144)</f>
        <v>58376.271364210661</v>
      </c>
      <c r="J145" s="26" t="s">
        <v>261</v>
      </c>
      <c r="K145" s="27">
        <f>IF(COUNT(K125:K144), SUM(K125:K144) / COUNT(K125:K144), 0)</f>
        <v>2.4955569135273394E-2</v>
      </c>
      <c r="L145" s="28">
        <f>SUM(L125:L144)</f>
        <v>74866.707405820169</v>
      </c>
      <c r="M145" s="26" t="s">
        <v>261</v>
      </c>
      <c r="N145" s="27">
        <f>IF(COUNT(N125:N144), SUM(N125:N144) / COUNT(N125:N144), 0)</f>
        <v>1.9305605649798292E-2</v>
      </c>
      <c r="O145" s="28">
        <f>SUM(O125:O144)</f>
        <v>57916.816949394866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2022-12-18(일) 오전 00:00</v>
      </c>
      <c r="C150" s="199"/>
      <c r="D150" s="158" t="str">
        <f>TEXT($G$1, "[$-ko-KR]yyyy-mm-dd(ddd) ") &amp; "오후 14:00"</f>
        <v>2022-12-18(일) 오후 14:00</v>
      </c>
      <c r="E150" s="159"/>
      <c r="F150" s="160"/>
      <c r="G150" s="158" t="str">
        <f>TEXT($G$1, "[$-ko-KR]yyyy-mm-dd(ddd) ") &amp; "오후 19:00"</f>
        <v>2022-12-18(일) 오후 19:00</v>
      </c>
      <c r="H150" s="159"/>
      <c r="I150" s="160"/>
      <c r="J150" s="158" t="str">
        <f>TEXT($G$1, "[$-ko-KR]yyyy-mm-dd(ddd) ") &amp; "오후 21:00"</f>
        <v>2022-12-18(일) 오후 21:00</v>
      </c>
      <c r="K150" s="159"/>
      <c r="L150" s="160"/>
      <c r="M150" s="158" t="str">
        <f>TEXT($G$1+1, "[$-ko-KR]yyyy-mm-dd(ddd) ") &amp; "오전 00:00"</f>
        <v>2022-12-19(월)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176</v>
      </c>
      <c r="B152" s="108">
        <v>295</v>
      </c>
      <c r="C152" s="69">
        <v>-3.5947712399999998E-2</v>
      </c>
      <c r="D152" s="13">
        <v>302</v>
      </c>
      <c r="E152" s="14">
        <f>IF(ISNUMBER(D152), (D152 - $B152) / $B152, "")</f>
        <v>2.3728813559322035E-2</v>
      </c>
      <c r="F152" s="16">
        <f>IF(ISNUMBER(D152), $B172 * E152, "")</f>
        <v>3559.3220338983051</v>
      </c>
      <c r="G152" s="29">
        <v>302</v>
      </c>
      <c r="H152" s="14">
        <f>IF(ISNUMBER(G152), (G152 - $B152) / $B152, "")</f>
        <v>2.3728813559322035E-2</v>
      </c>
      <c r="I152" s="90">
        <f>IF(ISNUMBER(G152), $B172 * H152, "")</f>
        <v>3559.3220338983051</v>
      </c>
      <c r="J152" s="13">
        <v>302</v>
      </c>
      <c r="K152" s="14">
        <f>IF(ISNUMBER(J152), (J152 - $B152) / $B152, "")</f>
        <v>2.3728813559322035E-2</v>
      </c>
      <c r="L152" s="16">
        <f>IF(ISNUMBER(J152), $B172 * K152, "")</f>
        <v>3559.3220338983051</v>
      </c>
      <c r="M152" s="29">
        <v>300</v>
      </c>
      <c r="N152" s="14">
        <f>IF(ISNUMBER(M152), (M152 - $B152) / $B152, "")</f>
        <v>1.6949152542372881E-2</v>
      </c>
      <c r="O152" s="16">
        <f>IF(ISNUMBER(M152), $B172 * N152, "")</f>
        <v>2542.3728813559323</v>
      </c>
      <c r="Q152" s="156"/>
      <c r="R152" s="156"/>
      <c r="S152" s="156"/>
    </row>
    <row r="153" spans="1:19" ht="17.25" thickBot="1">
      <c r="A153" s="109" t="s">
        <v>238</v>
      </c>
      <c r="B153" s="110">
        <v>552</v>
      </c>
      <c r="C153" s="70">
        <v>-3.6649214700000002E-2</v>
      </c>
      <c r="D153" s="15">
        <v>567</v>
      </c>
      <c r="E153" s="32">
        <f t="shared" ref="E153:E156" si="78">IF(ISNUMBER(D153), (D153 - $B153) / $B153, "")</f>
        <v>2.717391304347826E-2</v>
      </c>
      <c r="F153" s="18">
        <f>IF(ISNUMBER(D153), $B172 * E153, "")</f>
        <v>4076.086956521739</v>
      </c>
      <c r="G153" s="31">
        <v>567</v>
      </c>
      <c r="H153" s="32">
        <f t="shared" ref="H153:H156" si="79">IF(ISNUMBER(G153), (G153 - $B153) / $B153, "")</f>
        <v>2.717391304347826E-2</v>
      </c>
      <c r="I153" s="91">
        <f>IF(ISNUMBER(G153), $B172 * H153, "")</f>
        <v>4076.086956521739</v>
      </c>
      <c r="J153" s="15">
        <v>570</v>
      </c>
      <c r="K153" s="32">
        <f t="shared" ref="K153:K156" si="80">IF(ISNUMBER(J153), (J153 - $B153) / $B153, "")</f>
        <v>3.2608695652173912E-2</v>
      </c>
      <c r="L153" s="18">
        <f>IF(ISNUMBER(J153), $B172 * K153, "")</f>
        <v>4891.304347826087</v>
      </c>
      <c r="M153" s="31">
        <v>565</v>
      </c>
      <c r="N153" s="32">
        <f t="shared" ref="N153:N156" si="81">IF(ISNUMBER(M153), (M153 - $B153) / $B153, "")</f>
        <v>2.355072463768116E-2</v>
      </c>
      <c r="O153" s="18">
        <f>IF(ISNUMBER(M153), $B172 * N153, "")</f>
        <v>3532.608695652174</v>
      </c>
      <c r="Q153" s="156"/>
      <c r="R153" s="156"/>
      <c r="S153" s="156"/>
    </row>
    <row r="154" spans="1:19" ht="17.25" thickBot="1">
      <c r="A154" s="109" t="s">
        <v>214</v>
      </c>
      <c r="B154" s="110">
        <v>923</v>
      </c>
      <c r="C154" s="70">
        <v>-3.8541666699999998E-2</v>
      </c>
      <c r="D154" s="15">
        <v>952</v>
      </c>
      <c r="E154" s="32">
        <f t="shared" si="78"/>
        <v>3.1419284940411699E-2</v>
      </c>
      <c r="F154" s="18">
        <f>IF(ISNUMBER(D154), $B172 * E154, "")</f>
        <v>4712.8927410617544</v>
      </c>
      <c r="G154" s="31">
        <v>952</v>
      </c>
      <c r="H154" s="32">
        <f t="shared" si="79"/>
        <v>3.1419284940411699E-2</v>
      </c>
      <c r="I154" s="91">
        <f>IF(ISNUMBER(G154), $B172 * H154, "")</f>
        <v>4712.8927410617544</v>
      </c>
      <c r="J154" s="15">
        <v>954</v>
      </c>
      <c r="K154" s="32">
        <f t="shared" si="80"/>
        <v>3.3586132177681471E-2</v>
      </c>
      <c r="L154" s="18">
        <f>IF(ISNUMBER(J154), $B172 * K154, "")</f>
        <v>5037.9198266522208</v>
      </c>
      <c r="M154" s="31">
        <v>953</v>
      </c>
      <c r="N154" s="32">
        <f t="shared" si="81"/>
        <v>3.2502708559046585E-2</v>
      </c>
      <c r="O154" s="18">
        <f>IF(ISNUMBER(M154), $B172 * N154, "")</f>
        <v>4875.406283856988</v>
      </c>
      <c r="Q154" s="161"/>
      <c r="R154" s="161"/>
      <c r="S154" s="161"/>
    </row>
    <row r="155" spans="1:19" ht="17.25" thickBot="1">
      <c r="A155" s="109" t="s">
        <v>234</v>
      </c>
      <c r="B155" s="110">
        <v>342</v>
      </c>
      <c r="C155" s="70">
        <v>-3.9325842700000002E-2</v>
      </c>
      <c r="D155" s="15">
        <v>370</v>
      </c>
      <c r="E155" s="32">
        <f t="shared" si="78"/>
        <v>8.1871345029239762E-2</v>
      </c>
      <c r="F155" s="18">
        <f>IF(ISNUMBER(D155), $B172 * E155, "")</f>
        <v>12280.701754385964</v>
      </c>
      <c r="G155" s="31">
        <v>370</v>
      </c>
      <c r="H155" s="32">
        <f t="shared" si="79"/>
        <v>8.1871345029239762E-2</v>
      </c>
      <c r="I155" s="91">
        <f>IF(ISNUMBER(G155), $B172 * H155, "")</f>
        <v>12280.701754385964</v>
      </c>
      <c r="J155" s="15">
        <v>368</v>
      </c>
      <c r="K155" s="32">
        <f t="shared" si="80"/>
        <v>7.6023391812865493E-2</v>
      </c>
      <c r="L155" s="18">
        <f>IF(ISNUMBER(J155), $B172 * K155, "")</f>
        <v>11403.508771929824</v>
      </c>
      <c r="M155" s="31">
        <v>360</v>
      </c>
      <c r="N155" s="32">
        <f t="shared" si="81"/>
        <v>5.2631578947368418E-2</v>
      </c>
      <c r="O155" s="18">
        <f>IF(ISNUMBER(M155), $B172 * N155, "")</f>
        <v>7894.7368421052624</v>
      </c>
      <c r="Q155" s="161"/>
      <c r="R155" s="161"/>
      <c r="S155" s="161"/>
    </row>
    <row r="156" spans="1:19" ht="17.25" thickBot="1">
      <c r="A156" s="111" t="s">
        <v>222</v>
      </c>
      <c r="B156" s="112">
        <v>379</v>
      </c>
      <c r="C156" s="71">
        <v>-4.0506329100000002E-2</v>
      </c>
      <c r="D156" s="20">
        <v>382</v>
      </c>
      <c r="E156" s="21">
        <f t="shared" si="78"/>
        <v>7.9155672823219003E-3</v>
      </c>
      <c r="F156" s="22">
        <f>IF(ISNUMBER(D156), $B172 * E156, "")</f>
        <v>1187.3350923482851</v>
      </c>
      <c r="G156" s="30">
        <v>382</v>
      </c>
      <c r="H156" s="21">
        <f t="shared" si="79"/>
        <v>7.9155672823219003E-3</v>
      </c>
      <c r="I156" s="95">
        <f>IF(ISNUMBER(G156), $B172 * H156, "")</f>
        <v>1187.3350923482851</v>
      </c>
      <c r="J156" s="20">
        <v>382</v>
      </c>
      <c r="K156" s="21">
        <f t="shared" si="80"/>
        <v>7.9155672823219003E-3</v>
      </c>
      <c r="L156" s="22">
        <f>IF(ISNUMBER(J156), $B172 * K156, "")</f>
        <v>1187.3350923482851</v>
      </c>
      <c r="M156" s="30">
        <v>378</v>
      </c>
      <c r="N156" s="21">
        <f t="shared" si="81"/>
        <v>-2.6385224274406332E-3</v>
      </c>
      <c r="O156" s="22">
        <f>IF(ISNUMBER(M156), $B172 * N156, "")</f>
        <v>-395.77836411609496</v>
      </c>
      <c r="Q156" s="161"/>
      <c r="R156" s="161"/>
      <c r="S156" s="161"/>
    </row>
    <row r="157" spans="1:19" ht="17.25" thickBot="1">
      <c r="A157" s="109" t="s">
        <v>153</v>
      </c>
      <c r="B157" s="113">
        <v>355</v>
      </c>
      <c r="C157" s="73">
        <v>-4.05405405E-2</v>
      </c>
      <c r="D157" s="96">
        <v>358</v>
      </c>
      <c r="E157" s="97">
        <f>IF(ISNUMBER(D157), (D157 - $B157) / $B157, "")</f>
        <v>8.4507042253521118E-3</v>
      </c>
      <c r="F157" s="98">
        <f>IF(ISNUMBER(D157), $B172 * E157, "")</f>
        <v>1267.6056338028168</v>
      </c>
      <c r="G157" s="99">
        <v>358</v>
      </c>
      <c r="H157" s="97">
        <f>IF(ISNUMBER(G157), (G157 - $B157) / $B157, "")</f>
        <v>8.4507042253521118E-3</v>
      </c>
      <c r="I157" s="100">
        <f>IF(ISNUMBER(G157), $B172 * H157, "")</f>
        <v>1267.6056338028168</v>
      </c>
      <c r="J157" s="96">
        <v>361</v>
      </c>
      <c r="K157" s="97">
        <f>IF(ISNUMBER(J157), (J157 - $B157) / $B157, "")</f>
        <v>1.6901408450704224E-2</v>
      </c>
      <c r="L157" s="98">
        <f>IF(ISNUMBER(J157), $B172 * K157, "")</f>
        <v>2535.2112676056336</v>
      </c>
      <c r="M157" s="99">
        <v>357</v>
      </c>
      <c r="N157" s="97">
        <f>IF(ISNUMBER(M157), (M157 - $B157) / $B157, "")</f>
        <v>5.6338028169014088E-3</v>
      </c>
      <c r="O157" s="98">
        <f>IF(ISNUMBER(M157), $B172 * N157, "")</f>
        <v>845.07042253521126</v>
      </c>
      <c r="Q157" s="161"/>
      <c r="R157" s="161"/>
      <c r="S157" s="161"/>
    </row>
    <row r="158" spans="1:19" ht="17.25" thickBot="1">
      <c r="A158" s="109" t="s">
        <v>116</v>
      </c>
      <c r="B158" s="110">
        <v>955</v>
      </c>
      <c r="C158" s="70">
        <v>-4.21263791E-2</v>
      </c>
      <c r="D158" s="15">
        <v>970</v>
      </c>
      <c r="E158" s="32">
        <f t="shared" ref="E158:E161" si="82">IF(ISNUMBER(D158), (D158 - $B158) / $B158, "")</f>
        <v>1.5706806282722512E-2</v>
      </c>
      <c r="F158" s="18">
        <f>IF(ISNUMBER(D158), $B172 * E158, "")</f>
        <v>2356.0209424083769</v>
      </c>
      <c r="G158" s="31">
        <v>970</v>
      </c>
      <c r="H158" s="32">
        <f t="shared" ref="H158:H161" si="83">IF(ISNUMBER(G158), (G158 - $B158) / $B158, "")</f>
        <v>1.5706806282722512E-2</v>
      </c>
      <c r="I158" s="91">
        <f>IF(ISNUMBER(G158), $B172 * H158, "")</f>
        <v>2356.0209424083769</v>
      </c>
      <c r="J158" s="15">
        <v>977</v>
      </c>
      <c r="K158" s="32">
        <f t="shared" ref="K158:K161" si="84">IF(ISNUMBER(J158), (J158 - $B158) / $B158, "")</f>
        <v>2.3036649214659685E-2</v>
      </c>
      <c r="L158" s="18">
        <f>IF(ISNUMBER(J158), $B172 * K158, "")</f>
        <v>3455.4973821989529</v>
      </c>
      <c r="M158" s="31">
        <v>968</v>
      </c>
      <c r="N158" s="32">
        <f t="shared" ref="N158:N161" si="85">IF(ISNUMBER(M158), (M158 - $B158) / $B158, "")</f>
        <v>1.3612565445026177E-2</v>
      </c>
      <c r="O158" s="18">
        <f>IF(ISNUMBER(M158), $B172 * N158, "")</f>
        <v>2041.8848167539265</v>
      </c>
      <c r="Q158" s="161"/>
      <c r="R158" s="161"/>
      <c r="S158" s="161"/>
    </row>
    <row r="159" spans="1:19" ht="17.25" thickBot="1">
      <c r="A159" s="109" t="s">
        <v>226</v>
      </c>
      <c r="B159" s="110">
        <v>202</v>
      </c>
      <c r="C159" s="70">
        <v>-4.2654028400000002E-2</v>
      </c>
      <c r="D159" s="15">
        <v>206</v>
      </c>
      <c r="E159" s="32">
        <f t="shared" si="82"/>
        <v>1.9801980198019802E-2</v>
      </c>
      <c r="F159" s="18">
        <f>IF(ISNUMBER(D159), $B172 * E159, "")</f>
        <v>2970.2970297029701</v>
      </c>
      <c r="G159" s="31">
        <v>206</v>
      </c>
      <c r="H159" s="32">
        <f t="shared" si="83"/>
        <v>1.9801980198019802E-2</v>
      </c>
      <c r="I159" s="91">
        <f>IF(ISNUMBER(G159), $B172 * H159, "")</f>
        <v>2970.2970297029701</v>
      </c>
      <c r="J159" s="15">
        <v>206</v>
      </c>
      <c r="K159" s="32">
        <f t="shared" si="84"/>
        <v>1.9801980198019802E-2</v>
      </c>
      <c r="L159" s="18">
        <f>IF(ISNUMBER(J159), $B172 * K159, "")</f>
        <v>2970.2970297029701</v>
      </c>
      <c r="M159" s="31">
        <v>207</v>
      </c>
      <c r="N159" s="32">
        <f t="shared" si="85"/>
        <v>2.4752475247524754E-2</v>
      </c>
      <c r="O159" s="18">
        <f>IF(ISNUMBER(M159), $B172 * N159, "")</f>
        <v>3712.871287128713</v>
      </c>
      <c r="Q159" s="161"/>
      <c r="R159" s="161"/>
      <c r="S159" s="161"/>
    </row>
    <row r="160" spans="1:19" ht="17.25" thickBot="1">
      <c r="A160" s="109" t="s">
        <v>183</v>
      </c>
      <c r="B160" s="110">
        <v>124</v>
      </c>
      <c r="C160" s="70">
        <v>-4.6153846200000001E-2</v>
      </c>
      <c r="D160" s="15">
        <v>125</v>
      </c>
      <c r="E160" s="32">
        <f t="shared" si="82"/>
        <v>8.0645161290322578E-3</v>
      </c>
      <c r="F160" s="18">
        <f>IF(ISNUMBER(D160), $B172 * E160, "")</f>
        <v>1209.6774193548388</v>
      </c>
      <c r="G160" s="31">
        <v>125</v>
      </c>
      <c r="H160" s="32">
        <f t="shared" si="83"/>
        <v>8.0645161290322578E-3</v>
      </c>
      <c r="I160" s="91">
        <f>IF(ISNUMBER(G160), $B172 * H160, "")</f>
        <v>1209.6774193548388</v>
      </c>
      <c r="J160" s="15">
        <v>128</v>
      </c>
      <c r="K160" s="32">
        <f t="shared" si="84"/>
        <v>3.2258064516129031E-2</v>
      </c>
      <c r="L160" s="18">
        <f>IF(ISNUMBER(J160), $B172 * K160, "")</f>
        <v>4838.7096774193551</v>
      </c>
      <c r="M160" s="31">
        <v>126</v>
      </c>
      <c r="N160" s="32">
        <f t="shared" si="85"/>
        <v>1.6129032258064516E-2</v>
      </c>
      <c r="O160" s="18">
        <f>IF(ISNUMBER(M160), $B172 * N160, "")</f>
        <v>2419.3548387096776</v>
      </c>
      <c r="Q160" s="33"/>
      <c r="R160" s="33"/>
    </row>
    <row r="161" spans="1:19" ht="17.25" thickBot="1">
      <c r="A161" s="114" t="s">
        <v>68</v>
      </c>
      <c r="B161" s="115">
        <v>268</v>
      </c>
      <c r="C161" s="72">
        <v>-4.62633452E-2</v>
      </c>
      <c r="D161" s="24">
        <v>272</v>
      </c>
      <c r="E161" s="25">
        <f t="shared" si="82"/>
        <v>1.4925373134328358E-2</v>
      </c>
      <c r="F161" s="94">
        <f>IF(ISNUMBER(D161), $B172 * E161, "")</f>
        <v>2238.8059701492539</v>
      </c>
      <c r="G161" s="92">
        <v>272</v>
      </c>
      <c r="H161" s="25">
        <f t="shared" si="83"/>
        <v>1.4925373134328358E-2</v>
      </c>
      <c r="I161" s="93">
        <f>IF(ISNUMBER(G161), $B172 * H161, "")</f>
        <v>2238.8059701492539</v>
      </c>
      <c r="J161" s="24">
        <v>271</v>
      </c>
      <c r="K161" s="25">
        <f t="shared" si="84"/>
        <v>1.1194029850746268E-2</v>
      </c>
      <c r="L161" s="94">
        <f>IF(ISNUMBER(J161), $B172 * K161, "")</f>
        <v>1679.1044776119402</v>
      </c>
      <c r="M161" s="92">
        <v>267</v>
      </c>
      <c r="N161" s="25">
        <f t="shared" si="85"/>
        <v>-3.7313432835820895E-3</v>
      </c>
      <c r="O161" s="94">
        <f>IF(ISNUMBER(M161), $B172 * N161, "")</f>
        <v>-559.70149253731347</v>
      </c>
      <c r="Q161" s="170"/>
      <c r="R161" s="171"/>
      <c r="S161" s="172"/>
    </row>
    <row r="162" spans="1:19">
      <c r="A162" s="107" t="s">
        <v>159</v>
      </c>
      <c r="B162" s="108">
        <v>163</v>
      </c>
      <c r="C162" s="69">
        <v>-4.6783625699999998E-2</v>
      </c>
      <c r="D162" s="13">
        <v>162</v>
      </c>
      <c r="E162" s="14">
        <f>IF(ISNUMBER(D162), (D162 - $B162) / $B162, "")</f>
        <v>-6.1349693251533744E-3</v>
      </c>
      <c r="F162" s="16">
        <f>IF(ISNUMBER(D162), $B172 * E162, "")</f>
        <v>-920.24539877300617</v>
      </c>
      <c r="G162" s="29">
        <v>162</v>
      </c>
      <c r="H162" s="14">
        <f>IF(ISNUMBER(G162), (G162 - $B162) / $B162, "")</f>
        <v>-6.1349693251533744E-3</v>
      </c>
      <c r="I162" s="90">
        <f>IF(ISNUMBER(G162), $B172 * H162, "")</f>
        <v>-920.24539877300617</v>
      </c>
      <c r="J162" s="13">
        <v>163</v>
      </c>
      <c r="K162" s="14">
        <f>IF(ISNUMBER(J162), (J162 - $B162) / $B162, "")</f>
        <v>0</v>
      </c>
      <c r="L162" s="16">
        <f>IF(ISNUMBER(J162), $B172 * K162, "")</f>
        <v>0</v>
      </c>
      <c r="M162" s="29">
        <v>161</v>
      </c>
      <c r="N162" s="14">
        <f>IF(ISNUMBER(M162), (M162 - $B162) / $B162, "")</f>
        <v>-1.2269938650306749E-2</v>
      </c>
      <c r="O162" s="16">
        <f>IF(ISNUMBER(M162), $B172 * N162, "")</f>
        <v>-1840.4907975460123</v>
      </c>
      <c r="Q162" s="173"/>
      <c r="R162" s="174"/>
      <c r="S162" s="175"/>
    </row>
    <row r="163" spans="1:19" ht="17.25" thickBot="1">
      <c r="A163" s="109" t="s">
        <v>85</v>
      </c>
      <c r="B163" s="110">
        <v>155</v>
      </c>
      <c r="C163" s="70">
        <v>-4.9079754599999997E-2</v>
      </c>
      <c r="D163" s="15">
        <v>154</v>
      </c>
      <c r="E163" s="32">
        <f t="shared" ref="E163:E166" si="86">IF(ISNUMBER(D163), (D163 - $B163) / $B163, "")</f>
        <v>-6.4516129032258064E-3</v>
      </c>
      <c r="F163" s="18">
        <f>IF(ISNUMBER(D163), $B172 * E163, "")</f>
        <v>-967.74193548387098</v>
      </c>
      <c r="G163" s="31">
        <v>154</v>
      </c>
      <c r="H163" s="32">
        <f t="shared" ref="H163:H166" si="87">IF(ISNUMBER(G163), (G163 - $B163) / $B163, "")</f>
        <v>-6.4516129032258064E-3</v>
      </c>
      <c r="I163" s="91">
        <f>IF(ISNUMBER(G163), $B172 * H163, "")</f>
        <v>-967.74193548387098</v>
      </c>
      <c r="J163" s="15">
        <v>161</v>
      </c>
      <c r="K163" s="32">
        <f t="shared" ref="K163:K166" si="88">IF(ISNUMBER(J163), (J163 - $B163) / $B163, "")</f>
        <v>3.870967741935484E-2</v>
      </c>
      <c r="L163" s="18">
        <f>IF(ISNUMBER(J163), $B172 * K163, "")</f>
        <v>5806.4516129032263</v>
      </c>
      <c r="M163" s="31">
        <v>157</v>
      </c>
      <c r="N163" s="32">
        <f t="shared" ref="N163:N166" si="89">IF(ISNUMBER(M163), (M163 - $B163) / $B163, "")</f>
        <v>1.2903225806451613E-2</v>
      </c>
      <c r="O163" s="18">
        <f>IF(ISNUMBER(M163), $B172 * N163, "")</f>
        <v>1935.483870967742</v>
      </c>
      <c r="Q163" s="176"/>
      <c r="R163" s="177"/>
      <c r="S163" s="178"/>
    </row>
    <row r="164" spans="1:19" ht="17.25" thickBot="1">
      <c r="A164" s="109" t="s">
        <v>161</v>
      </c>
      <c r="B164" s="110">
        <v>307</v>
      </c>
      <c r="C164" s="70">
        <v>-5.2469135799999997E-2</v>
      </c>
      <c r="D164" s="15">
        <v>309</v>
      </c>
      <c r="E164" s="32">
        <f t="shared" si="86"/>
        <v>6.5146579804560263E-3</v>
      </c>
      <c r="F164" s="18">
        <f>IF(ISNUMBER(D164), $B172 * E164, "")</f>
        <v>977.19869706840393</v>
      </c>
      <c r="G164" s="31">
        <v>309</v>
      </c>
      <c r="H164" s="32">
        <f t="shared" si="87"/>
        <v>6.5146579804560263E-3</v>
      </c>
      <c r="I164" s="91">
        <f>IF(ISNUMBER(G164), $B172 * H164, "")</f>
        <v>977.19869706840393</v>
      </c>
      <c r="J164" s="15">
        <v>310</v>
      </c>
      <c r="K164" s="32">
        <f t="shared" si="88"/>
        <v>9.7719869706840382E-3</v>
      </c>
      <c r="L164" s="18">
        <f>IF(ISNUMBER(J164), $B172 * K164, "")</f>
        <v>1465.7980456026057</v>
      </c>
      <c r="M164" s="31">
        <v>307</v>
      </c>
      <c r="N164" s="32">
        <f t="shared" si="89"/>
        <v>0</v>
      </c>
      <c r="O164" s="18">
        <f>IF(ISNUMBER(M164), $B172 * N164, "")</f>
        <v>0</v>
      </c>
      <c r="Q164" s="161"/>
      <c r="R164" s="161"/>
      <c r="S164" s="161"/>
    </row>
    <row r="165" spans="1:19" ht="17.25" thickBot="1">
      <c r="A165" s="109" t="s">
        <v>204</v>
      </c>
      <c r="B165" s="110">
        <v>222</v>
      </c>
      <c r="C165" s="70">
        <v>-5.5319148899999997E-2</v>
      </c>
      <c r="D165" s="15">
        <v>224</v>
      </c>
      <c r="E165" s="32">
        <f t="shared" si="86"/>
        <v>9.0090090090090089E-3</v>
      </c>
      <c r="F165" s="18">
        <f>IF(ISNUMBER(D165), $B172 * E165, "")</f>
        <v>1351.3513513513512</v>
      </c>
      <c r="G165" s="31">
        <v>224</v>
      </c>
      <c r="H165" s="32">
        <f t="shared" si="87"/>
        <v>9.0090090090090089E-3</v>
      </c>
      <c r="I165" s="91">
        <f>IF(ISNUMBER(G165), $B172 * H165, "")</f>
        <v>1351.3513513513512</v>
      </c>
      <c r="J165" s="15">
        <v>224</v>
      </c>
      <c r="K165" s="32">
        <f t="shared" si="88"/>
        <v>9.0090090090090089E-3</v>
      </c>
      <c r="L165" s="18">
        <f>IF(ISNUMBER(J165), $B172 * K165, "")</f>
        <v>1351.3513513513512</v>
      </c>
      <c r="M165" s="31">
        <v>222</v>
      </c>
      <c r="N165" s="32">
        <f t="shared" si="89"/>
        <v>0</v>
      </c>
      <c r="O165" s="18">
        <f>IF(ISNUMBER(M165), $B172 * N165, "")</f>
        <v>0</v>
      </c>
      <c r="Q165" s="156"/>
      <c r="R165" s="156"/>
      <c r="S165" s="156"/>
    </row>
    <row r="166" spans="1:19" ht="17.25" thickBot="1">
      <c r="A166" s="111" t="s">
        <v>120</v>
      </c>
      <c r="B166" s="112">
        <v>117</v>
      </c>
      <c r="C166" s="71">
        <v>-5.6451612900000003E-2</v>
      </c>
      <c r="D166" s="20">
        <v>117</v>
      </c>
      <c r="E166" s="21">
        <f t="shared" si="86"/>
        <v>0</v>
      </c>
      <c r="F166" s="22">
        <f>IF(ISNUMBER(D166), $B172 * E166, "")</f>
        <v>0</v>
      </c>
      <c r="G166" s="30">
        <v>117</v>
      </c>
      <c r="H166" s="21">
        <f t="shared" si="87"/>
        <v>0</v>
      </c>
      <c r="I166" s="95">
        <f>IF(ISNUMBER(G166), $B172 * H166, "")</f>
        <v>0</v>
      </c>
      <c r="J166" s="20">
        <v>117</v>
      </c>
      <c r="K166" s="21">
        <f t="shared" si="88"/>
        <v>0</v>
      </c>
      <c r="L166" s="22">
        <f>IF(ISNUMBER(J166), $B172 * K166, "")</f>
        <v>0</v>
      </c>
      <c r="M166" s="30">
        <v>118</v>
      </c>
      <c r="N166" s="21">
        <f t="shared" si="89"/>
        <v>8.5470085470085479E-3</v>
      </c>
      <c r="O166" s="22">
        <f>IF(ISNUMBER(M166), $B172 * N166, "")</f>
        <v>1282.0512820512822</v>
      </c>
      <c r="Q166" s="156"/>
      <c r="R166" s="156"/>
      <c r="S166" s="156"/>
    </row>
    <row r="167" spans="1:19" ht="17.25" thickBot="1">
      <c r="A167" s="109" t="s">
        <v>157</v>
      </c>
      <c r="B167" s="113">
        <v>162</v>
      </c>
      <c r="C167" s="73">
        <v>-5.8139534899999998E-2</v>
      </c>
      <c r="D167" s="96">
        <v>165</v>
      </c>
      <c r="E167" s="97">
        <f>IF(ISNUMBER(D167), (D167 - $B167) / $B167, "")</f>
        <v>1.8518518518518517E-2</v>
      </c>
      <c r="F167" s="98">
        <f>IF(ISNUMBER(D167), $B172 * E167, "")</f>
        <v>2777.7777777777778</v>
      </c>
      <c r="G167" s="99">
        <v>165</v>
      </c>
      <c r="H167" s="97">
        <f>IF(ISNUMBER(G167), (G167 - $B167) / $B167, "")</f>
        <v>1.8518518518518517E-2</v>
      </c>
      <c r="I167" s="100">
        <f>IF(ISNUMBER(G167), $B172 * H167, "")</f>
        <v>2777.7777777777778</v>
      </c>
      <c r="J167" s="96">
        <v>169</v>
      </c>
      <c r="K167" s="97">
        <f>IF(ISNUMBER(J167), (J167 - $B167) / $B167, "")</f>
        <v>4.3209876543209874E-2</v>
      </c>
      <c r="L167" s="98">
        <f>IF(ISNUMBER(J167), $B172 * K167, "")</f>
        <v>6481.4814814814808</v>
      </c>
      <c r="M167" s="99">
        <v>166</v>
      </c>
      <c r="N167" s="97">
        <f>IF(ISNUMBER(M167), (M167 - $B167) / $B167, "")</f>
        <v>2.4691358024691357E-2</v>
      </c>
      <c r="O167" s="98">
        <f>IF(ISNUMBER(M167), $B172 * N167, "")</f>
        <v>3703.7037037037035</v>
      </c>
      <c r="Q167" s="161"/>
      <c r="R167" s="161"/>
      <c r="S167" s="161"/>
    </row>
    <row r="168" spans="1:19" ht="17.25" thickBot="1">
      <c r="A168" s="109" t="s">
        <v>346</v>
      </c>
      <c r="B168" s="110">
        <v>394</v>
      </c>
      <c r="C168" s="70">
        <v>-5.9665871099999997E-2</v>
      </c>
      <c r="D168" s="15">
        <v>389</v>
      </c>
      <c r="E168" s="32">
        <f t="shared" ref="E168:E171" si="90">IF(ISNUMBER(D168), (D168 - $B168) / $B168, "")</f>
        <v>-1.2690355329949238E-2</v>
      </c>
      <c r="F168" s="18">
        <f>IF(ISNUMBER(D168), $B172 * E168, "")</f>
        <v>-1903.5532994923858</v>
      </c>
      <c r="G168" s="31">
        <v>389</v>
      </c>
      <c r="H168" s="32">
        <f t="shared" ref="H168:H171" si="91">IF(ISNUMBER(G168), (G168 - $B168) / $B168, "")</f>
        <v>-1.2690355329949238E-2</v>
      </c>
      <c r="I168" s="91">
        <f>IF(ISNUMBER(G168), $B172 * H168, "")</f>
        <v>-1903.5532994923858</v>
      </c>
      <c r="J168" s="15">
        <v>393</v>
      </c>
      <c r="K168" s="32">
        <f t="shared" ref="K168:K171" si="92">IF(ISNUMBER(J168), (J168 - $B168) / $B168, "")</f>
        <v>-2.5380710659898475E-3</v>
      </c>
      <c r="L168" s="18">
        <f>IF(ISNUMBER(J168), $B172 * K168, "")</f>
        <v>-380.7106598984771</v>
      </c>
      <c r="M168" s="31">
        <v>388</v>
      </c>
      <c r="N168" s="32">
        <f t="shared" ref="N168:N171" si="93">IF(ISNUMBER(M168), (M168 - $B168) / $B168, "")</f>
        <v>-1.5228426395939087E-2</v>
      </c>
      <c r="O168" s="18">
        <f>IF(ISNUMBER(M168), $B172 * N168, "")</f>
        <v>-2284.263959390863</v>
      </c>
      <c r="Q168" s="161"/>
      <c r="R168" s="161"/>
      <c r="S168" s="161"/>
    </row>
    <row r="169" spans="1:19" ht="17.25" thickBot="1">
      <c r="A169" s="109" t="s">
        <v>232</v>
      </c>
      <c r="B169" s="110">
        <v>252</v>
      </c>
      <c r="C169" s="70">
        <v>-5.9701492500000002E-2</v>
      </c>
      <c r="D169" s="15">
        <v>256</v>
      </c>
      <c r="E169" s="32">
        <f t="shared" si="90"/>
        <v>1.5873015873015872E-2</v>
      </c>
      <c r="F169" s="18">
        <f>IF(ISNUMBER(D169), $B172 * E169, "")</f>
        <v>2380.9523809523807</v>
      </c>
      <c r="G169" s="31">
        <v>256</v>
      </c>
      <c r="H169" s="32">
        <f t="shared" si="91"/>
        <v>1.5873015873015872E-2</v>
      </c>
      <c r="I169" s="91">
        <f>IF(ISNUMBER(G169), $B172 * H169, "")</f>
        <v>2380.9523809523807</v>
      </c>
      <c r="J169" s="15">
        <v>257</v>
      </c>
      <c r="K169" s="32">
        <f t="shared" si="92"/>
        <v>1.984126984126984E-2</v>
      </c>
      <c r="L169" s="18">
        <f>IF(ISNUMBER(J169), $B172 * K169, "")</f>
        <v>2976.1904761904761</v>
      </c>
      <c r="M169" s="31">
        <v>257</v>
      </c>
      <c r="N169" s="32">
        <f t="shared" si="93"/>
        <v>1.984126984126984E-2</v>
      </c>
      <c r="O169" s="18">
        <f>IF(ISNUMBER(M169), $B172 * N169, "")</f>
        <v>2976.1904761904761</v>
      </c>
      <c r="Q169" s="161"/>
      <c r="R169" s="161"/>
      <c r="S169" s="161"/>
    </row>
    <row r="170" spans="1:19">
      <c r="A170" s="109" t="s">
        <v>352</v>
      </c>
      <c r="B170" s="110">
        <v>197</v>
      </c>
      <c r="C170" s="70">
        <v>-6.1904761900000001E-2</v>
      </c>
      <c r="D170" s="15">
        <v>195</v>
      </c>
      <c r="E170" s="32">
        <f t="shared" si="90"/>
        <v>-1.015228426395939E-2</v>
      </c>
      <c r="F170" s="18">
        <f>IF(ISNUMBER(D170), $B172 * E170, "")</f>
        <v>-1522.8426395939084</v>
      </c>
      <c r="G170" s="31">
        <v>195</v>
      </c>
      <c r="H170" s="32">
        <f t="shared" si="91"/>
        <v>-1.015228426395939E-2</v>
      </c>
      <c r="I170" s="91">
        <f>IF(ISNUMBER(G170), $B172 * H170, "")</f>
        <v>-1522.8426395939084</v>
      </c>
      <c r="J170" s="15">
        <v>195</v>
      </c>
      <c r="K170" s="32">
        <f t="shared" si="92"/>
        <v>-1.015228426395939E-2</v>
      </c>
      <c r="L170" s="18">
        <f>IF(ISNUMBER(J170), $B172 * K170, "")</f>
        <v>-1522.8426395939084</v>
      </c>
      <c r="M170" s="31">
        <v>193</v>
      </c>
      <c r="N170" s="32">
        <f t="shared" si="93"/>
        <v>-2.030456852791878E-2</v>
      </c>
      <c r="O170" s="18">
        <f>IF(ISNUMBER(M170), $B172 * N170, "")</f>
        <v>-3045.6852791878168</v>
      </c>
      <c r="Q170" s="183"/>
      <c r="R170" s="184"/>
      <c r="S170" s="185"/>
    </row>
    <row r="171" spans="1:19" ht="17.25" thickBot="1">
      <c r="A171" s="114" t="s">
        <v>349</v>
      </c>
      <c r="B171" s="115">
        <v>672</v>
      </c>
      <c r="C171" s="72">
        <v>-7.5653369999999998E-2</v>
      </c>
      <c r="D171" s="24">
        <v>685</v>
      </c>
      <c r="E171" s="25">
        <f t="shared" si="90"/>
        <v>1.9345238095238096E-2</v>
      </c>
      <c r="F171" s="94">
        <f>IF(ISNUMBER(D171), $B172 * E171, "")</f>
        <v>2901.7857142857142</v>
      </c>
      <c r="G171" s="92">
        <v>685</v>
      </c>
      <c r="H171" s="25">
        <f t="shared" si="91"/>
        <v>1.9345238095238096E-2</v>
      </c>
      <c r="I171" s="93">
        <f>IF(ISNUMBER(G171), $B172 * H171, "")</f>
        <v>2901.7857142857142</v>
      </c>
      <c r="J171" s="24">
        <v>692</v>
      </c>
      <c r="K171" s="25">
        <f t="shared" si="92"/>
        <v>2.976190476190476E-2</v>
      </c>
      <c r="L171" s="94">
        <f>IF(ISNUMBER(J171), $B172 * K171, "")</f>
        <v>4464.2857142857138</v>
      </c>
      <c r="M171" s="92">
        <v>692</v>
      </c>
      <c r="N171" s="25">
        <f t="shared" si="93"/>
        <v>2.976190476190476E-2</v>
      </c>
      <c r="O171" s="94">
        <f>IF(ISNUMBER(M171), $B172 * N171, "")</f>
        <v>4464.2857142857138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1.3644476073908918E-2</v>
      </c>
      <c r="F172" s="28">
        <f>SUM(F152:F171)</f>
        <v>40933.428221726768</v>
      </c>
      <c r="G172" s="26" t="s">
        <v>261</v>
      </c>
      <c r="H172" s="27">
        <f>IF(COUNT(H152:H171), SUM(H152:H171) / COUNT(H152:H171), 0)</f>
        <v>1.3644476073908918E-2</v>
      </c>
      <c r="I172" s="28">
        <f>SUM(I152:I171)</f>
        <v>40933.428221726768</v>
      </c>
      <c r="J172" s="26" t="s">
        <v>261</v>
      </c>
      <c r="K172" s="27">
        <f>IF(COUNT(K152:K171), SUM(K152:K171) / COUNT(K152:K171), 0)</f>
        <v>2.0733405096505345E-2</v>
      </c>
      <c r="L172" s="28">
        <f>SUM(L152:L171)</f>
        <v>62200.21528951604</v>
      </c>
      <c r="M172" s="26" t="s">
        <v>261</v>
      </c>
      <c r="N172" s="27">
        <f>IF(COUNT(N152:N171), SUM(N152:N171) / COUNT(N152:N171), 0)</f>
        <v>1.1366700407506234E-2</v>
      </c>
      <c r="O172" s="28">
        <f>SUM(O152:O171)</f>
        <v>34100.101222518701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2022-12-18(일) 오전 00:00</v>
      </c>
      <c r="C177" s="199"/>
      <c r="D177" s="158" t="str">
        <f>TEXT($G$1, "[$-ko-KR]yyyy-mm-dd(ddd) ") &amp; "오후 14:00"</f>
        <v>2022-12-18(일) 오후 14:00</v>
      </c>
      <c r="E177" s="159"/>
      <c r="F177" s="160"/>
      <c r="G177" s="158" t="str">
        <f>TEXT($G$1, "[$-ko-KR]yyyy-mm-dd(ddd) ") &amp; "오후 19:00"</f>
        <v>2022-12-18(일) 오후 19:00</v>
      </c>
      <c r="H177" s="159"/>
      <c r="I177" s="160"/>
      <c r="J177" s="158" t="str">
        <f>TEXT($G$1, "[$-ko-KR]yyyy-mm-dd(ddd) ") &amp; "오후 21:00"</f>
        <v>2022-12-18(일) 오후 21:00</v>
      </c>
      <c r="K177" s="159"/>
      <c r="L177" s="160"/>
      <c r="M177" s="158" t="str">
        <f>TEXT($G$1+1, "[$-ko-KR]yyyy-mm-dd(ddd) ") &amp; "오전 00:00"</f>
        <v>2022-12-19(월)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68</v>
      </c>
      <c r="B179" s="108">
        <v>268</v>
      </c>
      <c r="C179" s="69">
        <v>-4.62633452E-2</v>
      </c>
      <c r="D179" s="13">
        <v>272</v>
      </c>
      <c r="E179" s="14">
        <f>IF(ISNUMBER(D179), (D179 - $B179) / $B179, "")</f>
        <v>1.4925373134328358E-2</v>
      </c>
      <c r="F179" s="16">
        <f>IF(ISNUMBER(D179), $B199 * E179, "")</f>
        <v>2238.8059701492539</v>
      </c>
      <c r="G179" s="29">
        <v>272</v>
      </c>
      <c r="H179" s="14">
        <f>IF(ISNUMBER(G179), (G179 - $B179) / $B179, "")</f>
        <v>1.4925373134328358E-2</v>
      </c>
      <c r="I179" s="90">
        <f>IF(ISNUMBER(G179), $B199 * H179, "")</f>
        <v>2238.8059701492539</v>
      </c>
      <c r="J179" s="13">
        <v>271</v>
      </c>
      <c r="K179" s="14">
        <f>IF(ISNUMBER(J179), (J179 - $B179) / $B179, "")</f>
        <v>1.1194029850746268E-2</v>
      </c>
      <c r="L179" s="16">
        <f>IF(ISNUMBER(J179), $B199 * K179, "")</f>
        <v>1679.1044776119402</v>
      </c>
      <c r="M179" s="29">
        <v>267</v>
      </c>
      <c r="N179" s="14">
        <f>IF(ISNUMBER(M179), (M179 - $B179) / $B179, "")</f>
        <v>-3.7313432835820895E-3</v>
      </c>
      <c r="O179" s="16">
        <f>IF(ISNUMBER(M179), $B199 * N179, "")</f>
        <v>-559.70149253731347</v>
      </c>
      <c r="Q179" s="156"/>
      <c r="R179" s="156"/>
      <c r="S179" s="156"/>
    </row>
    <row r="180" spans="1:19" ht="17.25" thickBot="1">
      <c r="A180" s="109" t="s">
        <v>159</v>
      </c>
      <c r="B180" s="110">
        <v>163</v>
      </c>
      <c r="C180" s="70">
        <v>-4.6783625699999998E-2</v>
      </c>
      <c r="D180" s="15">
        <v>162</v>
      </c>
      <c r="E180" s="32">
        <f t="shared" ref="E180:E183" si="94">IF(ISNUMBER(D180), (D180 - $B180) / $B180, "")</f>
        <v>-6.1349693251533744E-3</v>
      </c>
      <c r="F180" s="18">
        <f>IF(ISNUMBER(D180), $B199 * E180, "")</f>
        <v>-920.24539877300617</v>
      </c>
      <c r="G180" s="31">
        <v>162</v>
      </c>
      <c r="H180" s="32">
        <f t="shared" ref="H180:H183" si="95">IF(ISNUMBER(G180), (G180 - $B180) / $B180, "")</f>
        <v>-6.1349693251533744E-3</v>
      </c>
      <c r="I180" s="91">
        <f>IF(ISNUMBER(G180), $B199 * H180, "")</f>
        <v>-920.24539877300617</v>
      </c>
      <c r="J180" s="15">
        <v>163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161</v>
      </c>
      <c r="N180" s="32">
        <f t="shared" ref="N180:N183" si="97">IF(ISNUMBER(M180), (M180 - $B180) / $B180, "")</f>
        <v>-1.2269938650306749E-2</v>
      </c>
      <c r="O180" s="18">
        <f>IF(ISNUMBER(M180), $B199 * N180, "")</f>
        <v>-1840.4907975460123</v>
      </c>
      <c r="Q180" s="156"/>
      <c r="R180" s="156"/>
      <c r="S180" s="156"/>
    </row>
    <row r="181" spans="1:19" ht="17.25" thickBot="1">
      <c r="A181" s="109" t="s">
        <v>228</v>
      </c>
      <c r="B181" s="110">
        <v>54.4</v>
      </c>
      <c r="C181" s="70">
        <v>-4.8951049000000003E-2</v>
      </c>
      <c r="D181" s="15">
        <v>56</v>
      </c>
      <c r="E181" s="32">
        <f t="shared" si="94"/>
        <v>2.941176470588238E-2</v>
      </c>
      <c r="F181" s="18">
        <f>IF(ISNUMBER(D181), $B199 * E181, "")</f>
        <v>4411.7647058823568</v>
      </c>
      <c r="G181" s="31">
        <v>56</v>
      </c>
      <c r="H181" s="32">
        <f t="shared" si="95"/>
        <v>2.941176470588238E-2</v>
      </c>
      <c r="I181" s="91">
        <f>IF(ISNUMBER(G181), $B199 * H181, "")</f>
        <v>4411.7647058823568</v>
      </c>
      <c r="J181" s="15">
        <v>56.3</v>
      </c>
      <c r="K181" s="32">
        <f t="shared" si="96"/>
        <v>3.4926470588235267E-2</v>
      </c>
      <c r="L181" s="18">
        <f>IF(ISNUMBER(J181), $B199 * K181, "")</f>
        <v>5238.9705882352901</v>
      </c>
      <c r="M181" s="31">
        <v>55.6</v>
      </c>
      <c r="N181" s="32">
        <f t="shared" si="97"/>
        <v>2.2058823529411818E-2</v>
      </c>
      <c r="O181" s="18">
        <f>IF(ISNUMBER(M181), $B199 * N181, "")</f>
        <v>3308.8235294117726</v>
      </c>
      <c r="Q181" s="161"/>
      <c r="R181" s="161"/>
      <c r="S181" s="161"/>
    </row>
    <row r="182" spans="1:19" ht="17.25" thickBot="1">
      <c r="A182" s="109" t="s">
        <v>85</v>
      </c>
      <c r="B182" s="110">
        <v>155</v>
      </c>
      <c r="C182" s="70">
        <v>-4.9079754599999997E-2</v>
      </c>
      <c r="D182" s="15">
        <v>154</v>
      </c>
      <c r="E182" s="32">
        <f t="shared" si="94"/>
        <v>-6.4516129032258064E-3</v>
      </c>
      <c r="F182" s="18">
        <f>IF(ISNUMBER(D182), $B199 * E182, "")</f>
        <v>-967.74193548387098</v>
      </c>
      <c r="G182" s="31">
        <v>154</v>
      </c>
      <c r="H182" s="32">
        <f t="shared" si="95"/>
        <v>-6.4516129032258064E-3</v>
      </c>
      <c r="I182" s="91">
        <f>IF(ISNUMBER(G182), $B199 * H182, "")</f>
        <v>-967.74193548387098</v>
      </c>
      <c r="J182" s="15">
        <v>161</v>
      </c>
      <c r="K182" s="32">
        <f t="shared" si="96"/>
        <v>3.870967741935484E-2</v>
      </c>
      <c r="L182" s="18">
        <f>IF(ISNUMBER(J182), $B199 * K182, "")</f>
        <v>5806.4516129032263</v>
      </c>
      <c r="M182" s="31">
        <v>157</v>
      </c>
      <c r="N182" s="32">
        <f t="shared" si="97"/>
        <v>1.2903225806451613E-2</v>
      </c>
      <c r="O182" s="18">
        <f>IF(ISNUMBER(M182), $B199 * N182, "")</f>
        <v>1935.483870967742</v>
      </c>
      <c r="Q182" s="161"/>
      <c r="R182" s="161"/>
      <c r="S182" s="161"/>
    </row>
    <row r="183" spans="1:19" ht="17.25" thickBot="1">
      <c r="A183" s="111" t="s">
        <v>206</v>
      </c>
      <c r="B183" s="112">
        <v>3.22</v>
      </c>
      <c r="C183" s="71">
        <v>-5.0147492600000003E-2</v>
      </c>
      <c r="D183" s="20">
        <v>3.28</v>
      </c>
      <c r="E183" s="21">
        <f t="shared" si="94"/>
        <v>1.8633540372670686E-2</v>
      </c>
      <c r="F183" s="22">
        <f>IF(ISNUMBER(D183), $B199 * E183, "")</f>
        <v>2795.031055900603</v>
      </c>
      <c r="G183" s="30">
        <v>3.28</v>
      </c>
      <c r="H183" s="21">
        <f t="shared" si="95"/>
        <v>1.8633540372670686E-2</v>
      </c>
      <c r="I183" s="95">
        <f>IF(ISNUMBER(G183), $B199 * H183, "")</f>
        <v>2795.031055900603</v>
      </c>
      <c r="J183" s="20">
        <v>3.29</v>
      </c>
      <c r="K183" s="21">
        <f t="shared" si="96"/>
        <v>2.1739130434782556E-2</v>
      </c>
      <c r="L183" s="22">
        <f>IF(ISNUMBER(J183), $B199 * K183, "")</f>
        <v>3260.8695652173833</v>
      </c>
      <c r="M183" s="30">
        <v>3.26</v>
      </c>
      <c r="N183" s="21">
        <f t="shared" si="97"/>
        <v>1.2422360248447077E-2</v>
      </c>
      <c r="O183" s="22">
        <f>IF(ISNUMBER(M183), $B199 * N183, "")</f>
        <v>1863.3540372670616</v>
      </c>
      <c r="Q183" s="161"/>
      <c r="R183" s="161"/>
      <c r="S183" s="161"/>
    </row>
    <row r="184" spans="1:19" ht="17.25" thickBot="1">
      <c r="A184" s="109" t="s">
        <v>195</v>
      </c>
      <c r="B184" s="113">
        <v>5.86</v>
      </c>
      <c r="C184" s="73">
        <v>-5.0243111799999997E-2</v>
      </c>
      <c r="D184" s="96">
        <v>6.05</v>
      </c>
      <c r="E184" s="97">
        <f>IF(ISNUMBER(D184), (D184 - $B184) / $B184, "")</f>
        <v>3.2423208191126193E-2</v>
      </c>
      <c r="F184" s="98">
        <f>IF(ISNUMBER(D184), $B199 * E184, "")</f>
        <v>4863.4812286689294</v>
      </c>
      <c r="G184" s="99">
        <v>6.05</v>
      </c>
      <c r="H184" s="97">
        <f>IF(ISNUMBER(G184), (G184 - $B184) / $B184, "")</f>
        <v>3.2423208191126193E-2</v>
      </c>
      <c r="I184" s="100">
        <f>IF(ISNUMBER(G184), $B199 * H184, "")</f>
        <v>4863.4812286689294</v>
      </c>
      <c r="J184" s="96">
        <v>6.01</v>
      </c>
      <c r="K184" s="97">
        <f>IF(ISNUMBER(J184), (J184 - $B184) / $B184, "")</f>
        <v>2.5597269624573288E-2</v>
      </c>
      <c r="L184" s="98">
        <f>IF(ISNUMBER(J184), $B199 * K184, "")</f>
        <v>3839.5904436859933</v>
      </c>
      <c r="M184" s="99">
        <v>5.95</v>
      </c>
      <c r="N184" s="97">
        <f>IF(ISNUMBER(M184), (M184 - $B184) / $B184, "")</f>
        <v>1.5358361774744003E-2</v>
      </c>
      <c r="O184" s="98">
        <f>IF(ISNUMBER(M184), $B199 * N184, "")</f>
        <v>2303.7542662116002</v>
      </c>
      <c r="Q184" s="161"/>
      <c r="R184" s="161"/>
      <c r="S184" s="161"/>
    </row>
    <row r="185" spans="1:19" ht="17.25" thickBot="1">
      <c r="A185" s="109" t="s">
        <v>220</v>
      </c>
      <c r="B185" s="110">
        <v>63.3</v>
      </c>
      <c r="C185" s="70">
        <v>-5.0974512700000002E-2</v>
      </c>
      <c r="D185" s="15">
        <v>64.400000000000006</v>
      </c>
      <c r="E185" s="32">
        <f t="shared" ref="E185:E188" si="98">IF(ISNUMBER(D185), (D185 - $B185) / $B185, "")</f>
        <v>1.7377567140600451E-2</v>
      </c>
      <c r="F185" s="18">
        <f>IF(ISNUMBER(D185), $B199 * E185, "")</f>
        <v>2606.6350710900679</v>
      </c>
      <c r="G185" s="31">
        <v>64.400000000000006</v>
      </c>
      <c r="H185" s="32">
        <f t="shared" ref="H185:H188" si="99">IF(ISNUMBER(G185), (G185 - $B185) / $B185, "")</f>
        <v>1.7377567140600451E-2</v>
      </c>
      <c r="I185" s="91">
        <f>IF(ISNUMBER(G185), $B199 * H185, "")</f>
        <v>2606.6350710900679</v>
      </c>
      <c r="J185" s="15">
        <v>64.8</v>
      </c>
      <c r="K185" s="32">
        <f t="shared" ref="K185:K188" si="100">IF(ISNUMBER(J185), (J185 - $B185) / $B185, "")</f>
        <v>2.3696682464454978E-2</v>
      </c>
      <c r="L185" s="18">
        <f>IF(ISNUMBER(J185), $B199 * K185, "")</f>
        <v>3554.5023696682465</v>
      </c>
      <c r="M185" s="31">
        <v>64.5</v>
      </c>
      <c r="N185" s="32">
        <f t="shared" ref="N185:N188" si="101">IF(ISNUMBER(M185), (M185 - $B185) / $B185, "")</f>
        <v>1.8957345971564028E-2</v>
      </c>
      <c r="O185" s="18">
        <f>IF(ISNUMBER(M185), $B199 * N185, "")</f>
        <v>2843.6018957346041</v>
      </c>
      <c r="Q185" s="161"/>
      <c r="R185" s="161"/>
      <c r="S185" s="161"/>
    </row>
    <row r="186" spans="1:19" ht="17.25" thickBot="1">
      <c r="A186" s="109" t="s">
        <v>132</v>
      </c>
      <c r="B186" s="110">
        <v>47.5</v>
      </c>
      <c r="C186" s="70">
        <v>-5.1896207600000001E-2</v>
      </c>
      <c r="D186" s="15">
        <v>47.9</v>
      </c>
      <c r="E186" s="32">
        <f t="shared" si="98"/>
        <v>8.4210526315789177E-3</v>
      </c>
      <c r="F186" s="18">
        <f>IF(ISNUMBER(D186), $B199 * E186, "")</f>
        <v>1263.1578947368378</v>
      </c>
      <c r="G186" s="31">
        <v>47.9</v>
      </c>
      <c r="H186" s="32">
        <f t="shared" si="99"/>
        <v>8.4210526315789177E-3</v>
      </c>
      <c r="I186" s="91">
        <f>IF(ISNUMBER(G186), $B199 * H186, "")</f>
        <v>1263.1578947368378</v>
      </c>
      <c r="J186" s="15">
        <v>48.3</v>
      </c>
      <c r="K186" s="32">
        <f t="shared" si="100"/>
        <v>1.6842105263157835E-2</v>
      </c>
      <c r="L186" s="18">
        <f>IF(ISNUMBER(J186), $B199 * K186, "")</f>
        <v>2526.3157894736755</v>
      </c>
      <c r="M186" s="31">
        <v>48</v>
      </c>
      <c r="N186" s="32">
        <f t="shared" si="101"/>
        <v>1.0526315789473684E-2</v>
      </c>
      <c r="O186" s="18">
        <f>IF(ISNUMBER(M186), $B199 * N186, "")</f>
        <v>1578.9473684210525</v>
      </c>
      <c r="Q186" s="161"/>
      <c r="R186" s="161"/>
      <c r="S186" s="161"/>
    </row>
    <row r="187" spans="1:19" ht="17.25" thickBot="1">
      <c r="A187" s="109" t="s">
        <v>210</v>
      </c>
      <c r="B187" s="110">
        <v>61.8</v>
      </c>
      <c r="C187" s="70">
        <v>-5.2147239300000002E-2</v>
      </c>
      <c r="D187" s="15">
        <v>63.1</v>
      </c>
      <c r="E187" s="32">
        <f t="shared" si="98"/>
        <v>2.1035598705501687E-2</v>
      </c>
      <c r="F187" s="18">
        <f>IF(ISNUMBER(D187), $B199 * E187, "")</f>
        <v>3155.3398058252533</v>
      </c>
      <c r="G187" s="31">
        <v>63.1</v>
      </c>
      <c r="H187" s="32">
        <f t="shared" si="99"/>
        <v>2.1035598705501687E-2</v>
      </c>
      <c r="I187" s="91">
        <f>IF(ISNUMBER(G187), $B199 * H187, "")</f>
        <v>3155.3398058252533</v>
      </c>
      <c r="J187" s="15">
        <v>63.9</v>
      </c>
      <c r="K187" s="32">
        <f t="shared" si="100"/>
        <v>3.3980582524271871E-2</v>
      </c>
      <c r="L187" s="18">
        <f>IF(ISNUMBER(J187), $B199 * K187, "")</f>
        <v>5097.087378640781</v>
      </c>
      <c r="M187" s="31">
        <v>63.7</v>
      </c>
      <c r="N187" s="32">
        <f t="shared" si="101"/>
        <v>3.0744336569579381E-2</v>
      </c>
      <c r="O187" s="18">
        <f>IF(ISNUMBER(M187), $B199 * N187, "")</f>
        <v>4611.6504854369068</v>
      </c>
      <c r="Q187" s="33"/>
      <c r="R187" s="33"/>
    </row>
    <row r="188" spans="1:19" ht="17.25" thickBot="1">
      <c r="A188" s="114" t="s">
        <v>161</v>
      </c>
      <c r="B188" s="115">
        <v>307</v>
      </c>
      <c r="C188" s="72">
        <v>-5.2469135799999997E-2</v>
      </c>
      <c r="D188" s="24">
        <v>309</v>
      </c>
      <c r="E188" s="25">
        <f t="shared" si="98"/>
        <v>6.5146579804560263E-3</v>
      </c>
      <c r="F188" s="94">
        <f>IF(ISNUMBER(D188), $B199 * E188, "")</f>
        <v>977.19869706840393</v>
      </c>
      <c r="G188" s="92">
        <v>309</v>
      </c>
      <c r="H188" s="25">
        <f t="shared" si="99"/>
        <v>6.5146579804560263E-3</v>
      </c>
      <c r="I188" s="93">
        <f>IF(ISNUMBER(G188), $B199 * H188, "")</f>
        <v>977.19869706840393</v>
      </c>
      <c r="J188" s="24">
        <v>310</v>
      </c>
      <c r="K188" s="25">
        <f t="shared" si="100"/>
        <v>9.7719869706840382E-3</v>
      </c>
      <c r="L188" s="94">
        <f>IF(ISNUMBER(J188), $B199 * K188, "")</f>
        <v>1465.7980456026057</v>
      </c>
      <c r="M188" s="92">
        <v>307</v>
      </c>
      <c r="N188" s="25">
        <f t="shared" si="101"/>
        <v>0</v>
      </c>
      <c r="O188" s="94">
        <f>IF(ISNUMBER(M188), $B199 * N188, "")</f>
        <v>0</v>
      </c>
      <c r="Q188" s="170"/>
      <c r="R188" s="171"/>
      <c r="S188" s="172"/>
    </row>
    <row r="189" spans="1:19">
      <c r="A189" s="107" t="s">
        <v>204</v>
      </c>
      <c r="B189" s="108">
        <v>222</v>
      </c>
      <c r="C189" s="69">
        <v>-5.5319148899999997E-2</v>
      </c>
      <c r="D189" s="13">
        <v>224</v>
      </c>
      <c r="E189" s="14">
        <f>IF(ISNUMBER(D189), (D189 - $B189) / $B189, "")</f>
        <v>9.0090090090090089E-3</v>
      </c>
      <c r="F189" s="16">
        <f>IF(ISNUMBER(D189), $B199 * E189, "")</f>
        <v>1351.3513513513512</v>
      </c>
      <c r="G189" s="29">
        <v>224</v>
      </c>
      <c r="H189" s="14">
        <f>IF(ISNUMBER(G189), (G189 - $B189) / $B189, "")</f>
        <v>9.0090090090090089E-3</v>
      </c>
      <c r="I189" s="90">
        <f>IF(ISNUMBER(G189), $B199 * H189, "")</f>
        <v>1351.3513513513512</v>
      </c>
      <c r="J189" s="13">
        <v>224</v>
      </c>
      <c r="K189" s="14">
        <f>IF(ISNUMBER(J189), (J189 - $B189) / $B189, "")</f>
        <v>9.0090090090090089E-3</v>
      </c>
      <c r="L189" s="16">
        <f>IF(ISNUMBER(J189), $B199 * K189, "")</f>
        <v>1351.3513513513512</v>
      </c>
      <c r="M189" s="29">
        <v>222</v>
      </c>
      <c r="N189" s="14">
        <f>IF(ISNUMBER(M189), (M189 - $B189) / $B189, "")</f>
        <v>0</v>
      </c>
      <c r="O189" s="16">
        <f>IF(ISNUMBER(M189), $B199 * N189, "")</f>
        <v>0</v>
      </c>
      <c r="Q189" s="173"/>
      <c r="R189" s="174"/>
      <c r="S189" s="175"/>
    </row>
    <row r="190" spans="1:19" ht="17.25" thickBot="1">
      <c r="A190" s="109" t="s">
        <v>120</v>
      </c>
      <c r="B190" s="110">
        <v>117</v>
      </c>
      <c r="C190" s="70">
        <v>-5.6451612900000003E-2</v>
      </c>
      <c r="D190" s="15">
        <v>117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117</v>
      </c>
      <c r="H190" s="32">
        <f t="shared" ref="H190:H193" si="103">IF(ISNUMBER(G190), (G190 - $B190) / $B190, "")</f>
        <v>0</v>
      </c>
      <c r="I190" s="91">
        <f>IF(ISNUMBER(G190), $B199 * H190, "")</f>
        <v>0</v>
      </c>
      <c r="J190" s="15">
        <v>117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118</v>
      </c>
      <c r="N190" s="32">
        <f t="shared" ref="N190:N193" si="105">IF(ISNUMBER(M190), (M190 - $B190) / $B190, "")</f>
        <v>8.5470085470085479E-3</v>
      </c>
      <c r="O190" s="18">
        <f>IF(ISNUMBER(M190), $B199 * N190, "")</f>
        <v>1282.0512820512822</v>
      </c>
      <c r="Q190" s="176"/>
      <c r="R190" s="177"/>
      <c r="S190" s="178"/>
    </row>
    <row r="191" spans="1:19" ht="17.25" thickBot="1">
      <c r="A191" s="109" t="s">
        <v>157</v>
      </c>
      <c r="B191" s="110">
        <v>162</v>
      </c>
      <c r="C191" s="70">
        <v>-5.8139534899999998E-2</v>
      </c>
      <c r="D191" s="15">
        <v>165</v>
      </c>
      <c r="E191" s="32">
        <f t="shared" si="102"/>
        <v>1.8518518518518517E-2</v>
      </c>
      <c r="F191" s="18">
        <f>IF(ISNUMBER(D191), $B199 * E191, "")</f>
        <v>2777.7777777777778</v>
      </c>
      <c r="G191" s="31">
        <v>165</v>
      </c>
      <c r="H191" s="32">
        <f t="shared" si="103"/>
        <v>1.8518518518518517E-2</v>
      </c>
      <c r="I191" s="91">
        <f>IF(ISNUMBER(G191), $B199 * H191, "")</f>
        <v>2777.7777777777778</v>
      </c>
      <c r="J191" s="15">
        <v>169</v>
      </c>
      <c r="K191" s="32">
        <f t="shared" si="104"/>
        <v>4.3209876543209874E-2</v>
      </c>
      <c r="L191" s="18">
        <f>IF(ISNUMBER(J191), $B199 * K191, "")</f>
        <v>6481.4814814814808</v>
      </c>
      <c r="M191" s="31">
        <v>166</v>
      </c>
      <c r="N191" s="32">
        <f t="shared" si="105"/>
        <v>2.4691358024691357E-2</v>
      </c>
      <c r="O191" s="18">
        <f>IF(ISNUMBER(M191), $B199 * N191, "")</f>
        <v>3703.7037037037035</v>
      </c>
      <c r="Q191" s="161"/>
      <c r="R191" s="161"/>
      <c r="S191" s="161"/>
    </row>
    <row r="192" spans="1:19" ht="17.25" thickBot="1">
      <c r="A192" s="109" t="s">
        <v>346</v>
      </c>
      <c r="B192" s="110">
        <v>394</v>
      </c>
      <c r="C192" s="70">
        <v>-5.9665871099999997E-2</v>
      </c>
      <c r="D192" s="15">
        <v>389</v>
      </c>
      <c r="E192" s="32">
        <f t="shared" si="102"/>
        <v>-1.2690355329949238E-2</v>
      </c>
      <c r="F192" s="18">
        <f>IF(ISNUMBER(D192), $B199 * E192, "")</f>
        <v>-1903.5532994923858</v>
      </c>
      <c r="G192" s="31">
        <v>389</v>
      </c>
      <c r="H192" s="32">
        <f t="shared" si="103"/>
        <v>-1.2690355329949238E-2</v>
      </c>
      <c r="I192" s="91">
        <f>IF(ISNUMBER(G192), $B199 * H192, "")</f>
        <v>-1903.5532994923858</v>
      </c>
      <c r="J192" s="15">
        <v>393</v>
      </c>
      <c r="K192" s="32">
        <f t="shared" si="104"/>
        <v>-2.5380710659898475E-3</v>
      </c>
      <c r="L192" s="18">
        <f>IF(ISNUMBER(J192), $B199 * K192, "")</f>
        <v>-380.7106598984771</v>
      </c>
      <c r="M192" s="31">
        <v>388</v>
      </c>
      <c r="N192" s="32">
        <f t="shared" si="105"/>
        <v>-1.5228426395939087E-2</v>
      </c>
      <c r="O192" s="18">
        <f>IF(ISNUMBER(M192), $B199 * N192, "")</f>
        <v>-2284.263959390863</v>
      </c>
      <c r="Q192" s="156"/>
      <c r="R192" s="156"/>
      <c r="S192" s="156"/>
    </row>
    <row r="193" spans="1:19" ht="17.25" thickBot="1">
      <c r="A193" s="111" t="s">
        <v>232</v>
      </c>
      <c r="B193" s="112">
        <v>252</v>
      </c>
      <c r="C193" s="71">
        <v>-5.9701492500000002E-2</v>
      </c>
      <c r="D193" s="20">
        <v>256</v>
      </c>
      <c r="E193" s="21">
        <f t="shared" si="102"/>
        <v>1.5873015873015872E-2</v>
      </c>
      <c r="F193" s="22">
        <f>IF(ISNUMBER(D193), $B199 * E193, "")</f>
        <v>2380.9523809523807</v>
      </c>
      <c r="G193" s="30">
        <v>256</v>
      </c>
      <c r="H193" s="21">
        <f t="shared" si="103"/>
        <v>1.5873015873015872E-2</v>
      </c>
      <c r="I193" s="95">
        <f>IF(ISNUMBER(G193), $B199 * H193, "")</f>
        <v>2380.9523809523807</v>
      </c>
      <c r="J193" s="20">
        <v>257</v>
      </c>
      <c r="K193" s="21">
        <f t="shared" si="104"/>
        <v>1.984126984126984E-2</v>
      </c>
      <c r="L193" s="22">
        <f>IF(ISNUMBER(J193), $B199 * K193, "")</f>
        <v>2976.1904761904761</v>
      </c>
      <c r="M193" s="30">
        <v>257</v>
      </c>
      <c r="N193" s="21">
        <f t="shared" si="105"/>
        <v>1.984126984126984E-2</v>
      </c>
      <c r="O193" s="22">
        <f>IF(ISNUMBER(M193), $B199 * N193, "")</f>
        <v>2976.1904761904761</v>
      </c>
      <c r="Q193" s="156"/>
      <c r="R193" s="156"/>
      <c r="S193" s="156"/>
    </row>
    <row r="194" spans="1:19" ht="17.25" thickBot="1">
      <c r="A194" s="109" t="s">
        <v>191</v>
      </c>
      <c r="B194" s="113">
        <v>50.7</v>
      </c>
      <c r="C194" s="73">
        <v>-6.1111111099999997E-2</v>
      </c>
      <c r="D194" s="96">
        <v>51.3</v>
      </c>
      <c r="E194" s="97">
        <f>IF(ISNUMBER(D194), (D194 - $B194) / $B194, "")</f>
        <v>1.1834319526627106E-2</v>
      </c>
      <c r="F194" s="98">
        <f>IF(ISNUMBER(D194), $B199 * E194, "")</f>
        <v>1775.147928994066</v>
      </c>
      <c r="G194" s="99">
        <v>51.3</v>
      </c>
      <c r="H194" s="97">
        <f>IF(ISNUMBER(G194), (G194 - $B194) / $B194, "")</f>
        <v>1.1834319526627106E-2</v>
      </c>
      <c r="I194" s="100">
        <f>IF(ISNUMBER(G194), $B199 * H194, "")</f>
        <v>1775.147928994066</v>
      </c>
      <c r="J194" s="96">
        <v>51.4</v>
      </c>
      <c r="K194" s="97">
        <f>IF(ISNUMBER(J194), (J194 - $B194) / $B194, "")</f>
        <v>1.3806706114398336E-2</v>
      </c>
      <c r="L194" s="98">
        <f>IF(ISNUMBER(J194), $B199 * K194, "")</f>
        <v>2071.0059171597504</v>
      </c>
      <c r="M194" s="99">
        <v>51</v>
      </c>
      <c r="N194" s="97">
        <f>IF(ISNUMBER(M194), (M194 - $B194) / $B194, "")</f>
        <v>5.917159763313553E-3</v>
      </c>
      <c r="O194" s="98">
        <f>IF(ISNUMBER(M194), $B199 * N194, "")</f>
        <v>887.57396449703299</v>
      </c>
      <c r="Q194" s="161"/>
      <c r="R194" s="161"/>
      <c r="S194" s="161"/>
    </row>
    <row r="195" spans="1:19" ht="17.25" thickBot="1">
      <c r="A195" s="109" t="s">
        <v>352</v>
      </c>
      <c r="B195" s="110">
        <v>197</v>
      </c>
      <c r="C195" s="70">
        <v>-6.1904761900000001E-2</v>
      </c>
      <c r="D195" s="15">
        <v>195</v>
      </c>
      <c r="E195" s="32">
        <f t="shared" ref="E195:E198" si="106">IF(ISNUMBER(D195), (D195 - $B195) / $B195, "")</f>
        <v>-1.015228426395939E-2</v>
      </c>
      <c r="F195" s="18">
        <f>IF(ISNUMBER(D195), $B199 * E195, "")</f>
        <v>-1522.8426395939084</v>
      </c>
      <c r="G195" s="31">
        <v>195</v>
      </c>
      <c r="H195" s="32">
        <f t="shared" ref="H195:H198" si="107">IF(ISNUMBER(G195), (G195 - $B195) / $B195, "")</f>
        <v>-1.015228426395939E-2</v>
      </c>
      <c r="I195" s="91">
        <f>IF(ISNUMBER(G195), $B199 * H195, "")</f>
        <v>-1522.8426395939084</v>
      </c>
      <c r="J195" s="15">
        <v>195</v>
      </c>
      <c r="K195" s="32">
        <f t="shared" ref="K195:K198" si="108">IF(ISNUMBER(J195), (J195 - $B195) / $B195, "")</f>
        <v>-1.015228426395939E-2</v>
      </c>
      <c r="L195" s="18">
        <f>IF(ISNUMBER(J195), $B199 * K195, "")</f>
        <v>-1522.8426395939084</v>
      </c>
      <c r="M195" s="31">
        <v>193</v>
      </c>
      <c r="N195" s="32">
        <f t="shared" ref="N195:N198" si="109">IF(ISNUMBER(M195), (M195 - $B195) / $B195, "")</f>
        <v>-2.030456852791878E-2</v>
      </c>
      <c r="O195" s="18">
        <f>IF(ISNUMBER(M195), $B199 * N195, "")</f>
        <v>-3045.6852791878168</v>
      </c>
      <c r="Q195" s="161"/>
      <c r="R195" s="161"/>
      <c r="S195" s="161"/>
    </row>
    <row r="196" spans="1:19" ht="17.25" thickBot="1">
      <c r="A196" s="109" t="s">
        <v>349</v>
      </c>
      <c r="B196" s="110">
        <v>672</v>
      </c>
      <c r="C196" s="70">
        <v>-7.5653369999999998E-2</v>
      </c>
      <c r="D196" s="15">
        <v>685</v>
      </c>
      <c r="E196" s="32">
        <f t="shared" si="106"/>
        <v>1.9345238095238096E-2</v>
      </c>
      <c r="F196" s="18">
        <f>IF(ISNUMBER(D196), $B199 * E196, "")</f>
        <v>2901.7857142857142</v>
      </c>
      <c r="G196" s="31">
        <v>685</v>
      </c>
      <c r="H196" s="32">
        <f t="shared" si="107"/>
        <v>1.9345238095238096E-2</v>
      </c>
      <c r="I196" s="91">
        <f>IF(ISNUMBER(G196), $B199 * H196, "")</f>
        <v>2901.7857142857142</v>
      </c>
      <c r="J196" s="15">
        <v>692</v>
      </c>
      <c r="K196" s="32">
        <f t="shared" si="108"/>
        <v>2.976190476190476E-2</v>
      </c>
      <c r="L196" s="18">
        <f>IF(ISNUMBER(J196), $B199 * K196, "")</f>
        <v>4464.2857142857138</v>
      </c>
      <c r="M196" s="31">
        <v>692</v>
      </c>
      <c r="N196" s="32">
        <f t="shared" si="109"/>
        <v>2.976190476190476E-2</v>
      </c>
      <c r="O196" s="18">
        <f>IF(ISNUMBER(M196), $B199 * N196, "")</f>
        <v>4464.2857142857138</v>
      </c>
      <c r="Q196" s="161"/>
      <c r="R196" s="161"/>
      <c r="S196" s="161"/>
    </row>
    <row r="197" spans="1:19">
      <c r="A197" s="109" t="s">
        <v>198</v>
      </c>
      <c r="B197" s="110">
        <v>7.07</v>
      </c>
      <c r="C197" s="70">
        <v>-7.7023498699999998E-2</v>
      </c>
      <c r="D197" s="15">
        <v>7.03</v>
      </c>
      <c r="E197" s="32">
        <f t="shared" si="106"/>
        <v>-5.6577086280056622E-3</v>
      </c>
      <c r="F197" s="18">
        <f>IF(ISNUMBER(D197), $B199 * E197, "")</f>
        <v>-848.65629420084929</v>
      </c>
      <c r="G197" s="31">
        <v>7.03</v>
      </c>
      <c r="H197" s="32">
        <f t="shared" si="107"/>
        <v>-5.6577086280056622E-3</v>
      </c>
      <c r="I197" s="91">
        <f>IF(ISNUMBER(G197), $B199 * H197, "")</f>
        <v>-848.65629420084929</v>
      </c>
      <c r="J197" s="15">
        <v>7.02</v>
      </c>
      <c r="K197" s="32">
        <f t="shared" si="108"/>
        <v>-7.0721357850071723E-3</v>
      </c>
      <c r="L197" s="18">
        <f>IF(ISNUMBER(J197), $B199 * K197, "")</f>
        <v>-1060.8203677510758</v>
      </c>
      <c r="M197" s="31">
        <v>6.88</v>
      </c>
      <c r="N197" s="32">
        <f t="shared" si="109"/>
        <v>-2.6874115983026928E-2</v>
      </c>
      <c r="O197" s="18">
        <f>IF(ISNUMBER(M197), $B199 * N197, "")</f>
        <v>-4031.1173974540393</v>
      </c>
      <c r="Q197" s="183"/>
      <c r="R197" s="184"/>
      <c r="S197" s="185"/>
    </row>
    <row r="198" spans="1:19" ht="17.25" thickBot="1">
      <c r="A198" s="114" t="s">
        <v>97</v>
      </c>
      <c r="B198" s="115">
        <v>8.0000000000000004E-4</v>
      </c>
      <c r="C198" s="72">
        <v>-0.11111111110000001</v>
      </c>
      <c r="D198" s="24">
        <v>8.0000000000000004E-4</v>
      </c>
      <c r="E198" s="25">
        <f t="shared" si="106"/>
        <v>0</v>
      </c>
      <c r="F198" s="94">
        <f>IF(ISNUMBER(D198), $B199 * E198, "")</f>
        <v>0</v>
      </c>
      <c r="G198" s="92">
        <v>8.0000000000000004E-4</v>
      </c>
      <c r="H198" s="25">
        <f t="shared" si="107"/>
        <v>0</v>
      </c>
      <c r="I198" s="93">
        <f>IF(ISNUMBER(G198), $B199 * H198, "")</f>
        <v>0</v>
      </c>
      <c r="J198" s="24">
        <v>8.0000000000000004E-4</v>
      </c>
      <c r="K198" s="25">
        <f t="shared" si="108"/>
        <v>0</v>
      </c>
      <c r="L198" s="94">
        <f>IF(ISNUMBER(J198), $B199 * K198, "")</f>
        <v>0</v>
      </c>
      <c r="M198" s="92">
        <v>8.9999999999999998E-4</v>
      </c>
      <c r="N198" s="25">
        <f t="shared" si="109"/>
        <v>0.12499999999999992</v>
      </c>
      <c r="O198" s="94">
        <f>IF(ISNUMBER(M198), $B199 * N198, "")</f>
        <v>18749.999999999989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9.1117966717129892E-3</v>
      </c>
      <c r="F199" s="28">
        <f>SUM(F179:F198)</f>
        <v>27335.390015138975</v>
      </c>
      <c r="G199" s="26" t="s">
        <v>261</v>
      </c>
      <c r="H199" s="27">
        <f>IF(COUNT(H179:H198), SUM(H179:H198) / COUNT(H179:H198), 0)</f>
        <v>9.1117966717129892E-3</v>
      </c>
      <c r="I199" s="28">
        <f>SUM(I179:I198)</f>
        <v>27335.390015138975</v>
      </c>
      <c r="J199" s="26" t="s">
        <v>261</v>
      </c>
      <c r="K199" s="27">
        <f>IF(COUNT(K179:K198), SUM(K179:K198) / COUNT(K179:K198), 0)</f>
        <v>1.5616210514754817E-2</v>
      </c>
      <c r="L199" s="28">
        <f>SUM(L179:L198)</f>
        <v>46848.631544264455</v>
      </c>
      <c r="M199" s="26" t="s">
        <v>261</v>
      </c>
      <c r="N199" s="27">
        <f>IF(COUNT(N179:N198), SUM(N179:N198) / COUNT(N179:N198), 0)</f>
        <v>1.2916053889354295E-2</v>
      </c>
      <c r="O199" s="28">
        <f>SUM(O179:O198)</f>
        <v>38748.161668062894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65EE3-77A3-4C75-B5DF-1E406A8C04B3}">
  <sheetPr codeName="Sheet25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44914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-51,216 KRW (-1.71%)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-51,510 KRW (-1.72%)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-22,035 KRW (-0.73%)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-29,986 KRW (-1.00%)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2022-12-19(월) 오전 00:00</v>
      </c>
      <c r="C15" s="202"/>
      <c r="D15" s="158" t="str">
        <f>TEXT($G$1, "[$-ko-KR]yyyy-mm-dd(ddd) ") &amp; "오후 14:00"</f>
        <v>2022-12-19(월) 오후 14:00</v>
      </c>
      <c r="E15" s="159"/>
      <c r="F15" s="160"/>
      <c r="G15" s="158" t="str">
        <f>TEXT($G$1, "[$-ko-KR]yyyy-mm-dd(ddd) ") &amp; "오후 19:00"</f>
        <v>2022-12-19(월) 오후 19:00</v>
      </c>
      <c r="H15" s="159"/>
      <c r="I15" s="160"/>
      <c r="J15" s="158" t="str">
        <f>TEXT($G$1, "[$-ko-KR]yyyy-mm-dd(ddd) ") &amp; "오후 21:00"</f>
        <v>2022-12-19(월) 오후 21:00</v>
      </c>
      <c r="K15" s="159"/>
      <c r="L15" s="160"/>
      <c r="M15" s="158" t="str">
        <f>TEXT($G$1+1, "[$-ko-KR]yyyy-mm-dd(ddd) ") &amp; "오전 00:00"</f>
        <v>2022-12-20(화)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2022-12-19(월) 오전 00:00</v>
      </c>
      <c r="C42" s="199"/>
      <c r="D42" s="158" t="str">
        <f>TEXT($G$1, "[$-ko-KR]yyyy-mm-dd(ddd) ") &amp; "오후 14:00"</f>
        <v>2022-12-19(월) 오후 14:00</v>
      </c>
      <c r="E42" s="159"/>
      <c r="F42" s="160"/>
      <c r="G42" s="158" t="str">
        <f>TEXT($G$1, "[$-ko-KR]yyyy-mm-dd(ddd) ") &amp; "오후 19:00"</f>
        <v>2022-12-19(월) 오후 19:00</v>
      </c>
      <c r="H42" s="159"/>
      <c r="I42" s="160"/>
      <c r="J42" s="158" t="str">
        <f>TEXT($G$1, "[$-ko-KR]yyyy-mm-dd(ddd) ") &amp; "오후 21:00"</f>
        <v>2022-12-19(월) 오후 21:00</v>
      </c>
      <c r="K42" s="159"/>
      <c r="L42" s="160"/>
      <c r="M42" s="158" t="str">
        <f>TEXT($G$1+1, "[$-ko-KR]yyyy-mm-dd(ddd) ") &amp; "오전 00:00"</f>
        <v>2022-12-20(화)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97</v>
      </c>
      <c r="B44" s="108">
        <v>8.9999999999999998E-4</v>
      </c>
      <c r="C44" s="69">
        <v>0.125</v>
      </c>
      <c r="D44" s="13">
        <v>8.0000000000000004E-4</v>
      </c>
      <c r="E44" s="14">
        <f>IF(ISNUMBER(D44), (D44 - $B44) / $B44, "")</f>
        <v>-0.11111111111111105</v>
      </c>
      <c r="F44" s="16">
        <f>IF(ISNUMBER(D44), $B64 * E44, "")</f>
        <v>-16666.666666666657</v>
      </c>
      <c r="G44" s="29">
        <v>8.0000000000000004E-4</v>
      </c>
      <c r="H44" s="14">
        <f>IF(ISNUMBER(G44), (G44 - $B44) / $B44, "")</f>
        <v>-0.11111111111111105</v>
      </c>
      <c r="I44" s="90">
        <f>IF(ISNUMBER(G44), $B64 * H44, "")</f>
        <v>-16666.666666666657</v>
      </c>
      <c r="J44" s="13">
        <v>8.0000000000000004E-4</v>
      </c>
      <c r="K44" s="14">
        <f>IF(ISNUMBER(J44), (J44 - $B44) / $B44, "")</f>
        <v>-0.11111111111111105</v>
      </c>
      <c r="L44" s="16">
        <f>IF(ISNUMBER(J44), $B64 * K44, "")</f>
        <v>-16666.666666666657</v>
      </c>
      <c r="M44" s="29">
        <v>8.0000000000000004E-4</v>
      </c>
      <c r="N44" s="14">
        <f>IF(ISNUMBER(M44), (M44 - $B44) / $B44, "")</f>
        <v>-0.11111111111111105</v>
      </c>
      <c r="O44" s="16">
        <f>IF(ISNUMBER(M44), $B64 * N44, "")</f>
        <v>-16666.666666666657</v>
      </c>
      <c r="Q44" s="156"/>
      <c r="R44" s="156"/>
      <c r="S44" s="156"/>
    </row>
    <row r="45" spans="1:19" ht="17.25" customHeight="1" thickBot="1">
      <c r="A45" s="109" t="s">
        <v>244</v>
      </c>
      <c r="B45" s="110">
        <v>90.5</v>
      </c>
      <c r="C45" s="70">
        <v>2.0293122899999998E-2</v>
      </c>
      <c r="D45" s="15">
        <v>88.8</v>
      </c>
      <c r="E45" s="32">
        <f t="shared" ref="E45:E48" si="14">IF(ISNUMBER(D45), (D45 - $B45) / $B45, "")</f>
        <v>-1.8784530386740363E-2</v>
      </c>
      <c r="F45" s="18">
        <f>IF(ISNUMBER(D45), $B64 * E45, "")</f>
        <v>-2817.6795580110543</v>
      </c>
      <c r="G45" s="31">
        <v>88.3</v>
      </c>
      <c r="H45" s="32">
        <f t="shared" ref="H45:H48" si="15">IF(ISNUMBER(G45), (G45 - $B45) / $B45, "")</f>
        <v>-2.4309392265193401E-2</v>
      </c>
      <c r="I45" s="91">
        <f>IF(ISNUMBER(G45), $B64 * H45, "")</f>
        <v>-3646.4088397790101</v>
      </c>
      <c r="J45" s="15">
        <v>90.7</v>
      </c>
      <c r="K45" s="32">
        <f t="shared" ref="K45:K48" si="16">IF(ISNUMBER(J45), (J45 - $B45) / $B45, "")</f>
        <v>2.2099447513812469E-3</v>
      </c>
      <c r="L45" s="18">
        <f>IF(ISNUMBER(J45), $B64 * K45, "")</f>
        <v>331.49171270718705</v>
      </c>
      <c r="M45" s="31">
        <v>88.8</v>
      </c>
      <c r="N45" s="32">
        <f t="shared" ref="N45:N48" si="17">IF(ISNUMBER(M45), (M45 - $B45) / $B45, "")</f>
        <v>-1.8784530386740363E-2</v>
      </c>
      <c r="O45" s="18">
        <f>IF(ISNUMBER(M45), $B64 * N45, "")</f>
        <v>-2817.6795580110543</v>
      </c>
      <c r="Q45" s="156"/>
      <c r="R45" s="156"/>
      <c r="S45" s="156"/>
    </row>
    <row r="46" spans="1:19" ht="17.25" customHeight="1" thickBot="1">
      <c r="A46" s="109" t="s">
        <v>326</v>
      </c>
      <c r="B46" s="110">
        <v>21.1</v>
      </c>
      <c r="C46" s="70">
        <v>1.93236715E-2</v>
      </c>
      <c r="D46" s="15">
        <v>20.5</v>
      </c>
      <c r="E46" s="32">
        <f t="shared" si="14"/>
        <v>-2.8436018957346036E-2</v>
      </c>
      <c r="F46" s="18">
        <f>IF(ISNUMBER(D46), $B64 * E46, "")</f>
        <v>-4265.4028436019053</v>
      </c>
      <c r="G46" s="31">
        <v>20.399999999999999</v>
      </c>
      <c r="H46" s="32">
        <f t="shared" si="15"/>
        <v>-3.3175355450237101E-2</v>
      </c>
      <c r="I46" s="91">
        <f>IF(ISNUMBER(G46), $B64 * H46, "")</f>
        <v>-4976.3033175355649</v>
      </c>
      <c r="J46" s="15">
        <v>20.5</v>
      </c>
      <c r="K46" s="32">
        <f t="shared" si="16"/>
        <v>-2.8436018957346036E-2</v>
      </c>
      <c r="L46" s="18">
        <f>IF(ISNUMBER(J46), $B64 * K46, "")</f>
        <v>-4265.4028436019053</v>
      </c>
      <c r="M46" s="31">
        <v>20.399999999999999</v>
      </c>
      <c r="N46" s="32">
        <f t="shared" si="17"/>
        <v>-3.3175355450237101E-2</v>
      </c>
      <c r="O46" s="18">
        <f>IF(ISNUMBER(M46), $B64 * N46, "")</f>
        <v>-4976.3033175355649</v>
      </c>
      <c r="Q46" s="161"/>
      <c r="R46" s="161"/>
      <c r="S46" s="161"/>
    </row>
    <row r="47" spans="1:19" ht="17.25" customHeight="1" thickBot="1">
      <c r="A47" s="109" t="s">
        <v>333</v>
      </c>
      <c r="B47" s="110">
        <v>57.7</v>
      </c>
      <c r="C47" s="70">
        <v>1.22807018E-2</v>
      </c>
      <c r="D47" s="15">
        <v>57.6</v>
      </c>
      <c r="E47" s="32">
        <f t="shared" si="14"/>
        <v>-1.7331022530329536E-3</v>
      </c>
      <c r="F47" s="18">
        <f>IF(ISNUMBER(D47), $B64 * E47, "")</f>
        <v>-259.96533795494304</v>
      </c>
      <c r="G47" s="31">
        <v>57.7</v>
      </c>
      <c r="H47" s="32">
        <f t="shared" si="15"/>
        <v>0</v>
      </c>
      <c r="I47" s="91">
        <f>IF(ISNUMBER(G47), $B64 * H47, "")</f>
        <v>0</v>
      </c>
      <c r="J47" s="15">
        <v>57.3</v>
      </c>
      <c r="K47" s="32">
        <f t="shared" si="16"/>
        <v>-6.9324090121318143E-3</v>
      </c>
      <c r="L47" s="18">
        <f>IF(ISNUMBER(J47), $B64 * K47, "")</f>
        <v>-1039.8613518197722</v>
      </c>
      <c r="M47" s="31">
        <v>57.2</v>
      </c>
      <c r="N47" s="32">
        <f t="shared" si="17"/>
        <v>-8.6655112651646445E-3</v>
      </c>
      <c r="O47" s="18">
        <f>IF(ISNUMBER(M47), $B64 * N47, "")</f>
        <v>-1299.8266897746967</v>
      </c>
      <c r="Q47" s="161"/>
      <c r="R47" s="161"/>
      <c r="S47" s="161"/>
    </row>
    <row r="48" spans="1:19" ht="17.25" customHeight="1" thickBot="1">
      <c r="A48" s="111" t="s">
        <v>155</v>
      </c>
      <c r="B48" s="112">
        <v>27.6</v>
      </c>
      <c r="C48" s="71">
        <v>7.2992700999999997E-3</v>
      </c>
      <c r="D48" s="20">
        <v>27.2</v>
      </c>
      <c r="E48" s="21">
        <f t="shared" si="14"/>
        <v>-1.4492753623188482E-2</v>
      </c>
      <c r="F48" s="22">
        <f>IF(ISNUMBER(D48), $B64 * E48, "")</f>
        <v>-2173.9130434782724</v>
      </c>
      <c r="G48" s="30">
        <v>27.2</v>
      </c>
      <c r="H48" s="21">
        <f t="shared" si="15"/>
        <v>-1.4492753623188482E-2</v>
      </c>
      <c r="I48" s="95">
        <f>IF(ISNUMBER(G48), $B64 * H48, "")</f>
        <v>-2173.9130434782724</v>
      </c>
      <c r="J48" s="20">
        <v>27.3</v>
      </c>
      <c r="K48" s="21">
        <f t="shared" si="16"/>
        <v>-1.086956521739133E-2</v>
      </c>
      <c r="L48" s="22">
        <f>IF(ISNUMBER(J48), $B64 * K48, "")</f>
        <v>-1630.4347826086996</v>
      </c>
      <c r="M48" s="30">
        <v>26.7</v>
      </c>
      <c r="N48" s="21">
        <f t="shared" si="17"/>
        <v>-3.2608695652173988E-2</v>
      </c>
      <c r="O48" s="22">
        <f>IF(ISNUMBER(M48), $B64 * N48, "")</f>
        <v>-4891.3043478260979</v>
      </c>
      <c r="Q48" s="161"/>
      <c r="R48" s="161"/>
      <c r="S48" s="161"/>
    </row>
    <row r="49" spans="1:19" ht="17.25" customHeight="1" thickBot="1">
      <c r="A49" s="109" t="s">
        <v>228</v>
      </c>
      <c r="B49" s="113">
        <v>55.6</v>
      </c>
      <c r="C49" s="73">
        <v>3.6101083E-3</v>
      </c>
      <c r="D49" s="96">
        <v>58.3</v>
      </c>
      <c r="E49" s="97">
        <f>IF(ISNUMBER(D49), (D49 - $B49) / $B49, "")</f>
        <v>4.8561151079136611E-2</v>
      </c>
      <c r="F49" s="98">
        <f>IF(ISNUMBER(D49), $B64 * E49, "")</f>
        <v>7284.1726618704915</v>
      </c>
      <c r="G49" s="99">
        <v>58.5</v>
      </c>
      <c r="H49" s="97">
        <f>IF(ISNUMBER(G49), (G49 - $B49) / $B49, "")</f>
        <v>5.2158273381294938E-2</v>
      </c>
      <c r="I49" s="100">
        <f>IF(ISNUMBER(G49), $B64 * H49, "")</f>
        <v>7823.7410071942404</v>
      </c>
      <c r="J49" s="96">
        <v>58.5</v>
      </c>
      <c r="K49" s="97">
        <f>IF(ISNUMBER(J49), (J49 - $B49) / $B49, "")</f>
        <v>5.2158273381294938E-2</v>
      </c>
      <c r="L49" s="98">
        <f>IF(ISNUMBER(J49), $B64 * K49, "")</f>
        <v>7823.7410071942404</v>
      </c>
      <c r="M49" s="99">
        <v>59.1</v>
      </c>
      <c r="N49" s="97">
        <f>IF(ISNUMBER(M49), (M49 - $B49) / $B49, "")</f>
        <v>6.2949640287769781E-2</v>
      </c>
      <c r="O49" s="98">
        <f>IF(ISNUMBER(M49), $B64 * N49, "")</f>
        <v>9442.4460431654679</v>
      </c>
      <c r="Q49" s="161"/>
      <c r="R49" s="161"/>
      <c r="S49" s="161"/>
    </row>
    <row r="50" spans="1:19" ht="17.25" customHeight="1" thickBot="1">
      <c r="A50" s="109" t="s">
        <v>143</v>
      </c>
      <c r="B50" s="110">
        <v>3.59</v>
      </c>
      <c r="C50" s="70">
        <v>0</v>
      </c>
      <c r="D50" s="15">
        <v>3.52</v>
      </c>
      <c r="E50" s="32">
        <f t="shared" ref="E50:E53" si="18">IF(ISNUMBER(D50), (D50 - $B50) / $B50, "")</f>
        <v>-1.9498607242339788E-2</v>
      </c>
      <c r="F50" s="18">
        <f>IF(ISNUMBER(D50), $B64 * E50, "")</f>
        <v>-2924.7910863509683</v>
      </c>
      <c r="G50" s="31">
        <v>3.53</v>
      </c>
      <c r="H50" s="32">
        <f t="shared" ref="H50:H53" si="19">IF(ISNUMBER(G50), (G50 - $B50) / $B50, "")</f>
        <v>-1.6713091922005586E-2</v>
      </c>
      <c r="I50" s="91">
        <f>IF(ISNUMBER(G50), $B64 * H50, "")</f>
        <v>-2506.9637883008377</v>
      </c>
      <c r="J50" s="15">
        <v>3.54</v>
      </c>
      <c r="K50" s="32">
        <f t="shared" ref="K50:K53" si="20">IF(ISNUMBER(J50), (J50 - $B50) / $B50, "")</f>
        <v>-1.392757660167126E-2</v>
      </c>
      <c r="L50" s="18">
        <f>IF(ISNUMBER(J50), $B64 * K50, "")</f>
        <v>-2089.1364902506889</v>
      </c>
      <c r="M50" s="31">
        <v>3.5</v>
      </c>
      <c r="N50" s="32">
        <f t="shared" ref="N50:N53" si="21">IF(ISNUMBER(M50), (M50 - $B50) / $B50, "")</f>
        <v>-2.5069637883008318E-2</v>
      </c>
      <c r="O50" s="18">
        <f>IF(ISNUMBER(M50), $B64 * N50, "")</f>
        <v>-3760.4456824512476</v>
      </c>
      <c r="Q50" s="161"/>
      <c r="R50" s="161"/>
      <c r="S50" s="161"/>
    </row>
    <row r="51" spans="1:19" ht="17.25" customHeight="1" thickBot="1">
      <c r="A51" s="109" t="s">
        <v>200</v>
      </c>
      <c r="B51" s="110">
        <v>6.2</v>
      </c>
      <c r="C51" s="70">
        <v>0</v>
      </c>
      <c r="D51" s="15">
        <v>6.17</v>
      </c>
      <c r="E51" s="32">
        <f t="shared" si="18"/>
        <v>-4.8387096774193949E-3</v>
      </c>
      <c r="F51" s="18">
        <f>IF(ISNUMBER(D51), $B64 * E51, "")</f>
        <v>-725.8064516129092</v>
      </c>
      <c r="G51" s="31">
        <v>6.13</v>
      </c>
      <c r="H51" s="32">
        <f t="shared" si="19"/>
        <v>-1.1290322580645207E-2</v>
      </c>
      <c r="I51" s="91">
        <f>IF(ISNUMBER(G51), $B64 * H51, "")</f>
        <v>-1693.5483870967812</v>
      </c>
      <c r="J51" s="15">
        <v>6.16</v>
      </c>
      <c r="K51" s="32">
        <f t="shared" si="20"/>
        <v>-6.4516129032258117E-3</v>
      </c>
      <c r="L51" s="18">
        <f>IF(ISNUMBER(J51), $B64 * K51, "")</f>
        <v>-967.74193548387177</v>
      </c>
      <c r="M51" s="31">
        <v>6.11</v>
      </c>
      <c r="N51" s="32">
        <f t="shared" si="21"/>
        <v>-1.4516129032258041E-2</v>
      </c>
      <c r="O51" s="18">
        <f>IF(ISNUMBER(M51), $B64 * N51, "")</f>
        <v>-2177.4193548387061</v>
      </c>
      <c r="Q51" s="161"/>
      <c r="R51" s="161"/>
      <c r="S51" s="161"/>
    </row>
    <row r="52" spans="1:19" ht="17.25" customHeight="1" thickBot="1">
      <c r="A52" s="109" t="s">
        <v>240</v>
      </c>
      <c r="B52" s="110">
        <v>27.1</v>
      </c>
      <c r="C52" s="70">
        <v>0</v>
      </c>
      <c r="D52" s="15">
        <v>26.5</v>
      </c>
      <c r="E52" s="32">
        <f t="shared" si="18"/>
        <v>-2.2140221402214073E-2</v>
      </c>
      <c r="F52" s="18">
        <f>IF(ISNUMBER(D52), $B64 * E52, "")</f>
        <v>-3321.0332103321107</v>
      </c>
      <c r="G52" s="31">
        <v>26.5</v>
      </c>
      <c r="H52" s="32">
        <f t="shared" si="19"/>
        <v>-2.2140221402214073E-2</v>
      </c>
      <c r="I52" s="91">
        <f>IF(ISNUMBER(G52), $B64 * H52, "")</f>
        <v>-3321.0332103321107</v>
      </c>
      <c r="J52" s="15">
        <v>26.6</v>
      </c>
      <c r="K52" s="32">
        <f t="shared" si="20"/>
        <v>-1.8450184501845018E-2</v>
      </c>
      <c r="L52" s="18">
        <f>IF(ISNUMBER(J52), $B64 * K52, "")</f>
        <v>-2767.5276752767527</v>
      </c>
      <c r="M52" s="31">
        <v>26.4</v>
      </c>
      <c r="N52" s="32">
        <f t="shared" si="21"/>
        <v>-2.583025830258313E-2</v>
      </c>
      <c r="O52" s="18">
        <f>IF(ISNUMBER(M52), $B64 * N52, "")</f>
        <v>-3874.5387453874696</v>
      </c>
      <c r="Q52" s="33"/>
      <c r="R52" s="33"/>
    </row>
    <row r="53" spans="1:19" ht="17.25" customHeight="1" thickBot="1">
      <c r="A53" s="114" t="s">
        <v>336</v>
      </c>
      <c r="B53" s="115">
        <v>74.3</v>
      </c>
      <c r="C53" s="72">
        <v>-1.344086E-3</v>
      </c>
      <c r="D53" s="24">
        <v>74.7</v>
      </c>
      <c r="E53" s="25">
        <f t="shared" si="18"/>
        <v>5.3835800807537776E-3</v>
      </c>
      <c r="F53" s="94">
        <f>IF(ISNUMBER(D53), $B64 * E53, "")</f>
        <v>807.53701211306668</v>
      </c>
      <c r="G53" s="92">
        <v>74.900000000000006</v>
      </c>
      <c r="H53" s="25">
        <f t="shared" si="19"/>
        <v>8.0753701211306664E-3</v>
      </c>
      <c r="I53" s="93">
        <f>IF(ISNUMBER(G53), $B64 * H53, "")</f>
        <v>1211.3055181696</v>
      </c>
      <c r="J53" s="24">
        <v>74.7</v>
      </c>
      <c r="K53" s="25">
        <f t="shared" si="20"/>
        <v>5.3835800807537776E-3</v>
      </c>
      <c r="L53" s="94">
        <f>IF(ISNUMBER(J53), $B64 * K53, "")</f>
        <v>807.53701211306668</v>
      </c>
      <c r="M53" s="92">
        <v>74.7</v>
      </c>
      <c r="N53" s="25">
        <f t="shared" si="21"/>
        <v>5.3835800807537776E-3</v>
      </c>
      <c r="O53" s="94">
        <f>IF(ISNUMBER(M53), $B64 * N53, "")</f>
        <v>807.53701211306668</v>
      </c>
      <c r="Q53" s="170"/>
      <c r="R53" s="171"/>
      <c r="S53" s="172"/>
    </row>
    <row r="54" spans="1:19" ht="17.25" customHeight="1">
      <c r="A54" s="107" t="s">
        <v>212</v>
      </c>
      <c r="B54" s="108">
        <v>75.8</v>
      </c>
      <c r="C54" s="69">
        <v>-2.6315789000000002E-3</v>
      </c>
      <c r="D54" s="13">
        <v>75.400000000000006</v>
      </c>
      <c r="E54" s="14">
        <f>IF(ISNUMBER(D54), (D54 - $B54) / $B54, "")</f>
        <v>-5.2770448548811544E-3</v>
      </c>
      <c r="F54" s="16">
        <f>IF(ISNUMBER(D54), $B64 * E54, "")</f>
        <v>-791.55672823217321</v>
      </c>
      <c r="G54" s="29">
        <v>75.5</v>
      </c>
      <c r="H54" s="14">
        <f>IF(ISNUMBER(G54), (G54 - $B54) / $B54, "")</f>
        <v>-3.9577836411609129E-3</v>
      </c>
      <c r="I54" s="90">
        <f>IF(ISNUMBER(G54), $B64 * H54, "")</f>
        <v>-593.66754617413687</v>
      </c>
      <c r="J54" s="13">
        <v>75.400000000000006</v>
      </c>
      <c r="K54" s="14">
        <f>IF(ISNUMBER(J54), (J54 - $B54) / $B54, "")</f>
        <v>-5.2770448548811544E-3</v>
      </c>
      <c r="L54" s="16">
        <f>IF(ISNUMBER(J54), $B64 * K54, "")</f>
        <v>-791.55672823217321</v>
      </c>
      <c r="M54" s="29">
        <v>75.099999999999994</v>
      </c>
      <c r="N54" s="14">
        <f>IF(ISNUMBER(M54), (M54 - $B54) / $B54, "")</f>
        <v>-9.2348284960422546E-3</v>
      </c>
      <c r="O54" s="16">
        <f>IF(ISNUMBER(M54), $B64 * N54, "")</f>
        <v>-1385.2242744063383</v>
      </c>
      <c r="Q54" s="173"/>
      <c r="R54" s="174"/>
      <c r="S54" s="175"/>
    </row>
    <row r="55" spans="1:19" ht="17.25" customHeight="1" thickBot="1">
      <c r="A55" s="109" t="s">
        <v>195</v>
      </c>
      <c r="B55" s="110">
        <v>5.95</v>
      </c>
      <c r="C55" s="70">
        <v>-3.3500838000000001E-3</v>
      </c>
      <c r="D55" s="15">
        <v>5.86</v>
      </c>
      <c r="E55" s="32">
        <f t="shared" ref="E55:E58" si="22">IF(ISNUMBER(D55), (D55 - $B55) / $B55, "")</f>
        <v>-1.5126050420168043E-2</v>
      </c>
      <c r="F55" s="18">
        <f>IF(ISNUMBER(D55), $B64 * E55, "")</f>
        <v>-2268.9075630252064</v>
      </c>
      <c r="G55" s="31">
        <v>5.86</v>
      </c>
      <c r="H55" s="32">
        <f t="shared" ref="H55:H58" si="23">IF(ISNUMBER(G55), (G55 - $B55) / $B55, "")</f>
        <v>-1.5126050420168043E-2</v>
      </c>
      <c r="I55" s="91">
        <f>IF(ISNUMBER(G55), $B64 * H55, "")</f>
        <v>-2268.9075630252064</v>
      </c>
      <c r="J55" s="15">
        <v>5.88</v>
      </c>
      <c r="K55" s="32">
        <f t="shared" ref="K55:K58" si="24">IF(ISNUMBER(J55), (J55 - $B55) / $B55, "")</f>
        <v>-1.1764705882352988E-2</v>
      </c>
      <c r="L55" s="18">
        <f>IF(ISNUMBER(J55), $B64 * K55, "")</f>
        <v>-1764.7058823529483</v>
      </c>
      <c r="M55" s="31">
        <v>5.93</v>
      </c>
      <c r="N55" s="32">
        <f t="shared" ref="N55:N58" si="25">IF(ISNUMBER(M55), (M55 - $B55) / $B55, "")</f>
        <v>-3.3613445378152034E-3</v>
      </c>
      <c r="O55" s="18">
        <f>IF(ISNUMBER(M55), $B64 * N55, "")</f>
        <v>-504.20168067228053</v>
      </c>
      <c r="Q55" s="176"/>
      <c r="R55" s="177"/>
      <c r="S55" s="178"/>
    </row>
    <row r="56" spans="1:19" ht="17.25" customHeight="1" thickBot="1">
      <c r="A56" s="109" t="s">
        <v>185</v>
      </c>
      <c r="B56" s="110">
        <v>27.6</v>
      </c>
      <c r="C56" s="70">
        <v>-3.6101083E-3</v>
      </c>
      <c r="D56" s="15">
        <v>27.4</v>
      </c>
      <c r="E56" s="32">
        <f t="shared" si="22"/>
        <v>-7.2463768115943053E-3</v>
      </c>
      <c r="F56" s="18">
        <f>IF(ISNUMBER(D56), $B64 * E56, "")</f>
        <v>-1086.9565217391457</v>
      </c>
      <c r="G56" s="31">
        <v>27.4</v>
      </c>
      <c r="H56" s="32">
        <f t="shared" si="23"/>
        <v>-7.2463768115943053E-3</v>
      </c>
      <c r="I56" s="91">
        <f>IF(ISNUMBER(G56), $B64 * H56, "")</f>
        <v>-1086.9565217391457</v>
      </c>
      <c r="J56" s="15">
        <v>27.6</v>
      </c>
      <c r="K56" s="32">
        <f t="shared" si="24"/>
        <v>0</v>
      </c>
      <c r="L56" s="18">
        <f>IF(ISNUMBER(J56), $B64 * K56, "")</f>
        <v>0</v>
      </c>
      <c r="M56" s="31">
        <v>27</v>
      </c>
      <c r="N56" s="32">
        <f t="shared" si="25"/>
        <v>-2.173913043478266E-2</v>
      </c>
      <c r="O56" s="18">
        <f>IF(ISNUMBER(M56), $B64 * N56, "")</f>
        <v>-3260.8695652173992</v>
      </c>
      <c r="Q56" s="161"/>
      <c r="R56" s="161"/>
      <c r="S56" s="161"/>
    </row>
    <row r="57" spans="1:19" ht="17.25" customHeight="1" thickBot="1">
      <c r="A57" s="109" t="s">
        <v>210</v>
      </c>
      <c r="B57" s="110">
        <v>63.7</v>
      </c>
      <c r="C57" s="70">
        <v>-4.6874999999999998E-3</v>
      </c>
      <c r="D57" s="15">
        <v>63.4</v>
      </c>
      <c r="E57" s="32">
        <f t="shared" si="22"/>
        <v>-4.7095761381476331E-3</v>
      </c>
      <c r="F57" s="18">
        <f>IF(ISNUMBER(D57), $B64 * E57, "")</f>
        <v>-706.43642072214493</v>
      </c>
      <c r="G57" s="31">
        <v>63.3</v>
      </c>
      <c r="H57" s="32">
        <f t="shared" si="23"/>
        <v>-6.2794348508635111E-3</v>
      </c>
      <c r="I57" s="91">
        <f>IF(ISNUMBER(G57), $B64 * H57, "")</f>
        <v>-941.91522762952673</v>
      </c>
      <c r="J57" s="15">
        <v>63.2</v>
      </c>
      <c r="K57" s="32">
        <f t="shared" si="24"/>
        <v>-7.8492935635792772E-3</v>
      </c>
      <c r="L57" s="18">
        <f>IF(ISNUMBER(J57), $B64 * K57, "")</f>
        <v>-1177.3940345368917</v>
      </c>
      <c r="M57" s="31">
        <v>63</v>
      </c>
      <c r="N57" s="32">
        <f t="shared" si="25"/>
        <v>-1.0989010989011033E-2</v>
      </c>
      <c r="O57" s="18">
        <f>IF(ISNUMBER(M57), $B64 * N57, "")</f>
        <v>-1648.3516483516551</v>
      </c>
      <c r="Q57" s="156"/>
      <c r="R57" s="156"/>
      <c r="S57" s="156"/>
    </row>
    <row r="58" spans="1:19" ht="17.25" customHeight="1" thickBot="1">
      <c r="A58" s="111" t="s">
        <v>224</v>
      </c>
      <c r="B58" s="112">
        <v>18.600000000000001</v>
      </c>
      <c r="C58" s="71">
        <v>-5.3475935999999996E-3</v>
      </c>
      <c r="D58" s="20">
        <v>18.5</v>
      </c>
      <c r="E58" s="21">
        <f t="shared" si="22"/>
        <v>-5.3763440860215813E-3</v>
      </c>
      <c r="F58" s="22">
        <f>IF(ISNUMBER(D58), $B64 * E58, "")</f>
        <v>-806.45161290323722</v>
      </c>
      <c r="G58" s="30">
        <v>18.600000000000001</v>
      </c>
      <c r="H58" s="21">
        <f t="shared" si="23"/>
        <v>0</v>
      </c>
      <c r="I58" s="95">
        <f>IF(ISNUMBER(G58), $B64 * H58, "")</f>
        <v>0</v>
      </c>
      <c r="J58" s="20">
        <v>18.600000000000001</v>
      </c>
      <c r="K58" s="21">
        <f t="shared" si="24"/>
        <v>0</v>
      </c>
      <c r="L58" s="22">
        <f>IF(ISNUMBER(J58), $B64 * K58, "")</f>
        <v>0</v>
      </c>
      <c r="M58" s="30">
        <v>18.399999999999999</v>
      </c>
      <c r="N58" s="21">
        <f t="shared" si="25"/>
        <v>-1.0752688172043163E-2</v>
      </c>
      <c r="O58" s="22">
        <f>IF(ISNUMBER(M58), $B64 * N58, "")</f>
        <v>-1612.9032258064744</v>
      </c>
      <c r="Q58" s="156"/>
      <c r="R58" s="156"/>
      <c r="S58" s="156"/>
    </row>
    <row r="59" spans="1:19" ht="17.25" customHeight="1" thickBot="1">
      <c r="A59" s="109" t="s">
        <v>193</v>
      </c>
      <c r="B59" s="113">
        <v>17.8</v>
      </c>
      <c r="C59" s="73">
        <v>-5.5865921999999997E-3</v>
      </c>
      <c r="D59" s="96">
        <v>17.399999999999999</v>
      </c>
      <c r="E59" s="97">
        <f>IF(ISNUMBER(D59), (D59 - $B59) / $B59, "")</f>
        <v>-2.2471910112359668E-2</v>
      </c>
      <c r="F59" s="98">
        <f>IF(ISNUMBER(D59), $B64 * E59, "")</f>
        <v>-3370.7865168539502</v>
      </c>
      <c r="G59" s="99">
        <v>17.5</v>
      </c>
      <c r="H59" s="97">
        <f>IF(ISNUMBER(G59), (G59 - $B59) / $B59, "")</f>
        <v>-1.6853932584269701E-2</v>
      </c>
      <c r="I59" s="100">
        <f>IF(ISNUMBER(G59), $B64 * H59, "")</f>
        <v>-2528.0898876404549</v>
      </c>
      <c r="J59" s="96">
        <v>17.399999999999999</v>
      </c>
      <c r="K59" s="97">
        <f>IF(ISNUMBER(J59), (J59 - $B59) / $B59, "")</f>
        <v>-2.2471910112359668E-2</v>
      </c>
      <c r="L59" s="98">
        <f>IF(ISNUMBER(J59), $B64 * K59, "")</f>
        <v>-3370.7865168539502</v>
      </c>
      <c r="M59" s="99">
        <v>17.399999999999999</v>
      </c>
      <c r="N59" s="97">
        <f>IF(ISNUMBER(M59), (M59 - $B59) / $B59, "")</f>
        <v>-2.2471910112359668E-2</v>
      </c>
      <c r="O59" s="98">
        <f>IF(ISNUMBER(M59), $B64 * N59, "")</f>
        <v>-3370.7865168539502</v>
      </c>
      <c r="Q59" s="161"/>
      <c r="R59" s="161"/>
      <c r="S59" s="161"/>
    </row>
    <row r="60" spans="1:19" ht="17.25" customHeight="1" thickBot="1">
      <c r="A60" s="109" t="s">
        <v>335</v>
      </c>
      <c r="B60" s="110">
        <v>3.32E-2</v>
      </c>
      <c r="C60" s="70">
        <v>-5.9880239999999998E-3</v>
      </c>
      <c r="D60" s="15">
        <v>3.2300000000000002E-2</v>
      </c>
      <c r="E60" s="32">
        <f t="shared" ref="E60:E63" si="26">IF(ISNUMBER(D60), (D60 - $B60) / $B60, "")</f>
        <v>-2.7108433734939701E-2</v>
      </c>
      <c r="F60" s="18">
        <f>IF(ISNUMBER(D60), $B64 * E60, "")</f>
        <v>-4066.2650602409549</v>
      </c>
      <c r="G60" s="31">
        <v>3.2300000000000002E-2</v>
      </c>
      <c r="H60" s="32">
        <f t="shared" ref="H60:H63" si="27">IF(ISNUMBER(G60), (G60 - $B60) / $B60, "")</f>
        <v>-2.7108433734939701E-2</v>
      </c>
      <c r="I60" s="91">
        <f>IF(ISNUMBER(G60), $B64 * H60, "")</f>
        <v>-4066.2650602409549</v>
      </c>
      <c r="J60" s="15">
        <v>3.2399999999999998E-2</v>
      </c>
      <c r="K60" s="32">
        <f t="shared" ref="K60:K63" si="28">IF(ISNUMBER(J60), (J60 - $B60) / $B60, "")</f>
        <v>-2.4096385542168738E-2</v>
      </c>
      <c r="L60" s="18">
        <f>IF(ISNUMBER(J60), $B64 * K60, "")</f>
        <v>-3614.457831325311</v>
      </c>
      <c r="M60" s="31">
        <v>3.2199999999999999E-2</v>
      </c>
      <c r="N60" s="32">
        <f t="shared" ref="N60:N63" si="29">IF(ISNUMBER(M60), (M60 - $B60) / $B60, "")</f>
        <v>-3.0120481927710871E-2</v>
      </c>
      <c r="O60" s="18">
        <f>IF(ISNUMBER(M60), $B64 * N60, "")</f>
        <v>-4518.0722891566311</v>
      </c>
      <c r="Q60" s="161"/>
      <c r="R60" s="161"/>
      <c r="S60" s="161"/>
    </row>
    <row r="61" spans="1:19" ht="17.25" customHeight="1" thickBot="1">
      <c r="A61" s="109" t="s">
        <v>124</v>
      </c>
      <c r="B61" s="110">
        <v>29.2</v>
      </c>
      <c r="C61" s="70">
        <v>-6.8027210999999999E-3</v>
      </c>
      <c r="D61" s="15">
        <v>28.7</v>
      </c>
      <c r="E61" s="32">
        <f t="shared" si="26"/>
        <v>-1.7123287671232876E-2</v>
      </c>
      <c r="F61" s="18">
        <f>IF(ISNUMBER(D61), $B64 * E61, "")</f>
        <v>-2568.4931506849312</v>
      </c>
      <c r="G61" s="31">
        <v>28.9</v>
      </c>
      <c r="H61" s="32">
        <f t="shared" si="27"/>
        <v>-1.0273972602739751E-2</v>
      </c>
      <c r="I61" s="91">
        <f>IF(ISNUMBER(G61), $B64 * H61, "")</f>
        <v>-1541.0958904109627</v>
      </c>
      <c r="J61" s="15">
        <v>29.1</v>
      </c>
      <c r="K61" s="32">
        <f t="shared" si="28"/>
        <v>-3.4246575342465023E-3</v>
      </c>
      <c r="L61" s="18">
        <f>IF(ISNUMBER(J61), $B64 * K61, "")</f>
        <v>-513.69863013697534</v>
      </c>
      <c r="M61" s="31">
        <v>28.9</v>
      </c>
      <c r="N61" s="32">
        <f t="shared" si="29"/>
        <v>-1.0273972602739751E-2</v>
      </c>
      <c r="O61" s="18">
        <f>IF(ISNUMBER(M61), $B64 * N61, "")</f>
        <v>-1541.0958904109627</v>
      </c>
      <c r="Q61" s="161"/>
      <c r="R61" s="161"/>
      <c r="S61" s="161"/>
    </row>
    <row r="62" spans="1:19" ht="17.25" customHeight="1">
      <c r="A62" s="109" t="s">
        <v>56</v>
      </c>
      <c r="B62" s="110">
        <v>39.9</v>
      </c>
      <c r="C62" s="70">
        <v>-7.4626865999999998E-3</v>
      </c>
      <c r="D62" s="15">
        <v>40.200000000000003</v>
      </c>
      <c r="E62" s="32">
        <f t="shared" si="26"/>
        <v>7.5187969924813101E-3</v>
      </c>
      <c r="F62" s="18">
        <f>IF(ISNUMBER(D62), $B64 * E62, "")</f>
        <v>1127.8195488721965</v>
      </c>
      <c r="G62" s="31">
        <v>39.799999999999997</v>
      </c>
      <c r="H62" s="32">
        <f t="shared" si="27"/>
        <v>-2.5062656641604369E-3</v>
      </c>
      <c r="I62" s="91">
        <f>IF(ISNUMBER(G62), $B64 * H62, "")</f>
        <v>-375.93984962406552</v>
      </c>
      <c r="J62" s="15">
        <v>39.700000000000003</v>
      </c>
      <c r="K62" s="32">
        <f t="shared" si="28"/>
        <v>-5.012531328320695E-3</v>
      </c>
      <c r="L62" s="18">
        <f>IF(ISNUMBER(J62), $B64 * K62, "")</f>
        <v>-751.8796992481042</v>
      </c>
      <c r="M62" s="31">
        <v>39.700000000000003</v>
      </c>
      <c r="N62" s="32">
        <f t="shared" si="29"/>
        <v>-5.012531328320695E-3</v>
      </c>
      <c r="O62" s="18">
        <f>IF(ISNUMBER(M62), $B64 * N62, "")</f>
        <v>-751.8796992481042</v>
      </c>
      <c r="Q62" s="183"/>
      <c r="R62" s="184"/>
      <c r="S62" s="185"/>
    </row>
    <row r="63" spans="1:19" ht="17.25" customHeight="1" thickBot="1">
      <c r="A63" s="114" t="s">
        <v>122</v>
      </c>
      <c r="B63" s="115">
        <v>22.2</v>
      </c>
      <c r="C63" s="72">
        <v>-8.9285713999999999E-3</v>
      </c>
      <c r="D63" s="24">
        <v>22</v>
      </c>
      <c r="E63" s="25">
        <f t="shared" si="26"/>
        <v>-9.0090090090089777E-3</v>
      </c>
      <c r="F63" s="94">
        <f>IF(ISNUMBER(D63), $B64 * E63, "")</f>
        <v>-1351.3513513513467</v>
      </c>
      <c r="G63" s="92">
        <v>22.1</v>
      </c>
      <c r="H63" s="25">
        <f t="shared" si="27"/>
        <v>-4.5045045045044091E-3</v>
      </c>
      <c r="I63" s="93">
        <f>IF(ISNUMBER(G63), $B64 * H63, "")</f>
        <v>-675.67567567566141</v>
      </c>
      <c r="J63" s="24">
        <v>22</v>
      </c>
      <c r="K63" s="25">
        <f t="shared" si="28"/>
        <v>-9.0090090090089777E-3</v>
      </c>
      <c r="L63" s="94">
        <f>IF(ISNUMBER(J63), $B64 * K63, "")</f>
        <v>-1351.3513513513467</v>
      </c>
      <c r="M63" s="92">
        <v>21.8</v>
      </c>
      <c r="N63" s="25">
        <f t="shared" si="29"/>
        <v>-1.8018018018017955E-2</v>
      </c>
      <c r="O63" s="94">
        <f>IF(ISNUMBER(M63), $B64 * N63, "")</f>
        <v>-2702.7027027026934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-1.3650977966968717E-2</v>
      </c>
      <c r="F64" s="28">
        <f>SUM(F44:F63)</f>
        <v>-40952.933900906159</v>
      </c>
      <c r="G64" s="26" t="s">
        <v>261</v>
      </c>
      <c r="H64" s="27">
        <f>IF(COUNT(H44:H63), SUM(H44:H63) / COUNT(H44:H63), 0)</f>
        <v>-1.3342767983328507E-2</v>
      </c>
      <c r="I64" s="28">
        <f>SUM(I44:I63)</f>
        <v>-40028.303949985515</v>
      </c>
      <c r="J64" s="26" t="s">
        <v>261</v>
      </c>
      <c r="K64" s="27">
        <f>IF(COUNT(K44:K63), SUM(K44:K63) / COUNT(K44:K63), 0)</f>
        <v>-1.1266610895910516E-2</v>
      </c>
      <c r="L64" s="28">
        <f>SUM(L44:L63)</f>
        <v>-33799.832687731556</v>
      </c>
      <c r="M64" s="26" t="s">
        <v>261</v>
      </c>
      <c r="N64" s="27">
        <f>IF(COUNT(N44:N63), SUM(N44:N63) / COUNT(N44:N63), 0)</f>
        <v>-1.7170096266679816E-2</v>
      </c>
      <c r="O64" s="28">
        <f>SUM(O44:O63)</f>
        <v>-51510.288800039467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2022-12-19(월) 오전 00:00</v>
      </c>
      <c r="C69" s="199"/>
      <c r="D69" s="158" t="str">
        <f>TEXT($G$1, "[$-ko-KR]yyyy-mm-dd(ddd) ") &amp; "오후 14:00"</f>
        <v>2022-12-19(월) 오후 14:00</v>
      </c>
      <c r="E69" s="159"/>
      <c r="F69" s="160"/>
      <c r="G69" s="158" t="str">
        <f>TEXT($G$1, "[$-ko-KR]yyyy-mm-dd(ddd) ") &amp; "오후 19:00"</f>
        <v>2022-12-19(월) 오후 19:00</v>
      </c>
      <c r="H69" s="159"/>
      <c r="I69" s="160"/>
      <c r="J69" s="158" t="str">
        <f>TEXT($G$1, "[$-ko-KR]yyyy-mm-dd(ddd) ") &amp; "오후 21:00"</f>
        <v>2022-12-19(월) 오후 21:00</v>
      </c>
      <c r="K69" s="159"/>
      <c r="L69" s="160"/>
      <c r="M69" s="158" t="str">
        <f>TEXT($G$1+1, "[$-ko-KR]yyyy-mm-dd(ddd) ") &amp; "오전 00:00"</f>
        <v>2022-12-20(화)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234</v>
      </c>
      <c r="B71" s="108">
        <v>360</v>
      </c>
      <c r="C71" s="69">
        <v>1.98300283E-2</v>
      </c>
      <c r="D71" s="13">
        <v>347</v>
      </c>
      <c r="E71" s="14">
        <f>IF(ISNUMBER(D71), (D71 - $B71) / $B71, "")</f>
        <v>-3.6111111111111108E-2</v>
      </c>
      <c r="F71" s="16">
        <f>IF(ISNUMBER(D71), $B91 * E71, "")</f>
        <v>-5416.6666666666661</v>
      </c>
      <c r="G71" s="29">
        <v>346</v>
      </c>
      <c r="H71" s="14">
        <f>IF(ISNUMBER(G71), (G71 - $B71) / $B71, "")</f>
        <v>-3.888888888888889E-2</v>
      </c>
      <c r="I71" s="90">
        <f>IF(ISNUMBER(G71), $B91 * H71, "")</f>
        <v>-5833.333333333333</v>
      </c>
      <c r="J71" s="13">
        <v>346</v>
      </c>
      <c r="K71" s="14">
        <f>IF(ISNUMBER(J71), (J71 - $B71) / $B71, "")</f>
        <v>-3.888888888888889E-2</v>
      </c>
      <c r="L71" s="16">
        <f>IF(ISNUMBER(J71), $B91 * K71, "")</f>
        <v>-5833.333333333333</v>
      </c>
      <c r="M71" s="29">
        <v>346</v>
      </c>
      <c r="N71" s="14">
        <f>IF(ISNUMBER(M71), (M71 - $B71) / $B71, "")</f>
        <v>-3.888888888888889E-2</v>
      </c>
      <c r="O71" s="16">
        <f>IF(ISNUMBER(M71), $B91 * N71, "")</f>
        <v>-5833.333333333333</v>
      </c>
      <c r="Q71" s="156"/>
      <c r="R71" s="156"/>
      <c r="S71" s="156"/>
    </row>
    <row r="72" spans="1:19" ht="17.25" thickBot="1">
      <c r="A72" s="109" t="s">
        <v>51</v>
      </c>
      <c r="B72" s="110">
        <v>101</v>
      </c>
      <c r="C72" s="70">
        <v>0.01</v>
      </c>
      <c r="D72" s="15">
        <v>101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101</v>
      </c>
      <c r="H72" s="32">
        <f t="shared" ref="H72:H75" si="31">IF(ISNUMBER(G72), (G72 - $B72) / $B72, "")</f>
        <v>0</v>
      </c>
      <c r="I72" s="91">
        <f>IF(ISNUMBER(G72), $B91 * H72, "")</f>
        <v>0</v>
      </c>
      <c r="J72" s="15">
        <v>102</v>
      </c>
      <c r="K72" s="32">
        <f t="shared" ref="K72:K75" si="32">IF(ISNUMBER(J72), (J72 - $B72) / $B72, "")</f>
        <v>9.9009900990099011E-3</v>
      </c>
      <c r="L72" s="18">
        <f>IF(ISNUMBER(J72), $B91 * K72, "")</f>
        <v>1485.1485148514851</v>
      </c>
      <c r="M72" s="31">
        <v>102</v>
      </c>
      <c r="N72" s="32">
        <f t="shared" ref="N72:N75" si="33">IF(ISNUMBER(M72), (M72 - $B72) / $B72, "")</f>
        <v>9.9009900990099011E-3</v>
      </c>
      <c r="O72" s="18">
        <f>IF(ISNUMBER(M72), $B91 * N72, "")</f>
        <v>1485.1485148514851</v>
      </c>
      <c r="Q72" s="156"/>
      <c r="R72" s="156"/>
      <c r="S72" s="156"/>
    </row>
    <row r="73" spans="1:19" ht="17.25" thickBot="1">
      <c r="A73" s="109" t="s">
        <v>167</v>
      </c>
      <c r="B73" s="110">
        <v>173</v>
      </c>
      <c r="C73" s="70">
        <v>5.8139534999999999E-3</v>
      </c>
      <c r="D73" s="15">
        <v>171</v>
      </c>
      <c r="E73" s="32">
        <f t="shared" si="30"/>
        <v>-1.1560693641618497E-2</v>
      </c>
      <c r="F73" s="18">
        <f>IF(ISNUMBER(D73), $B91 * E73, "")</f>
        <v>-1734.1040462427745</v>
      </c>
      <c r="G73" s="31">
        <v>170</v>
      </c>
      <c r="H73" s="32">
        <f t="shared" si="31"/>
        <v>-1.7341040462427744E-2</v>
      </c>
      <c r="I73" s="91">
        <f>IF(ISNUMBER(G73), $B91 * H73, "")</f>
        <v>-2601.1560693641618</v>
      </c>
      <c r="J73" s="15">
        <v>170</v>
      </c>
      <c r="K73" s="32">
        <f t="shared" si="32"/>
        <v>-1.7341040462427744E-2</v>
      </c>
      <c r="L73" s="18">
        <f>IF(ISNUMBER(J73), $B91 * K73, "")</f>
        <v>-2601.1560693641618</v>
      </c>
      <c r="M73" s="31">
        <v>169</v>
      </c>
      <c r="N73" s="32">
        <f t="shared" si="33"/>
        <v>-2.3121387283236993E-2</v>
      </c>
      <c r="O73" s="18">
        <f>IF(ISNUMBER(M73), $B91 * N73, "")</f>
        <v>-3468.2080924855491</v>
      </c>
      <c r="Q73" s="161"/>
      <c r="R73" s="161"/>
      <c r="S73" s="161"/>
    </row>
    <row r="74" spans="1:19" ht="17.25" thickBot="1">
      <c r="A74" s="109" t="s">
        <v>216</v>
      </c>
      <c r="B74" s="110">
        <v>465</v>
      </c>
      <c r="C74" s="70">
        <v>2.1551724E-3</v>
      </c>
      <c r="D74" s="15">
        <v>467</v>
      </c>
      <c r="E74" s="32">
        <f t="shared" si="30"/>
        <v>4.3010752688172043E-3</v>
      </c>
      <c r="F74" s="18">
        <f>IF(ISNUMBER(D74), $B91 * E74, "")</f>
        <v>645.16129032258061</v>
      </c>
      <c r="G74" s="31">
        <v>466</v>
      </c>
      <c r="H74" s="32">
        <f t="shared" si="31"/>
        <v>2.1505376344086021E-3</v>
      </c>
      <c r="I74" s="91">
        <f>IF(ISNUMBER(G74), $B91 * H74, "")</f>
        <v>322.58064516129031</v>
      </c>
      <c r="J74" s="15">
        <v>466</v>
      </c>
      <c r="K74" s="32">
        <f t="shared" si="32"/>
        <v>2.1505376344086021E-3</v>
      </c>
      <c r="L74" s="18">
        <f>IF(ISNUMBER(J74), $B91 * K74, "")</f>
        <v>322.58064516129031</v>
      </c>
      <c r="M74" s="31">
        <v>462</v>
      </c>
      <c r="N74" s="32">
        <f t="shared" si="33"/>
        <v>-6.4516129032258064E-3</v>
      </c>
      <c r="O74" s="18">
        <f>IF(ISNUMBER(M74), $B91 * N74, "")</f>
        <v>-967.74193548387098</v>
      </c>
      <c r="Q74" s="161"/>
      <c r="R74" s="161"/>
      <c r="S74" s="161"/>
    </row>
    <row r="75" spans="1:19" ht="17.25" thickBot="1">
      <c r="A75" s="111" t="s">
        <v>238</v>
      </c>
      <c r="B75" s="112">
        <v>565</v>
      </c>
      <c r="C75" s="71">
        <v>1.7730496000000001E-3</v>
      </c>
      <c r="D75" s="20">
        <v>557</v>
      </c>
      <c r="E75" s="21">
        <f t="shared" si="30"/>
        <v>-1.415929203539823E-2</v>
      </c>
      <c r="F75" s="22">
        <f>IF(ISNUMBER(D75), $B91 * E75, "")</f>
        <v>-2123.8938053097345</v>
      </c>
      <c r="G75" s="30">
        <v>557</v>
      </c>
      <c r="H75" s="21">
        <f t="shared" si="31"/>
        <v>-1.415929203539823E-2</v>
      </c>
      <c r="I75" s="95">
        <f>IF(ISNUMBER(G75), $B91 * H75, "")</f>
        <v>-2123.8938053097345</v>
      </c>
      <c r="J75" s="20">
        <v>555</v>
      </c>
      <c r="K75" s="21">
        <f t="shared" si="32"/>
        <v>-1.7699115044247787E-2</v>
      </c>
      <c r="L75" s="22">
        <f>IF(ISNUMBER(J75), $B91 * K75, "")</f>
        <v>-2654.8672566371679</v>
      </c>
      <c r="M75" s="30">
        <v>553</v>
      </c>
      <c r="N75" s="21">
        <f t="shared" si="33"/>
        <v>-2.1238938053097345E-2</v>
      </c>
      <c r="O75" s="22">
        <f>IF(ISNUMBER(M75), $B91 * N75, "")</f>
        <v>-3185.8407079646017</v>
      </c>
      <c r="Q75" s="161"/>
      <c r="R75" s="161"/>
      <c r="S75" s="161"/>
    </row>
    <row r="76" spans="1:19" ht="17.25" thickBot="1">
      <c r="A76" s="109" t="s">
        <v>226</v>
      </c>
      <c r="B76" s="113">
        <v>207</v>
      </c>
      <c r="C76" s="73">
        <v>0</v>
      </c>
      <c r="D76" s="96">
        <v>207</v>
      </c>
      <c r="E76" s="97">
        <f>IF(ISNUMBER(D76), (D76 - $B76) / $B76, "")</f>
        <v>0</v>
      </c>
      <c r="F76" s="98">
        <f>IF(ISNUMBER(D76), $B91 * E76, "")</f>
        <v>0</v>
      </c>
      <c r="G76" s="99">
        <v>205</v>
      </c>
      <c r="H76" s="97">
        <f>IF(ISNUMBER(G76), (G76 - $B76) / $B76, "")</f>
        <v>-9.6618357487922701E-3</v>
      </c>
      <c r="I76" s="100">
        <f>IF(ISNUMBER(G76), $B91 * H76, "")</f>
        <v>-1449.2753623188405</v>
      </c>
      <c r="J76" s="96">
        <v>205</v>
      </c>
      <c r="K76" s="97">
        <f>IF(ISNUMBER(J76), (J76 - $B76) / $B76, "")</f>
        <v>-9.6618357487922701E-3</v>
      </c>
      <c r="L76" s="98">
        <f>IF(ISNUMBER(J76), $B91 * K76, "")</f>
        <v>-1449.2753623188405</v>
      </c>
      <c r="M76" s="99">
        <v>205</v>
      </c>
      <c r="N76" s="97">
        <f>IF(ISNUMBER(M76), (M76 - $B76) / $B76, "")</f>
        <v>-9.6618357487922701E-3</v>
      </c>
      <c r="O76" s="98">
        <f>IF(ISNUMBER(M76), $B91 * N76, "")</f>
        <v>-1449.2753623188405</v>
      </c>
      <c r="Q76" s="161"/>
      <c r="R76" s="161"/>
      <c r="S76" s="161"/>
    </row>
    <row r="77" spans="1:19" ht="17.25" thickBot="1">
      <c r="A77" s="109" t="s">
        <v>242</v>
      </c>
      <c r="B77" s="110">
        <v>419</v>
      </c>
      <c r="C77" s="70">
        <v>-2.3809524000000001E-3</v>
      </c>
      <c r="D77" s="15">
        <v>423</v>
      </c>
      <c r="E77" s="32">
        <f t="shared" ref="E77:E80" si="34">IF(ISNUMBER(D77), (D77 - $B77) / $B77, "")</f>
        <v>9.5465393794749408E-3</v>
      </c>
      <c r="F77" s="18">
        <f>IF(ISNUMBER(D77), $B91 * E77, "")</f>
        <v>1431.9809069212411</v>
      </c>
      <c r="G77" s="31">
        <v>424</v>
      </c>
      <c r="H77" s="32">
        <f t="shared" ref="H77:H80" si="35">IF(ISNUMBER(G77), (G77 - $B77) / $B77, "")</f>
        <v>1.1933174224343675E-2</v>
      </c>
      <c r="I77" s="91">
        <f>IF(ISNUMBER(G77), $B91 * H77, "")</f>
        <v>1789.9761336515512</v>
      </c>
      <c r="J77" s="15">
        <v>423</v>
      </c>
      <c r="K77" s="32">
        <f t="shared" ref="K77:K80" si="36">IF(ISNUMBER(J77), (J77 - $B77) / $B77, "")</f>
        <v>9.5465393794749408E-3</v>
      </c>
      <c r="L77" s="18">
        <f>IF(ISNUMBER(J77), $B91 * K77, "")</f>
        <v>1431.9809069212411</v>
      </c>
      <c r="M77" s="31">
        <v>422</v>
      </c>
      <c r="N77" s="32">
        <f t="shared" ref="N77:N80" si="37">IF(ISNUMBER(M77), (M77 - $B77) / $B77, "")</f>
        <v>7.1599045346062056E-3</v>
      </c>
      <c r="O77" s="18">
        <f>IF(ISNUMBER(M77), $B91 * N77, "")</f>
        <v>1073.9856801909309</v>
      </c>
      <c r="Q77" s="161"/>
      <c r="R77" s="161"/>
      <c r="S77" s="161"/>
    </row>
    <row r="78" spans="1:19" ht="17.25" thickBot="1">
      <c r="A78" s="109" t="s">
        <v>340</v>
      </c>
      <c r="B78" s="110">
        <v>514</v>
      </c>
      <c r="C78" s="70">
        <v>-3.8759689999999999E-3</v>
      </c>
      <c r="D78" s="15">
        <v>523</v>
      </c>
      <c r="E78" s="32">
        <f t="shared" si="34"/>
        <v>1.7509727626459144E-2</v>
      </c>
      <c r="F78" s="18">
        <f>IF(ISNUMBER(D78), $B91 * E78, "")</f>
        <v>2626.4591439688716</v>
      </c>
      <c r="G78" s="31">
        <v>523</v>
      </c>
      <c r="H78" s="32">
        <f t="shared" si="35"/>
        <v>1.7509727626459144E-2</v>
      </c>
      <c r="I78" s="91">
        <f>IF(ISNUMBER(G78), $B91 * H78, "")</f>
        <v>2626.4591439688716</v>
      </c>
      <c r="J78" s="15">
        <v>524</v>
      </c>
      <c r="K78" s="32">
        <f t="shared" si="36"/>
        <v>1.9455252918287938E-2</v>
      </c>
      <c r="L78" s="18">
        <f>IF(ISNUMBER(J78), $B91 * K78, "")</f>
        <v>2918.2879377431909</v>
      </c>
      <c r="M78" s="31">
        <v>525</v>
      </c>
      <c r="N78" s="32">
        <f t="shared" si="37"/>
        <v>2.1400778210116732E-2</v>
      </c>
      <c r="O78" s="18">
        <f>IF(ISNUMBER(M78), $B91 * N78, "")</f>
        <v>3210.1167315175098</v>
      </c>
      <c r="Q78" s="161"/>
      <c r="R78" s="161"/>
      <c r="S78" s="161"/>
    </row>
    <row r="79" spans="1:19" ht="17.25" thickBot="1">
      <c r="A79" s="109" t="s">
        <v>109</v>
      </c>
      <c r="B79" s="110">
        <v>993</v>
      </c>
      <c r="C79" s="70">
        <v>-4.0120360999999997E-3</v>
      </c>
      <c r="D79" s="15">
        <v>987</v>
      </c>
      <c r="E79" s="32">
        <f t="shared" si="34"/>
        <v>-6.0422960725075529E-3</v>
      </c>
      <c r="F79" s="18">
        <f>IF(ISNUMBER(D79), $B91 * E79, "")</f>
        <v>-906.34441087613288</v>
      </c>
      <c r="G79" s="31">
        <v>988</v>
      </c>
      <c r="H79" s="32">
        <f t="shared" si="35"/>
        <v>-5.0352467270896274E-3</v>
      </c>
      <c r="I79" s="91">
        <f>IF(ISNUMBER(G79), $B91 * H79, "")</f>
        <v>-755.28700906344409</v>
      </c>
      <c r="J79" s="15">
        <v>989</v>
      </c>
      <c r="K79" s="32">
        <f t="shared" si="36"/>
        <v>-4.0281973816717019E-3</v>
      </c>
      <c r="L79" s="18">
        <f>IF(ISNUMBER(J79), $B91 * K79, "")</f>
        <v>-604.22960725075529</v>
      </c>
      <c r="M79" s="31">
        <v>995</v>
      </c>
      <c r="N79" s="32">
        <f t="shared" si="37"/>
        <v>2.014098690835851E-3</v>
      </c>
      <c r="O79" s="18">
        <f>IF(ISNUMBER(M79), $B91 * N79, "")</f>
        <v>302.11480362537765</v>
      </c>
      <c r="Q79" s="33"/>
      <c r="R79" s="33"/>
    </row>
    <row r="80" spans="1:19" ht="17.25" thickBot="1">
      <c r="A80" s="114" t="s">
        <v>157</v>
      </c>
      <c r="B80" s="115">
        <v>166</v>
      </c>
      <c r="C80" s="72">
        <v>-5.9880239999999998E-3</v>
      </c>
      <c r="D80" s="24">
        <v>167</v>
      </c>
      <c r="E80" s="25">
        <f t="shared" si="34"/>
        <v>6.024096385542169E-3</v>
      </c>
      <c r="F80" s="94">
        <f>IF(ISNUMBER(D80), $B91 * E80, "")</f>
        <v>903.61445783132535</v>
      </c>
      <c r="G80" s="92">
        <v>168</v>
      </c>
      <c r="H80" s="25">
        <f t="shared" si="35"/>
        <v>1.2048192771084338E-2</v>
      </c>
      <c r="I80" s="93">
        <f>IF(ISNUMBER(G80), $B91 * H80, "")</f>
        <v>1807.2289156626507</v>
      </c>
      <c r="J80" s="24">
        <v>166</v>
      </c>
      <c r="K80" s="25">
        <f t="shared" si="36"/>
        <v>0</v>
      </c>
      <c r="L80" s="94">
        <f>IF(ISNUMBER(J80), $B91 * K80, "")</f>
        <v>0</v>
      </c>
      <c r="M80" s="92">
        <v>164</v>
      </c>
      <c r="N80" s="25">
        <f t="shared" si="37"/>
        <v>-1.2048192771084338E-2</v>
      </c>
      <c r="O80" s="94">
        <f>IF(ISNUMBER(M80), $B91 * N80, "")</f>
        <v>-1807.2289156626507</v>
      </c>
      <c r="Q80" s="170"/>
      <c r="R80" s="171"/>
      <c r="S80" s="172"/>
    </row>
    <row r="81" spans="1:19">
      <c r="A81" s="107" t="s">
        <v>165</v>
      </c>
      <c r="B81" s="108">
        <v>847</v>
      </c>
      <c r="C81" s="69">
        <v>-7.0339977E-3</v>
      </c>
      <c r="D81" s="13">
        <v>852</v>
      </c>
      <c r="E81" s="14">
        <f>IF(ISNUMBER(D81), (D81 - $B81) / $B81, "")</f>
        <v>5.9031877213695395E-3</v>
      </c>
      <c r="F81" s="16">
        <f>IF(ISNUMBER(D81), $B91 * E81, "")</f>
        <v>885.47815820543087</v>
      </c>
      <c r="G81" s="29">
        <v>852</v>
      </c>
      <c r="H81" s="14">
        <f>IF(ISNUMBER(G81), (G81 - $B81) / $B81, "")</f>
        <v>5.9031877213695395E-3</v>
      </c>
      <c r="I81" s="90">
        <f>IF(ISNUMBER(G81), $B91 * H81, "")</f>
        <v>885.47815820543087</v>
      </c>
      <c r="J81" s="13">
        <v>848</v>
      </c>
      <c r="K81" s="14">
        <f>IF(ISNUMBER(J81), (J81 - $B81) / $B81, "")</f>
        <v>1.1806375442739079E-3</v>
      </c>
      <c r="L81" s="16">
        <f>IF(ISNUMBER(J81), $B91 * K81, "")</f>
        <v>177.09563164108619</v>
      </c>
      <c r="M81" s="29">
        <v>854</v>
      </c>
      <c r="N81" s="14">
        <f>IF(ISNUMBER(M81), (M81 - $B81) / $B81, "")</f>
        <v>8.2644628099173556E-3</v>
      </c>
      <c r="O81" s="16">
        <f>IF(ISNUMBER(M81), $B91 * N81, "")</f>
        <v>1239.6694214876034</v>
      </c>
      <c r="Q81" s="173"/>
      <c r="R81" s="174"/>
      <c r="S81" s="175"/>
    </row>
    <row r="82" spans="1:19" ht="17.25" thickBot="1">
      <c r="A82" s="109" t="s">
        <v>349</v>
      </c>
      <c r="B82" s="110">
        <v>692</v>
      </c>
      <c r="C82" s="70">
        <v>-7.1736011000000004E-3</v>
      </c>
      <c r="D82" s="15">
        <v>688</v>
      </c>
      <c r="E82" s="32">
        <f t="shared" ref="E82:E85" si="38">IF(ISNUMBER(D82), (D82 - $B82) / $B82, "")</f>
        <v>-5.7803468208092483E-3</v>
      </c>
      <c r="F82" s="18">
        <f>IF(ISNUMBER(D82), $B91 * E82, "")</f>
        <v>-867.05202312138726</v>
      </c>
      <c r="G82" s="31">
        <v>687</v>
      </c>
      <c r="H82" s="32">
        <f t="shared" ref="H82:H85" si="39">IF(ISNUMBER(G82), (G82 - $B82) / $B82, "")</f>
        <v>-7.2254335260115606E-3</v>
      </c>
      <c r="I82" s="91">
        <f>IF(ISNUMBER(G82), $B91 * H82, "")</f>
        <v>-1083.8150289017342</v>
      </c>
      <c r="J82" s="15">
        <v>687</v>
      </c>
      <c r="K82" s="32">
        <f t="shared" ref="K82:K85" si="40">IF(ISNUMBER(J82), (J82 - $B82) / $B82, "")</f>
        <v>-7.2254335260115606E-3</v>
      </c>
      <c r="L82" s="18">
        <f>IF(ISNUMBER(J82), $B91 * K82, "")</f>
        <v>-1083.8150289017342</v>
      </c>
      <c r="M82" s="31">
        <v>689</v>
      </c>
      <c r="N82" s="32">
        <f t="shared" ref="N82:N85" si="41">IF(ISNUMBER(M82), (M82 - $B82) / $B82, "")</f>
        <v>-4.335260115606936E-3</v>
      </c>
      <c r="O82" s="18">
        <f>IF(ISNUMBER(M82), $B91 * N82, "")</f>
        <v>-650.28901734104045</v>
      </c>
      <c r="Q82" s="176"/>
      <c r="R82" s="177"/>
      <c r="S82" s="178"/>
    </row>
    <row r="83" spans="1:19" ht="17.25" thickBot="1">
      <c r="A83" s="109" t="s">
        <v>232</v>
      </c>
      <c r="B83" s="110">
        <v>257</v>
      </c>
      <c r="C83" s="70">
        <v>-7.7220077000000002E-3</v>
      </c>
      <c r="D83" s="15">
        <v>255</v>
      </c>
      <c r="E83" s="32">
        <f t="shared" si="38"/>
        <v>-7.7821011673151752E-3</v>
      </c>
      <c r="F83" s="18">
        <f>IF(ISNUMBER(D83), $B91 * E83, "")</f>
        <v>-1167.3151750972763</v>
      </c>
      <c r="G83" s="31">
        <v>254</v>
      </c>
      <c r="H83" s="32">
        <f t="shared" si="39"/>
        <v>-1.1673151750972763E-2</v>
      </c>
      <c r="I83" s="91">
        <f>IF(ISNUMBER(G83), $B91 * H83, "")</f>
        <v>-1750.9727626459144</v>
      </c>
      <c r="J83" s="15">
        <v>255</v>
      </c>
      <c r="K83" s="32">
        <f t="shared" si="40"/>
        <v>-7.7821011673151752E-3</v>
      </c>
      <c r="L83" s="18">
        <f>IF(ISNUMBER(J83), $B91 * K83, "")</f>
        <v>-1167.3151750972763</v>
      </c>
      <c r="M83" s="31">
        <v>255</v>
      </c>
      <c r="N83" s="32">
        <f t="shared" si="41"/>
        <v>-7.7821011673151752E-3</v>
      </c>
      <c r="O83" s="18">
        <f>IF(ISNUMBER(M83), $B91 * N83, "")</f>
        <v>-1167.3151750972763</v>
      </c>
      <c r="Q83" s="161"/>
      <c r="R83" s="161"/>
      <c r="S83" s="161"/>
    </row>
    <row r="84" spans="1:19" ht="17.25" thickBot="1">
      <c r="A84" s="109" t="s">
        <v>183</v>
      </c>
      <c r="B84" s="110">
        <v>126</v>
      </c>
      <c r="C84" s="70">
        <v>-7.8740157000000005E-3</v>
      </c>
      <c r="D84" s="15">
        <v>129</v>
      </c>
      <c r="E84" s="32">
        <f t="shared" si="38"/>
        <v>2.3809523809523808E-2</v>
      </c>
      <c r="F84" s="18">
        <f>IF(ISNUMBER(D84), $B91 * E84, "")</f>
        <v>3571.4285714285711</v>
      </c>
      <c r="G84" s="31">
        <v>128</v>
      </c>
      <c r="H84" s="32">
        <f t="shared" si="39"/>
        <v>1.5873015873015872E-2</v>
      </c>
      <c r="I84" s="91">
        <f>IF(ISNUMBER(G84), $B91 * H84, "")</f>
        <v>2380.9523809523807</v>
      </c>
      <c r="J84" s="15">
        <v>128</v>
      </c>
      <c r="K84" s="32">
        <f t="shared" si="40"/>
        <v>1.5873015873015872E-2</v>
      </c>
      <c r="L84" s="18">
        <f>IF(ISNUMBER(J84), $B91 * K84, "")</f>
        <v>2380.9523809523807</v>
      </c>
      <c r="M84" s="31">
        <v>127</v>
      </c>
      <c r="N84" s="32">
        <f t="shared" si="41"/>
        <v>7.9365079365079361E-3</v>
      </c>
      <c r="O84" s="18">
        <f>IF(ISNUMBER(M84), $B91 * N84, "")</f>
        <v>1190.4761904761904</v>
      </c>
      <c r="Q84" s="156"/>
      <c r="R84" s="156"/>
      <c r="S84" s="156"/>
    </row>
    <row r="85" spans="1:19" ht="17.25" thickBot="1">
      <c r="A85" s="111" t="s">
        <v>116</v>
      </c>
      <c r="B85" s="112">
        <v>968</v>
      </c>
      <c r="C85" s="71">
        <v>-8.1967212999999994E-3</v>
      </c>
      <c r="D85" s="20">
        <v>954</v>
      </c>
      <c r="E85" s="21">
        <f t="shared" si="38"/>
        <v>-1.4462809917355372E-2</v>
      </c>
      <c r="F85" s="22">
        <f>IF(ISNUMBER(D85), $B91 * E85, "")</f>
        <v>-2169.4214876033056</v>
      </c>
      <c r="G85" s="30">
        <v>956</v>
      </c>
      <c r="H85" s="21">
        <f t="shared" si="39"/>
        <v>-1.2396694214876033E-2</v>
      </c>
      <c r="I85" s="95">
        <f>IF(ISNUMBER(G85), $B91 * H85, "")</f>
        <v>-1859.504132231405</v>
      </c>
      <c r="J85" s="20">
        <v>962</v>
      </c>
      <c r="K85" s="21">
        <f t="shared" si="40"/>
        <v>-6.1983471074380167E-3</v>
      </c>
      <c r="L85" s="22">
        <f>IF(ISNUMBER(J85), $B91 * K85, "")</f>
        <v>-929.75206611570252</v>
      </c>
      <c r="M85" s="30">
        <v>953</v>
      </c>
      <c r="N85" s="21">
        <f t="shared" si="41"/>
        <v>-1.5495867768595042E-2</v>
      </c>
      <c r="O85" s="22">
        <f>IF(ISNUMBER(M85), $B91 * N85, "")</f>
        <v>-2324.3801652892562</v>
      </c>
      <c r="Q85" s="156"/>
      <c r="R85" s="156"/>
      <c r="S85" s="156"/>
    </row>
    <row r="86" spans="1:19" ht="17.25" thickBot="1">
      <c r="A86" s="109" t="s">
        <v>214</v>
      </c>
      <c r="B86" s="113">
        <v>953</v>
      </c>
      <c r="C86" s="73">
        <v>-8.3246618000000008E-3</v>
      </c>
      <c r="D86" s="96">
        <v>947</v>
      </c>
      <c r="E86" s="97">
        <f>IF(ISNUMBER(D86), (D86 - $B86) / $B86, "")</f>
        <v>-6.2959076600209865E-3</v>
      </c>
      <c r="F86" s="98">
        <f>IF(ISNUMBER(D86), $B91 * E86, "")</f>
        <v>-944.38614900314803</v>
      </c>
      <c r="G86" s="99">
        <v>952</v>
      </c>
      <c r="H86" s="97">
        <f>IF(ISNUMBER(G86), (G86 - $B86) / $B86, "")</f>
        <v>-1.0493179433368311E-3</v>
      </c>
      <c r="I86" s="100">
        <f>IF(ISNUMBER(G86), $B91 * H86, "")</f>
        <v>-157.39769150052467</v>
      </c>
      <c r="J86" s="96">
        <v>952</v>
      </c>
      <c r="K86" s="97">
        <f>IF(ISNUMBER(J86), (J86 - $B86) / $B86, "")</f>
        <v>-1.0493179433368311E-3</v>
      </c>
      <c r="L86" s="98">
        <f>IF(ISNUMBER(J86), $B91 * K86, "")</f>
        <v>-157.39769150052467</v>
      </c>
      <c r="M86" s="99">
        <v>950</v>
      </c>
      <c r="N86" s="97">
        <f>IF(ISNUMBER(M86), (M86 - $B86) / $B86, "")</f>
        <v>-3.1479538300104933E-3</v>
      </c>
      <c r="O86" s="98">
        <f>IF(ISNUMBER(M86), $B91 * N86, "")</f>
        <v>-472.19307450157402</v>
      </c>
      <c r="Q86" s="161"/>
      <c r="R86" s="161"/>
      <c r="S86" s="161"/>
    </row>
    <row r="87" spans="1:19" ht="17.25" thickBot="1">
      <c r="A87" s="109" t="s">
        <v>120</v>
      </c>
      <c r="B87" s="110">
        <v>118</v>
      </c>
      <c r="C87" s="70">
        <v>-8.4033613000000004E-3</v>
      </c>
      <c r="D87" s="15">
        <v>114</v>
      </c>
      <c r="E87" s="32">
        <f t="shared" ref="E87:E90" si="42">IF(ISNUMBER(D87), (D87 - $B87) / $B87, "")</f>
        <v>-3.3898305084745763E-2</v>
      </c>
      <c r="F87" s="18">
        <f>IF(ISNUMBER(D87), $B91 * E87, "")</f>
        <v>-5084.7457627118647</v>
      </c>
      <c r="G87" s="31">
        <v>115</v>
      </c>
      <c r="H87" s="32">
        <f t="shared" ref="H87:H90" si="43">IF(ISNUMBER(G87), (G87 - $B87) / $B87, "")</f>
        <v>-2.5423728813559324E-2</v>
      </c>
      <c r="I87" s="91">
        <f>IF(ISNUMBER(G87), $B91 * H87, "")</f>
        <v>-3813.5593220338988</v>
      </c>
      <c r="J87" s="15">
        <v>114</v>
      </c>
      <c r="K87" s="32">
        <f t="shared" ref="K87:K90" si="44">IF(ISNUMBER(J87), (J87 - $B87) / $B87, "")</f>
        <v>-3.3898305084745763E-2</v>
      </c>
      <c r="L87" s="18">
        <f>IF(ISNUMBER(J87), $B91 * K87, "")</f>
        <v>-5084.7457627118647</v>
      </c>
      <c r="M87" s="31">
        <v>113</v>
      </c>
      <c r="N87" s="32">
        <f t="shared" ref="N87:N90" si="45">IF(ISNUMBER(M87), (M87 - $B87) / $B87, "")</f>
        <v>-4.2372881355932202E-2</v>
      </c>
      <c r="O87" s="18">
        <f>IF(ISNUMBER(M87), $B91 * N87, "")</f>
        <v>-6355.9322033898306</v>
      </c>
      <c r="Q87" s="161"/>
      <c r="R87" s="161"/>
      <c r="S87" s="161"/>
    </row>
    <row r="88" spans="1:19" ht="17.25" thickBot="1">
      <c r="A88" s="109" t="s">
        <v>81</v>
      </c>
      <c r="B88" s="110">
        <v>351</v>
      </c>
      <c r="C88" s="70">
        <v>-8.4745762999999998E-3</v>
      </c>
      <c r="D88" s="15">
        <v>349</v>
      </c>
      <c r="E88" s="32">
        <f t="shared" si="42"/>
        <v>-5.6980056980056983E-3</v>
      </c>
      <c r="F88" s="18">
        <f>IF(ISNUMBER(D88), $B91 * E88, "")</f>
        <v>-854.70085470085473</v>
      </c>
      <c r="G88" s="31">
        <v>348</v>
      </c>
      <c r="H88" s="32">
        <f t="shared" si="43"/>
        <v>-8.5470085470085479E-3</v>
      </c>
      <c r="I88" s="91">
        <f>IF(ISNUMBER(G88), $B91 * H88, "")</f>
        <v>-1282.0512820512822</v>
      </c>
      <c r="J88" s="15">
        <v>348</v>
      </c>
      <c r="K88" s="32">
        <f t="shared" si="44"/>
        <v>-8.5470085470085479E-3</v>
      </c>
      <c r="L88" s="18">
        <f>IF(ISNUMBER(J88), $B91 * K88, "")</f>
        <v>-1282.0512820512822</v>
      </c>
      <c r="M88" s="31">
        <v>347</v>
      </c>
      <c r="N88" s="32">
        <f t="shared" si="45"/>
        <v>-1.1396011396011397E-2</v>
      </c>
      <c r="O88" s="18">
        <f>IF(ISNUMBER(M88), $B91 * N88, "")</f>
        <v>-1709.4017094017095</v>
      </c>
      <c r="Q88" s="161"/>
      <c r="R88" s="161"/>
      <c r="S88" s="161"/>
    </row>
    <row r="89" spans="1:19">
      <c r="A89" s="109" t="s">
        <v>66</v>
      </c>
      <c r="B89" s="110">
        <v>670</v>
      </c>
      <c r="C89" s="70">
        <v>-8.8757395999999999E-3</v>
      </c>
      <c r="D89" s="15">
        <v>671</v>
      </c>
      <c r="E89" s="32">
        <f t="shared" si="42"/>
        <v>1.4925373134328358E-3</v>
      </c>
      <c r="F89" s="18">
        <f>IF(ISNUMBER(D89), $B91 * E89, "")</f>
        <v>223.88059701492537</v>
      </c>
      <c r="G89" s="31">
        <v>670</v>
      </c>
      <c r="H89" s="32">
        <f t="shared" si="43"/>
        <v>0</v>
      </c>
      <c r="I89" s="91">
        <f>IF(ISNUMBER(G89), $B91 * H89, "")</f>
        <v>0</v>
      </c>
      <c r="J89" s="15">
        <v>669</v>
      </c>
      <c r="K89" s="32">
        <f t="shared" si="44"/>
        <v>-1.4925373134328358E-3</v>
      </c>
      <c r="L89" s="18">
        <f>IF(ISNUMBER(J89), $B91 * K89, "")</f>
        <v>-223.88059701492537</v>
      </c>
      <c r="M89" s="31">
        <v>668</v>
      </c>
      <c r="N89" s="32">
        <f t="shared" si="45"/>
        <v>-2.9850746268656717E-3</v>
      </c>
      <c r="O89" s="18">
        <f>IF(ISNUMBER(M89), $B91 * N89, "")</f>
        <v>-447.76119402985074</v>
      </c>
      <c r="Q89" s="183"/>
      <c r="R89" s="184"/>
      <c r="S89" s="185"/>
    </row>
    <row r="90" spans="1:19" ht="17.25" thickBot="1">
      <c r="A90" s="114" t="s">
        <v>101</v>
      </c>
      <c r="B90" s="115">
        <v>215</v>
      </c>
      <c r="C90" s="72">
        <v>-9.2165899000000006E-3</v>
      </c>
      <c r="D90" s="24">
        <v>214</v>
      </c>
      <c r="E90" s="25">
        <f t="shared" si="42"/>
        <v>-4.6511627906976744E-3</v>
      </c>
      <c r="F90" s="94">
        <f>IF(ISNUMBER(D90), $B91 * E90, "")</f>
        <v>-697.67441860465112</v>
      </c>
      <c r="G90" s="92">
        <v>214</v>
      </c>
      <c r="H90" s="25">
        <f t="shared" si="43"/>
        <v>-4.6511627906976744E-3</v>
      </c>
      <c r="I90" s="93">
        <f>IF(ISNUMBER(G90), $B91 * H90, "")</f>
        <v>-697.67441860465112</v>
      </c>
      <c r="J90" s="24">
        <v>214</v>
      </c>
      <c r="K90" s="25">
        <f t="shared" si="44"/>
        <v>-4.6511627906976744E-3</v>
      </c>
      <c r="L90" s="94">
        <f>IF(ISNUMBER(J90), $B91 * K90, "")</f>
        <v>-697.67441860465112</v>
      </c>
      <c r="M90" s="92">
        <v>214</v>
      </c>
      <c r="N90" s="25">
        <f t="shared" si="45"/>
        <v>-4.6511627906976744E-3</v>
      </c>
      <c r="O90" s="94">
        <f>IF(ISNUMBER(M90), $B91 * N90, "")</f>
        <v>-697.67441860465112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-3.8927672247482835E-3</v>
      </c>
      <c r="F91" s="28">
        <f>SUM(F71:F90)</f>
        <v>-11678.301674244851</v>
      </c>
      <c r="G91" s="26" t="s">
        <v>261</v>
      </c>
      <c r="H91" s="27">
        <f>IF(COUNT(H71:H90), SUM(H71:H90) / COUNT(H71:H90), 0)</f>
        <v>-4.5317482799189165E-3</v>
      </c>
      <c r="I91" s="28">
        <f>SUM(I71:I90)</f>
        <v>-13595.244839756748</v>
      </c>
      <c r="J91" s="26" t="s">
        <v>261</v>
      </c>
      <c r="K91" s="27">
        <f>IF(COUNT(K71:K90), SUM(K71:K90) / COUNT(K71:K90), 0)</f>
        <v>-5.0178158778771817E-3</v>
      </c>
      <c r="L91" s="28">
        <f>SUM(L71:L90)</f>
        <v>-15053.447633631544</v>
      </c>
      <c r="M91" s="26" t="s">
        <v>261</v>
      </c>
      <c r="N91" s="27">
        <f>IF(COUNT(N71:N90), SUM(N71:N90) / COUNT(N71:N90), 0)</f>
        <v>-7.3450213209183129E-3</v>
      </c>
      <c r="O91" s="28">
        <f>SUM(O71:O90)</f>
        <v>-22035.063962754939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2022-12-19(월) 오전 00:00</v>
      </c>
      <c r="C96" s="199"/>
      <c r="D96" s="158" t="str">
        <f>TEXT($G$1, "[$-ko-KR]yyyy-mm-dd(ddd) ") &amp; "오후 14:00"</f>
        <v>2022-12-19(월) 오후 14:00</v>
      </c>
      <c r="E96" s="159"/>
      <c r="F96" s="160"/>
      <c r="G96" s="158" t="str">
        <f>TEXT($G$1, "[$-ko-KR]yyyy-mm-dd(ddd) ") &amp; "오후 19:00"</f>
        <v>2022-12-19(월) 오후 19:00</v>
      </c>
      <c r="H96" s="159"/>
      <c r="I96" s="160"/>
      <c r="J96" s="158" t="str">
        <f>TEXT($G$1, "[$-ko-KR]yyyy-mm-dd(ddd) ") &amp; "오후 21:00"</f>
        <v>2022-12-19(월) 오후 21:00</v>
      </c>
      <c r="K96" s="159"/>
      <c r="L96" s="160"/>
      <c r="M96" s="158" t="str">
        <f>TEXT($G$1+1, "[$-ko-KR]yyyy-mm-dd(ddd) ") &amp; "오전 00:00"</f>
        <v>2022-12-20(화)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97</v>
      </c>
      <c r="B98" s="108">
        <v>8.9999999999999998E-4</v>
      </c>
      <c r="C98" s="69">
        <v>0.125</v>
      </c>
      <c r="D98" s="13">
        <v>8.0000000000000004E-4</v>
      </c>
      <c r="E98" s="14">
        <f>IF(ISNUMBER(D98), (D98 - $B98) / $B98, "")</f>
        <v>-0.11111111111111105</v>
      </c>
      <c r="F98" s="16">
        <f>IF(ISNUMBER(D98), $B118 * E98, "")</f>
        <v>-16666.666666666657</v>
      </c>
      <c r="G98" s="29">
        <v>8.0000000000000004E-4</v>
      </c>
      <c r="H98" s="14">
        <f>IF(ISNUMBER(G98), (G98 - $B98) / $B98, "")</f>
        <v>-0.11111111111111105</v>
      </c>
      <c r="I98" s="90">
        <f>IF(ISNUMBER(G98), $B118 * H98, "")</f>
        <v>-16666.666666666657</v>
      </c>
      <c r="J98" s="13">
        <v>8.0000000000000004E-4</v>
      </c>
      <c r="K98" s="14">
        <f>IF(ISNUMBER(J98), (J98 - $B98) / $B98, "")</f>
        <v>-0.11111111111111105</v>
      </c>
      <c r="L98" s="16">
        <f>IF(ISNUMBER(J98), $B118 * K98, "")</f>
        <v>-16666.666666666657</v>
      </c>
      <c r="M98" s="29">
        <v>8.0000000000000004E-4</v>
      </c>
      <c r="N98" s="14">
        <f>IF(ISNUMBER(M98), (M98 - $B98) / $B98, "")</f>
        <v>-0.11111111111111105</v>
      </c>
      <c r="O98" s="16">
        <f>IF(ISNUMBER(M98), $B118 * N98, "")</f>
        <v>-16666.666666666657</v>
      </c>
      <c r="Q98" s="156"/>
      <c r="R98" s="156"/>
      <c r="S98" s="156"/>
    </row>
    <row r="99" spans="1:19" ht="17.25" thickBot="1">
      <c r="A99" s="109" t="s">
        <v>174</v>
      </c>
      <c r="B99" s="110">
        <v>13700</v>
      </c>
      <c r="C99" s="70">
        <v>4.9004594200000001E-2</v>
      </c>
      <c r="D99" s="15">
        <v>13380</v>
      </c>
      <c r="E99" s="32">
        <f t="shared" ref="E99:E102" si="46">IF(ISNUMBER(D99), (D99 - $B99) / $B99, "")</f>
        <v>-2.3357664233576641E-2</v>
      </c>
      <c r="F99" s="18">
        <f>IF(ISNUMBER(D99), $B118 * E99, "")</f>
        <v>-3503.649635036496</v>
      </c>
      <c r="G99" s="31">
        <v>13320</v>
      </c>
      <c r="H99" s="32">
        <f t="shared" ref="H99:H102" si="47">IF(ISNUMBER(G99), (G99 - $B99) / $B99, "")</f>
        <v>-2.7737226277372264E-2</v>
      </c>
      <c r="I99" s="91">
        <f>IF(ISNUMBER(G99), $B118 * H99, "")</f>
        <v>-4160.5839416058398</v>
      </c>
      <c r="J99" s="15">
        <v>13320</v>
      </c>
      <c r="K99" s="32">
        <f t="shared" ref="K99:K102" si="48">IF(ISNUMBER(J99), (J99 - $B99) / $B99, "")</f>
        <v>-2.7737226277372264E-2</v>
      </c>
      <c r="L99" s="18">
        <f>IF(ISNUMBER(J99), $B118 * K99, "")</f>
        <v>-4160.5839416058398</v>
      </c>
      <c r="M99" s="31">
        <v>13250</v>
      </c>
      <c r="N99" s="32">
        <f t="shared" ref="N99:N102" si="49">IF(ISNUMBER(M99), (M99 - $B99) / $B99, "")</f>
        <v>-3.2846715328467155E-2</v>
      </c>
      <c r="O99" s="18">
        <f>IF(ISNUMBER(M99), $B118 * N99, "")</f>
        <v>-4927.0072992700734</v>
      </c>
      <c r="Q99" s="156"/>
      <c r="R99" s="156"/>
      <c r="S99" s="156"/>
    </row>
    <row r="100" spans="1:19" ht="17.25" thickBot="1">
      <c r="A100" s="109" t="s">
        <v>244</v>
      </c>
      <c r="B100" s="110">
        <v>90.5</v>
      </c>
      <c r="C100" s="70">
        <v>2.0293122899999998E-2</v>
      </c>
      <c r="D100" s="15">
        <v>88.8</v>
      </c>
      <c r="E100" s="32">
        <f t="shared" si="46"/>
        <v>-1.8784530386740363E-2</v>
      </c>
      <c r="F100" s="18">
        <f>IF(ISNUMBER(D100), $B118 * E100, "")</f>
        <v>-2817.6795580110543</v>
      </c>
      <c r="G100" s="31">
        <v>88.3</v>
      </c>
      <c r="H100" s="32">
        <f t="shared" si="47"/>
        <v>-2.4309392265193401E-2</v>
      </c>
      <c r="I100" s="91">
        <f>IF(ISNUMBER(G100), $B118 * H100, "")</f>
        <v>-3646.4088397790101</v>
      </c>
      <c r="J100" s="15">
        <v>90.7</v>
      </c>
      <c r="K100" s="32">
        <f t="shared" si="48"/>
        <v>2.2099447513812469E-3</v>
      </c>
      <c r="L100" s="18">
        <f>IF(ISNUMBER(J100), $B118 * K100, "")</f>
        <v>331.49171270718705</v>
      </c>
      <c r="M100" s="31">
        <v>88.8</v>
      </c>
      <c r="N100" s="32">
        <f t="shared" si="49"/>
        <v>-1.8784530386740363E-2</v>
      </c>
      <c r="O100" s="18">
        <f>IF(ISNUMBER(M100), $B118 * N100, "")</f>
        <v>-2817.6795580110543</v>
      </c>
      <c r="Q100" s="161"/>
      <c r="R100" s="161"/>
      <c r="S100" s="161"/>
    </row>
    <row r="101" spans="1:19" ht="17.25" thickBot="1">
      <c r="A101" s="109" t="s">
        <v>234</v>
      </c>
      <c r="B101" s="110">
        <v>360</v>
      </c>
      <c r="C101" s="70">
        <v>1.98300283E-2</v>
      </c>
      <c r="D101" s="15">
        <v>347</v>
      </c>
      <c r="E101" s="32">
        <f t="shared" si="46"/>
        <v>-3.6111111111111108E-2</v>
      </c>
      <c r="F101" s="18">
        <f>IF(ISNUMBER(D101), $B118 * E101, "")</f>
        <v>-5416.6666666666661</v>
      </c>
      <c r="G101" s="31">
        <v>346</v>
      </c>
      <c r="H101" s="32">
        <f t="shared" si="47"/>
        <v>-3.888888888888889E-2</v>
      </c>
      <c r="I101" s="91">
        <f>IF(ISNUMBER(G101), $B118 * H101, "")</f>
        <v>-5833.333333333333</v>
      </c>
      <c r="J101" s="15">
        <v>346</v>
      </c>
      <c r="K101" s="32">
        <f t="shared" si="48"/>
        <v>-3.888888888888889E-2</v>
      </c>
      <c r="L101" s="18">
        <f>IF(ISNUMBER(J101), $B118 * K101, "")</f>
        <v>-5833.333333333333</v>
      </c>
      <c r="M101" s="31">
        <v>346</v>
      </c>
      <c r="N101" s="32">
        <f t="shared" si="49"/>
        <v>-3.888888888888889E-2</v>
      </c>
      <c r="O101" s="18">
        <f>IF(ISNUMBER(M101), $B118 * N101, "")</f>
        <v>-5833.333333333333</v>
      </c>
      <c r="Q101" s="161"/>
      <c r="R101" s="161"/>
      <c r="S101" s="161"/>
    </row>
    <row r="102" spans="1:19" ht="17.25" thickBot="1">
      <c r="A102" s="111" t="s">
        <v>326</v>
      </c>
      <c r="B102" s="112">
        <v>21.1</v>
      </c>
      <c r="C102" s="71">
        <v>1.93236715E-2</v>
      </c>
      <c r="D102" s="20">
        <v>20.5</v>
      </c>
      <c r="E102" s="21">
        <f t="shared" si="46"/>
        <v>-2.8436018957346036E-2</v>
      </c>
      <c r="F102" s="22">
        <f>IF(ISNUMBER(D102), $B118 * E102, "")</f>
        <v>-4265.4028436019053</v>
      </c>
      <c r="G102" s="30">
        <v>20.399999999999999</v>
      </c>
      <c r="H102" s="21">
        <f t="shared" si="47"/>
        <v>-3.3175355450237101E-2</v>
      </c>
      <c r="I102" s="95">
        <f>IF(ISNUMBER(G102), $B118 * H102, "")</f>
        <v>-4976.3033175355649</v>
      </c>
      <c r="J102" s="20">
        <v>20.5</v>
      </c>
      <c r="K102" s="21">
        <f t="shared" si="48"/>
        <v>-2.8436018957346036E-2</v>
      </c>
      <c r="L102" s="22">
        <f>IF(ISNUMBER(J102), $B118 * K102, "")</f>
        <v>-4265.4028436019053</v>
      </c>
      <c r="M102" s="30">
        <v>20.399999999999999</v>
      </c>
      <c r="N102" s="21">
        <f t="shared" si="49"/>
        <v>-3.3175355450237101E-2</v>
      </c>
      <c r="O102" s="22">
        <f>IF(ISNUMBER(M102), $B118 * N102, "")</f>
        <v>-4976.3033175355649</v>
      </c>
      <c r="Q102" s="161"/>
      <c r="R102" s="161"/>
      <c r="S102" s="161"/>
    </row>
    <row r="103" spans="1:19" ht="17.25" thickBot="1">
      <c r="A103" s="109" t="s">
        <v>333</v>
      </c>
      <c r="B103" s="113">
        <v>57.7</v>
      </c>
      <c r="C103" s="73">
        <v>1.22807018E-2</v>
      </c>
      <c r="D103" s="96">
        <v>57.6</v>
      </c>
      <c r="E103" s="97">
        <f>IF(ISNUMBER(D103), (D103 - $B103) / $B103, "")</f>
        <v>-1.7331022530329536E-3</v>
      </c>
      <c r="F103" s="98">
        <f>IF(ISNUMBER(D103), $B118 * E103, "")</f>
        <v>-259.96533795494304</v>
      </c>
      <c r="G103" s="99">
        <v>57.7</v>
      </c>
      <c r="H103" s="97">
        <f>IF(ISNUMBER(G103), (G103 - $B103) / $B103, "")</f>
        <v>0</v>
      </c>
      <c r="I103" s="100">
        <f>IF(ISNUMBER(G103), $B118 * H103, "")</f>
        <v>0</v>
      </c>
      <c r="J103" s="96">
        <v>57.3</v>
      </c>
      <c r="K103" s="97">
        <f>IF(ISNUMBER(J103), (J103 - $B103) / $B103, "")</f>
        <v>-6.9324090121318143E-3</v>
      </c>
      <c r="L103" s="98">
        <f>IF(ISNUMBER(J103), $B118 * K103, "")</f>
        <v>-1039.8613518197722</v>
      </c>
      <c r="M103" s="99">
        <v>57.2</v>
      </c>
      <c r="N103" s="97">
        <f>IF(ISNUMBER(M103), (M103 - $B103) / $B103, "")</f>
        <v>-8.6655112651646445E-3</v>
      </c>
      <c r="O103" s="98">
        <f>IF(ISNUMBER(M103), $B118 * N103, "")</f>
        <v>-1299.8266897746967</v>
      </c>
      <c r="Q103" s="161"/>
      <c r="R103" s="161"/>
      <c r="S103" s="161"/>
    </row>
    <row r="104" spans="1:19" ht="17.25" thickBot="1">
      <c r="A104" s="109" t="s">
        <v>51</v>
      </c>
      <c r="B104" s="110">
        <v>101</v>
      </c>
      <c r="C104" s="70">
        <v>0.01</v>
      </c>
      <c r="D104" s="15">
        <v>101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101</v>
      </c>
      <c r="H104" s="32">
        <f t="shared" ref="H104:H107" si="51">IF(ISNUMBER(G104), (G104 - $B104) / $B104, "")</f>
        <v>0</v>
      </c>
      <c r="I104" s="91">
        <f>IF(ISNUMBER(G104), $B118 * H104, "")</f>
        <v>0</v>
      </c>
      <c r="J104" s="15">
        <v>102</v>
      </c>
      <c r="K104" s="32">
        <f t="shared" ref="K104:K107" si="52">IF(ISNUMBER(J104), (J104 - $B104) / $B104, "")</f>
        <v>9.9009900990099011E-3</v>
      </c>
      <c r="L104" s="18">
        <f>IF(ISNUMBER(J104), $B118 * K104, "")</f>
        <v>1485.1485148514851</v>
      </c>
      <c r="M104" s="31">
        <v>102</v>
      </c>
      <c r="N104" s="32">
        <f t="shared" ref="N104:N107" si="53">IF(ISNUMBER(M104), (M104 - $B104) / $B104, "")</f>
        <v>9.9009900990099011E-3</v>
      </c>
      <c r="O104" s="18">
        <f>IF(ISNUMBER(M104), $B118 * N104, "")</f>
        <v>1485.1485148514851</v>
      </c>
      <c r="Q104" s="161"/>
      <c r="R104" s="161"/>
      <c r="S104" s="161"/>
    </row>
    <row r="105" spans="1:19" ht="17.25" thickBot="1">
      <c r="A105" s="109" t="s">
        <v>155</v>
      </c>
      <c r="B105" s="110">
        <v>27.6</v>
      </c>
      <c r="C105" s="70">
        <v>7.2992700999999997E-3</v>
      </c>
      <c r="D105" s="15">
        <v>27.2</v>
      </c>
      <c r="E105" s="32">
        <f t="shared" si="50"/>
        <v>-1.4492753623188482E-2</v>
      </c>
      <c r="F105" s="18">
        <f>IF(ISNUMBER(D105), $B118 * E105, "")</f>
        <v>-2173.9130434782724</v>
      </c>
      <c r="G105" s="31">
        <v>27.2</v>
      </c>
      <c r="H105" s="32">
        <f t="shared" si="51"/>
        <v>-1.4492753623188482E-2</v>
      </c>
      <c r="I105" s="91">
        <f>IF(ISNUMBER(G105), $B118 * H105, "")</f>
        <v>-2173.9130434782724</v>
      </c>
      <c r="J105" s="15">
        <v>27.3</v>
      </c>
      <c r="K105" s="32">
        <f t="shared" si="52"/>
        <v>-1.086956521739133E-2</v>
      </c>
      <c r="L105" s="18">
        <f>IF(ISNUMBER(J105), $B118 * K105, "")</f>
        <v>-1630.4347826086996</v>
      </c>
      <c r="M105" s="31">
        <v>26.7</v>
      </c>
      <c r="N105" s="32">
        <f t="shared" si="53"/>
        <v>-3.2608695652173988E-2</v>
      </c>
      <c r="O105" s="18">
        <f>IF(ISNUMBER(M105), $B118 * N105, "")</f>
        <v>-4891.3043478260979</v>
      </c>
      <c r="Q105" s="161"/>
      <c r="R105" s="161"/>
      <c r="S105" s="161"/>
    </row>
    <row r="106" spans="1:19" ht="17.25" thickBot="1">
      <c r="A106" s="109" t="s">
        <v>136</v>
      </c>
      <c r="B106" s="110">
        <v>2765</v>
      </c>
      <c r="C106" s="70">
        <v>7.2859745000000004E-3</v>
      </c>
      <c r="D106" s="15">
        <v>2805</v>
      </c>
      <c r="E106" s="32">
        <f t="shared" si="50"/>
        <v>1.4466546112115732E-2</v>
      </c>
      <c r="F106" s="18">
        <f>IF(ISNUMBER(D106), $B118 * E106, "")</f>
        <v>2169.9819168173599</v>
      </c>
      <c r="G106" s="31">
        <v>2810</v>
      </c>
      <c r="H106" s="32">
        <f t="shared" si="51"/>
        <v>1.62748643761302E-2</v>
      </c>
      <c r="I106" s="91">
        <f>IF(ISNUMBER(G106), $B118 * H106, "")</f>
        <v>2441.2296564195299</v>
      </c>
      <c r="J106" s="15">
        <v>2800</v>
      </c>
      <c r="K106" s="32">
        <f t="shared" si="52"/>
        <v>1.2658227848101266E-2</v>
      </c>
      <c r="L106" s="18">
        <f>IF(ISNUMBER(J106), $B118 * K106, "")</f>
        <v>1898.7341772151899</v>
      </c>
      <c r="M106" s="31">
        <v>2775</v>
      </c>
      <c r="N106" s="32">
        <f t="shared" si="53"/>
        <v>3.616636528028933E-3</v>
      </c>
      <c r="O106" s="18">
        <f>IF(ISNUMBER(M106), $B118 * N106, "")</f>
        <v>542.49547920433997</v>
      </c>
      <c r="Q106" s="33"/>
      <c r="R106" s="33"/>
    </row>
    <row r="107" spans="1:19" ht="17.25" thickBot="1">
      <c r="A107" s="114" t="s">
        <v>167</v>
      </c>
      <c r="B107" s="115">
        <v>173</v>
      </c>
      <c r="C107" s="72">
        <v>5.8139534999999999E-3</v>
      </c>
      <c r="D107" s="24">
        <v>171</v>
      </c>
      <c r="E107" s="25">
        <f t="shared" si="50"/>
        <v>-1.1560693641618497E-2</v>
      </c>
      <c r="F107" s="94">
        <f>IF(ISNUMBER(D107), $B118 * E107, "")</f>
        <v>-1734.1040462427745</v>
      </c>
      <c r="G107" s="92">
        <v>170</v>
      </c>
      <c r="H107" s="25">
        <f t="shared" si="51"/>
        <v>-1.7341040462427744E-2</v>
      </c>
      <c r="I107" s="93">
        <f>IF(ISNUMBER(G107), $B118 * H107, "")</f>
        <v>-2601.1560693641618</v>
      </c>
      <c r="J107" s="24">
        <v>170</v>
      </c>
      <c r="K107" s="25">
        <f t="shared" si="52"/>
        <v>-1.7341040462427744E-2</v>
      </c>
      <c r="L107" s="94">
        <f>IF(ISNUMBER(J107), $B118 * K107, "")</f>
        <v>-2601.1560693641618</v>
      </c>
      <c r="M107" s="92">
        <v>169</v>
      </c>
      <c r="N107" s="25">
        <f t="shared" si="53"/>
        <v>-2.3121387283236993E-2</v>
      </c>
      <c r="O107" s="94">
        <f>IF(ISNUMBER(M107), $B118 * N107, "")</f>
        <v>-3468.2080924855491</v>
      </c>
      <c r="Q107" s="170"/>
      <c r="R107" s="171"/>
      <c r="S107" s="172"/>
    </row>
    <row r="108" spans="1:19">
      <c r="A108" s="107" t="s">
        <v>228</v>
      </c>
      <c r="B108" s="108">
        <v>55.6</v>
      </c>
      <c r="C108" s="69">
        <v>3.6101083E-3</v>
      </c>
      <c r="D108" s="13">
        <v>58.3</v>
      </c>
      <c r="E108" s="14">
        <f>IF(ISNUMBER(D108), (D108 - $B108) / $B108, "")</f>
        <v>4.8561151079136611E-2</v>
      </c>
      <c r="F108" s="16">
        <f>IF(ISNUMBER(D108), $B118 * E108, "")</f>
        <v>7284.1726618704915</v>
      </c>
      <c r="G108" s="29">
        <v>58.5</v>
      </c>
      <c r="H108" s="14">
        <f>IF(ISNUMBER(G108), (G108 - $B108) / $B108, "")</f>
        <v>5.2158273381294938E-2</v>
      </c>
      <c r="I108" s="90">
        <f>IF(ISNUMBER(G108), $B118 * H108, "")</f>
        <v>7823.7410071942404</v>
      </c>
      <c r="J108" s="13">
        <v>58.5</v>
      </c>
      <c r="K108" s="14">
        <f>IF(ISNUMBER(J108), (J108 - $B108) / $B108, "")</f>
        <v>5.2158273381294938E-2</v>
      </c>
      <c r="L108" s="16">
        <f>IF(ISNUMBER(J108), $B118 * K108, "")</f>
        <v>7823.7410071942404</v>
      </c>
      <c r="M108" s="29">
        <v>59.1</v>
      </c>
      <c r="N108" s="14">
        <f>IF(ISNUMBER(M108), (M108 - $B108) / $B108, "")</f>
        <v>6.2949640287769781E-2</v>
      </c>
      <c r="O108" s="16">
        <f>IF(ISNUMBER(M108), $B118 * N108, "")</f>
        <v>9442.4460431654679</v>
      </c>
      <c r="Q108" s="173"/>
      <c r="R108" s="174"/>
      <c r="S108" s="175"/>
    </row>
    <row r="109" spans="1:19" ht="17.25" thickBot="1">
      <c r="A109" s="109" t="s">
        <v>236</v>
      </c>
      <c r="B109" s="110">
        <v>2830</v>
      </c>
      <c r="C109" s="70">
        <v>3.5460993000000001E-3</v>
      </c>
      <c r="D109" s="15">
        <v>2855</v>
      </c>
      <c r="E109" s="32">
        <f t="shared" ref="E109:E112" si="54">IF(ISNUMBER(D109), (D109 - $B109) / $B109, "")</f>
        <v>8.8339222614840993E-3</v>
      </c>
      <c r="F109" s="18">
        <f>IF(ISNUMBER(D109), $B118 * E109, "")</f>
        <v>1325.0883392226149</v>
      </c>
      <c r="G109" s="31">
        <v>2860</v>
      </c>
      <c r="H109" s="32">
        <f t="shared" ref="H109:H112" si="55">IF(ISNUMBER(G109), (G109 - $B109) / $B109, "")</f>
        <v>1.0600706713780919E-2</v>
      </c>
      <c r="I109" s="91">
        <f>IF(ISNUMBER(G109), $B118 * H109, "")</f>
        <v>1590.1060070671379</v>
      </c>
      <c r="J109" s="15">
        <v>2875</v>
      </c>
      <c r="K109" s="32">
        <f t="shared" ref="K109:K112" si="56">IF(ISNUMBER(J109), (J109 - $B109) / $B109, "")</f>
        <v>1.5901060070671377E-2</v>
      </c>
      <c r="L109" s="18">
        <f>IF(ISNUMBER(J109), $B118 * K109, "")</f>
        <v>2385.1590106007066</v>
      </c>
      <c r="M109" s="31">
        <v>2835</v>
      </c>
      <c r="N109" s="32">
        <f t="shared" ref="N109:N112" si="57">IF(ISNUMBER(M109), (M109 - $B109) / $B109, "")</f>
        <v>1.7667844522968198E-3</v>
      </c>
      <c r="O109" s="18">
        <f>IF(ISNUMBER(M109), $B118 * N109, "")</f>
        <v>265.01766784452298</v>
      </c>
      <c r="Q109" s="176"/>
      <c r="R109" s="177"/>
      <c r="S109" s="178"/>
    </row>
    <row r="110" spans="1:19" ht="17.25" thickBot="1">
      <c r="A110" s="109" t="s">
        <v>73</v>
      </c>
      <c r="B110" s="110">
        <v>11700</v>
      </c>
      <c r="C110" s="70">
        <v>3.4305316999999999E-3</v>
      </c>
      <c r="D110" s="15">
        <v>11730</v>
      </c>
      <c r="E110" s="32">
        <f t="shared" si="54"/>
        <v>2.5641025641025641E-3</v>
      </c>
      <c r="F110" s="18">
        <f>IF(ISNUMBER(D110), $B118 * E110, "")</f>
        <v>384.61538461538464</v>
      </c>
      <c r="G110" s="31">
        <v>11750</v>
      </c>
      <c r="H110" s="32">
        <f t="shared" si="55"/>
        <v>4.2735042735042739E-3</v>
      </c>
      <c r="I110" s="91">
        <f>IF(ISNUMBER(G110), $B118 * H110, "")</f>
        <v>641.02564102564111</v>
      </c>
      <c r="J110" s="15">
        <v>11760</v>
      </c>
      <c r="K110" s="32">
        <f t="shared" si="56"/>
        <v>5.1282051282051282E-3</v>
      </c>
      <c r="L110" s="18">
        <f>IF(ISNUMBER(J110), $B118 * K110, "")</f>
        <v>769.23076923076928</v>
      </c>
      <c r="M110" s="31">
        <v>11710</v>
      </c>
      <c r="N110" s="32">
        <f t="shared" si="57"/>
        <v>8.547008547008547E-4</v>
      </c>
      <c r="O110" s="18">
        <f>IF(ISNUMBER(M110), $B118 * N110, "")</f>
        <v>128.2051282051282</v>
      </c>
      <c r="Q110" s="161"/>
      <c r="R110" s="161"/>
      <c r="S110" s="161"/>
    </row>
    <row r="111" spans="1:19" ht="17.25" thickBot="1">
      <c r="A111" s="109" t="s">
        <v>216</v>
      </c>
      <c r="B111" s="110">
        <v>465</v>
      </c>
      <c r="C111" s="70">
        <v>2.1551724E-3</v>
      </c>
      <c r="D111" s="15">
        <v>467</v>
      </c>
      <c r="E111" s="32">
        <f t="shared" si="54"/>
        <v>4.3010752688172043E-3</v>
      </c>
      <c r="F111" s="18">
        <f>IF(ISNUMBER(D111), $B118 * E111, "")</f>
        <v>645.16129032258061</v>
      </c>
      <c r="G111" s="31">
        <v>466</v>
      </c>
      <c r="H111" s="32">
        <f t="shared" si="55"/>
        <v>2.1505376344086021E-3</v>
      </c>
      <c r="I111" s="91">
        <f>IF(ISNUMBER(G111), $B118 * H111, "")</f>
        <v>322.58064516129031</v>
      </c>
      <c r="J111" s="15">
        <v>466</v>
      </c>
      <c r="K111" s="32">
        <f t="shared" si="56"/>
        <v>2.1505376344086021E-3</v>
      </c>
      <c r="L111" s="18">
        <f>IF(ISNUMBER(J111), $B118 * K111, "")</f>
        <v>322.58064516129031</v>
      </c>
      <c r="M111" s="31">
        <v>462</v>
      </c>
      <c r="N111" s="32">
        <f t="shared" si="57"/>
        <v>-6.4516129032258064E-3</v>
      </c>
      <c r="O111" s="18">
        <f>IF(ISNUMBER(M111), $B118 * N111, "")</f>
        <v>-967.74193548387098</v>
      </c>
      <c r="Q111" s="156"/>
      <c r="R111" s="156"/>
      <c r="S111" s="156"/>
    </row>
    <row r="112" spans="1:19" ht="17.25" thickBot="1">
      <c r="A112" s="111" t="s">
        <v>238</v>
      </c>
      <c r="B112" s="112">
        <v>565</v>
      </c>
      <c r="C112" s="71">
        <v>1.7730496000000001E-3</v>
      </c>
      <c r="D112" s="20">
        <v>557</v>
      </c>
      <c r="E112" s="21">
        <f t="shared" si="54"/>
        <v>-1.415929203539823E-2</v>
      </c>
      <c r="F112" s="22">
        <f>IF(ISNUMBER(D112), $B118 * E112, "")</f>
        <v>-2123.8938053097345</v>
      </c>
      <c r="G112" s="30">
        <v>557</v>
      </c>
      <c r="H112" s="21">
        <f t="shared" si="55"/>
        <v>-1.415929203539823E-2</v>
      </c>
      <c r="I112" s="95">
        <f>IF(ISNUMBER(G112), $B118 * H112, "")</f>
        <v>-2123.8938053097345</v>
      </c>
      <c r="J112" s="20">
        <v>555</v>
      </c>
      <c r="K112" s="21">
        <f t="shared" si="56"/>
        <v>-1.7699115044247787E-2</v>
      </c>
      <c r="L112" s="22">
        <f>IF(ISNUMBER(J112), $B118 * K112, "")</f>
        <v>-2654.8672566371679</v>
      </c>
      <c r="M112" s="30">
        <v>553</v>
      </c>
      <c r="N112" s="21">
        <f t="shared" si="57"/>
        <v>-2.1238938053097345E-2</v>
      </c>
      <c r="O112" s="22">
        <f>IF(ISNUMBER(M112), $B118 * N112, "")</f>
        <v>-3185.8407079646017</v>
      </c>
      <c r="Q112" s="156"/>
      <c r="R112" s="156"/>
      <c r="S112" s="156"/>
    </row>
    <row r="113" spans="1:19" ht="17.25" thickBot="1">
      <c r="A113" s="109" t="s">
        <v>62</v>
      </c>
      <c r="B113" s="113">
        <v>8890</v>
      </c>
      <c r="C113" s="73">
        <v>0</v>
      </c>
      <c r="D113" s="96">
        <v>8725</v>
      </c>
      <c r="E113" s="97">
        <f>IF(ISNUMBER(D113), (D113 - $B113) / $B113, "")</f>
        <v>-1.8560179977502811E-2</v>
      </c>
      <c r="F113" s="98">
        <f>IF(ISNUMBER(D113), $B118 * E113, "")</f>
        <v>-2784.0269966254218</v>
      </c>
      <c r="G113" s="99">
        <v>8730</v>
      </c>
      <c r="H113" s="97">
        <f>IF(ISNUMBER(G113), (G113 - $B113) / $B113, "")</f>
        <v>-1.799775028121485E-2</v>
      </c>
      <c r="I113" s="100">
        <f>IF(ISNUMBER(G113), $B118 * H113, "")</f>
        <v>-2699.6625421822273</v>
      </c>
      <c r="J113" s="96">
        <v>8740</v>
      </c>
      <c r="K113" s="97">
        <f>IF(ISNUMBER(J113), (J113 - $B113) / $B113, "")</f>
        <v>-1.6872890888638921E-2</v>
      </c>
      <c r="L113" s="98">
        <f>IF(ISNUMBER(J113), $B118 * K113, "")</f>
        <v>-2530.9336332958383</v>
      </c>
      <c r="M113" s="99">
        <v>8725</v>
      </c>
      <c r="N113" s="97">
        <f>IF(ISNUMBER(M113), (M113 - $B113) / $B113, "")</f>
        <v>-1.8560179977502811E-2</v>
      </c>
      <c r="O113" s="98">
        <f>IF(ISNUMBER(M113), $B118 * N113, "")</f>
        <v>-2784.0269966254218</v>
      </c>
      <c r="Q113" s="161"/>
      <c r="R113" s="161"/>
      <c r="S113" s="161"/>
    </row>
    <row r="114" spans="1:19" ht="17.25" thickBot="1">
      <c r="A114" s="109" t="s">
        <v>226</v>
      </c>
      <c r="B114" s="110">
        <v>207</v>
      </c>
      <c r="C114" s="70">
        <v>0</v>
      </c>
      <c r="D114" s="15">
        <v>207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205</v>
      </c>
      <c r="H114" s="32">
        <f t="shared" ref="H114:H117" si="59">IF(ISNUMBER(G114), (G114 - $B114) / $B114, "")</f>
        <v>-9.6618357487922701E-3</v>
      </c>
      <c r="I114" s="91">
        <f>IF(ISNUMBER(G114), $B118 * H114, "")</f>
        <v>-1449.2753623188405</v>
      </c>
      <c r="J114" s="15">
        <v>205</v>
      </c>
      <c r="K114" s="32">
        <f t="shared" ref="K114:K117" si="60">IF(ISNUMBER(J114), (J114 - $B114) / $B114, "")</f>
        <v>-9.6618357487922701E-3</v>
      </c>
      <c r="L114" s="18">
        <f>IF(ISNUMBER(J114), $B118 * K114, "")</f>
        <v>-1449.2753623188405</v>
      </c>
      <c r="M114" s="31">
        <v>205</v>
      </c>
      <c r="N114" s="32">
        <f t="shared" ref="N114:N117" si="61">IF(ISNUMBER(M114), (M114 - $B114) / $B114, "")</f>
        <v>-9.6618357487922701E-3</v>
      </c>
      <c r="O114" s="18">
        <f>IF(ISNUMBER(M114), $B118 * N114, "")</f>
        <v>-1449.2753623188405</v>
      </c>
      <c r="Q114" s="161"/>
      <c r="R114" s="161"/>
      <c r="S114" s="161"/>
    </row>
    <row r="115" spans="1:19" ht="17.25" thickBot="1">
      <c r="A115" s="109" t="s">
        <v>143</v>
      </c>
      <c r="B115" s="110">
        <v>3.59</v>
      </c>
      <c r="C115" s="70">
        <v>0</v>
      </c>
      <c r="D115" s="15">
        <v>3.52</v>
      </c>
      <c r="E115" s="32">
        <f t="shared" si="58"/>
        <v>-1.9498607242339788E-2</v>
      </c>
      <c r="F115" s="18">
        <f>IF(ISNUMBER(D115), $B118 * E115, "")</f>
        <v>-2924.7910863509683</v>
      </c>
      <c r="G115" s="31">
        <v>3.53</v>
      </c>
      <c r="H115" s="32">
        <f t="shared" si="59"/>
        <v>-1.6713091922005586E-2</v>
      </c>
      <c r="I115" s="91">
        <f>IF(ISNUMBER(G115), $B118 * H115, "")</f>
        <v>-2506.9637883008377</v>
      </c>
      <c r="J115" s="15">
        <v>3.54</v>
      </c>
      <c r="K115" s="32">
        <f t="shared" si="60"/>
        <v>-1.392757660167126E-2</v>
      </c>
      <c r="L115" s="18">
        <f>IF(ISNUMBER(J115), $B118 * K115, "")</f>
        <v>-2089.1364902506889</v>
      </c>
      <c r="M115" s="31">
        <v>3.5</v>
      </c>
      <c r="N115" s="32">
        <f t="shared" si="61"/>
        <v>-2.5069637883008318E-2</v>
      </c>
      <c r="O115" s="18">
        <f>IF(ISNUMBER(M115), $B118 * N115, "")</f>
        <v>-3760.4456824512476</v>
      </c>
      <c r="Q115" s="161"/>
      <c r="R115" s="161"/>
      <c r="S115" s="161"/>
    </row>
    <row r="116" spans="1:19">
      <c r="A116" s="109" t="s">
        <v>200</v>
      </c>
      <c r="B116" s="110">
        <v>6.2</v>
      </c>
      <c r="C116" s="70">
        <v>0</v>
      </c>
      <c r="D116" s="15">
        <v>6.17</v>
      </c>
      <c r="E116" s="32">
        <f t="shared" si="58"/>
        <v>-4.8387096774193949E-3</v>
      </c>
      <c r="F116" s="18">
        <f>IF(ISNUMBER(D116), $B118 * E116, "")</f>
        <v>-725.8064516129092</v>
      </c>
      <c r="G116" s="31">
        <v>6.13</v>
      </c>
      <c r="H116" s="32">
        <f t="shared" si="59"/>
        <v>-1.1290322580645207E-2</v>
      </c>
      <c r="I116" s="91">
        <f>IF(ISNUMBER(G116), $B118 * H116, "")</f>
        <v>-1693.5483870967812</v>
      </c>
      <c r="J116" s="15">
        <v>6.16</v>
      </c>
      <c r="K116" s="32">
        <f t="shared" si="60"/>
        <v>-6.4516129032258117E-3</v>
      </c>
      <c r="L116" s="18">
        <f>IF(ISNUMBER(J116), $B118 * K116, "")</f>
        <v>-967.74193548387177</v>
      </c>
      <c r="M116" s="31">
        <v>6.11</v>
      </c>
      <c r="N116" s="32">
        <f t="shared" si="61"/>
        <v>-1.4516129032258041E-2</v>
      </c>
      <c r="O116" s="18">
        <f>IF(ISNUMBER(M116), $B118 * N116, "")</f>
        <v>-2177.4193548387061</v>
      </c>
      <c r="Q116" s="183"/>
      <c r="R116" s="184"/>
      <c r="S116" s="185"/>
    </row>
    <row r="117" spans="1:19" ht="17.25" thickBot="1">
      <c r="A117" s="114" t="s">
        <v>240</v>
      </c>
      <c r="B117" s="115">
        <v>27.1</v>
      </c>
      <c r="C117" s="72">
        <v>0</v>
      </c>
      <c r="D117" s="24">
        <v>26.5</v>
      </c>
      <c r="E117" s="25">
        <f t="shared" si="58"/>
        <v>-2.2140221402214073E-2</v>
      </c>
      <c r="F117" s="94">
        <f>IF(ISNUMBER(D117), $B118 * E117, "")</f>
        <v>-3321.0332103321107</v>
      </c>
      <c r="G117" s="92">
        <v>26.5</v>
      </c>
      <c r="H117" s="25">
        <f t="shared" si="59"/>
        <v>-2.2140221402214073E-2</v>
      </c>
      <c r="I117" s="93">
        <f>IF(ISNUMBER(G117), $B118 * H117, "")</f>
        <v>-3321.0332103321107</v>
      </c>
      <c r="J117" s="24">
        <v>26.6</v>
      </c>
      <c r="K117" s="25">
        <f t="shared" si="60"/>
        <v>-1.8450184501845018E-2</v>
      </c>
      <c r="L117" s="94">
        <f>IF(ISNUMBER(J117), $B118 * K117, "")</f>
        <v>-2767.5276752767527</v>
      </c>
      <c r="M117" s="92">
        <v>26.4</v>
      </c>
      <c r="N117" s="25">
        <f t="shared" si="61"/>
        <v>-2.583025830258313E-2</v>
      </c>
      <c r="O117" s="94">
        <f>IF(ISNUMBER(M117), $B118 * N117, "")</f>
        <v>-3874.5387453874696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-1.2302859918347158E-2</v>
      </c>
      <c r="F118" s="28">
        <f>SUM(F98:F117)</f>
        <v>-36908.579755041494</v>
      </c>
      <c r="G118" s="26" t="s">
        <v>261</v>
      </c>
      <c r="H118" s="27">
        <f>IF(COUNT(H98:H117), SUM(H98:H117) / COUNT(H98:H117), 0)</f>
        <v>-1.3678019783478509E-2</v>
      </c>
      <c r="I118" s="28">
        <f>SUM(I98:I117)</f>
        <v>-41034.059350435535</v>
      </c>
      <c r="J118" s="26" t="s">
        <v>261</v>
      </c>
      <c r="K118" s="27">
        <f>IF(COUNT(K98:K117), SUM(K98:K117) / COUNT(K98:K117), 0)</f>
        <v>-1.1213611835100886E-2</v>
      </c>
      <c r="L118" s="28">
        <f>SUM(L98:L117)</f>
        <v>-33640.835505302661</v>
      </c>
      <c r="M118" s="26" t="s">
        <v>261</v>
      </c>
      <c r="N118" s="27">
        <f>IF(COUNT(N98:N117), SUM(N98:N117) / COUNT(N98:N117), 0)</f>
        <v>-1.7072101752234076E-2</v>
      </c>
      <c r="O118" s="28">
        <f>SUM(O98:O117)</f>
        <v>-51216.305256702231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2022-12-19(월) 오전 00:00</v>
      </c>
      <c r="C123" s="199"/>
      <c r="D123" s="158" t="str">
        <f>TEXT($G$1, "[$-ko-KR]yyyy-mm-dd(ddd) ") &amp; "오후 14:00"</f>
        <v>2022-12-19(월) 오후 14:00</v>
      </c>
      <c r="E123" s="159"/>
      <c r="F123" s="160"/>
      <c r="G123" s="158" t="str">
        <f>TEXT($G$1, "[$-ko-KR]yyyy-mm-dd(ddd) ") &amp; "오후 19:00"</f>
        <v>2022-12-19(월) 오후 19:00</v>
      </c>
      <c r="H123" s="159"/>
      <c r="I123" s="160"/>
      <c r="J123" s="158" t="str">
        <f>TEXT($G$1, "[$-ko-KR]yyyy-mm-dd(ddd) ") &amp; "오후 21:00"</f>
        <v>2022-12-19(월) 오후 21:00</v>
      </c>
      <c r="K123" s="159"/>
      <c r="L123" s="160"/>
      <c r="M123" s="158" t="str">
        <f>TEXT($G$1+1, "[$-ko-KR]yyyy-mm-dd(ddd) ") &amp; "오전 00:00"</f>
        <v>2022-12-20(화)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56</v>
      </c>
      <c r="B125" s="108">
        <v>39.9</v>
      </c>
      <c r="C125" s="69">
        <v>-7.4626865999999998E-3</v>
      </c>
      <c r="D125" s="13">
        <v>40.200000000000003</v>
      </c>
      <c r="E125" s="14">
        <f>IF(ISNUMBER(D125), (D125 - $B125) / $B125, "")</f>
        <v>7.5187969924813101E-3</v>
      </c>
      <c r="F125" s="16">
        <f>IF(ISNUMBER(D125), $B145 * E125, "")</f>
        <v>1127.8195488721965</v>
      </c>
      <c r="G125" s="29">
        <v>39.799999999999997</v>
      </c>
      <c r="H125" s="14">
        <f>IF(ISNUMBER(G125), (G125 - $B125) / $B125, "")</f>
        <v>-2.5062656641604369E-3</v>
      </c>
      <c r="I125" s="90">
        <f>IF(ISNUMBER(G125), $B145 * H125, "")</f>
        <v>-375.93984962406552</v>
      </c>
      <c r="J125" s="13">
        <v>39.700000000000003</v>
      </c>
      <c r="K125" s="14">
        <f>IF(ISNUMBER(J125), (J125 - $B125) / $B125, "")</f>
        <v>-5.012531328320695E-3</v>
      </c>
      <c r="L125" s="16">
        <f>IF(ISNUMBER(J125), $B145 * K125, "")</f>
        <v>-751.8796992481042</v>
      </c>
      <c r="M125" s="29">
        <v>39.700000000000003</v>
      </c>
      <c r="N125" s="14">
        <f>IF(ISNUMBER(M125), (M125 - $B125) / $B125, "")</f>
        <v>-5.012531328320695E-3</v>
      </c>
      <c r="O125" s="16">
        <f>IF(ISNUMBER(M125), $B145 * N125, "")</f>
        <v>-751.8796992481042</v>
      </c>
      <c r="Q125" s="156"/>
      <c r="R125" s="156"/>
      <c r="S125" s="156"/>
    </row>
    <row r="126" spans="1:19" ht="17.25" thickBot="1">
      <c r="A126" s="109" t="s">
        <v>122</v>
      </c>
      <c r="B126" s="110">
        <v>22.2</v>
      </c>
      <c r="C126" s="70">
        <v>-8.9285713999999999E-3</v>
      </c>
      <c r="D126" s="15">
        <v>22</v>
      </c>
      <c r="E126" s="32">
        <f t="shared" ref="E126:E129" si="62">IF(ISNUMBER(D126), (D126 - $B126) / $B126, "")</f>
        <v>-9.0090090090089777E-3</v>
      </c>
      <c r="F126" s="18">
        <f>IF(ISNUMBER(D126), $B145 * E126, "")</f>
        <v>-1351.3513513513467</v>
      </c>
      <c r="G126" s="31">
        <v>22.1</v>
      </c>
      <c r="H126" s="32">
        <f t="shared" ref="H126:H129" si="63">IF(ISNUMBER(G126), (G126 - $B126) / $B126, "")</f>
        <v>-4.5045045045044091E-3</v>
      </c>
      <c r="I126" s="91">
        <f>IF(ISNUMBER(G126), $B145 * H126, "")</f>
        <v>-675.67567567566141</v>
      </c>
      <c r="J126" s="15">
        <v>22</v>
      </c>
      <c r="K126" s="32">
        <f t="shared" ref="K126:K129" si="64">IF(ISNUMBER(J126), (J126 - $B126) / $B126, "")</f>
        <v>-9.0090090090089777E-3</v>
      </c>
      <c r="L126" s="18">
        <f>IF(ISNUMBER(J126), $B145 * K126, "")</f>
        <v>-1351.3513513513467</v>
      </c>
      <c r="M126" s="31">
        <v>21.8</v>
      </c>
      <c r="N126" s="32">
        <f t="shared" ref="N126:N129" si="65">IF(ISNUMBER(M126), (M126 - $B126) / $B126, "")</f>
        <v>-1.8018018018017955E-2</v>
      </c>
      <c r="O126" s="18">
        <f>IF(ISNUMBER(M126), $B145 * N126, "")</f>
        <v>-2702.7027027026934</v>
      </c>
      <c r="Q126" s="156"/>
      <c r="R126" s="156"/>
      <c r="S126" s="156"/>
    </row>
    <row r="127" spans="1:19" ht="17.25" thickBot="1">
      <c r="A127" s="109" t="s">
        <v>220</v>
      </c>
      <c r="B127" s="110">
        <v>64.5</v>
      </c>
      <c r="C127" s="70">
        <v>-9.2165899000000006E-3</v>
      </c>
      <c r="D127" s="15">
        <v>63.1</v>
      </c>
      <c r="E127" s="32">
        <f t="shared" si="62"/>
        <v>-2.1705426356589126E-2</v>
      </c>
      <c r="F127" s="18">
        <f>IF(ISNUMBER(D127), $B145 * E127, "")</f>
        <v>-3255.813953488369</v>
      </c>
      <c r="G127" s="31">
        <v>63.1</v>
      </c>
      <c r="H127" s="32">
        <f t="shared" si="63"/>
        <v>-2.1705426356589126E-2</v>
      </c>
      <c r="I127" s="91">
        <f>IF(ISNUMBER(G127), $B145 * H127, "")</f>
        <v>-3255.813953488369</v>
      </c>
      <c r="J127" s="15">
        <v>63</v>
      </c>
      <c r="K127" s="32">
        <f t="shared" si="64"/>
        <v>-2.3255813953488372E-2</v>
      </c>
      <c r="L127" s="18">
        <f>IF(ISNUMBER(J127), $B145 * K127, "")</f>
        <v>-3488.3720930232557</v>
      </c>
      <c r="M127" s="31">
        <v>62.8</v>
      </c>
      <c r="N127" s="32">
        <f t="shared" si="65"/>
        <v>-2.6356589147286866E-2</v>
      </c>
      <c r="O127" s="18">
        <f>IF(ISNUMBER(M127), $B145 * N127, "")</f>
        <v>-3953.4883720930302</v>
      </c>
      <c r="Q127" s="161"/>
      <c r="R127" s="161"/>
      <c r="S127" s="161"/>
    </row>
    <row r="128" spans="1:19" ht="17.25" thickBot="1">
      <c r="A128" s="109" t="s">
        <v>71</v>
      </c>
      <c r="B128" s="110">
        <v>10.3</v>
      </c>
      <c r="C128" s="70">
        <v>-9.6153846000000005E-3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10.199999999999999</v>
      </c>
      <c r="H128" s="32">
        <f t="shared" si="63"/>
        <v>-9.7087378640778078E-3</v>
      </c>
      <c r="I128" s="91">
        <f>IF(ISNUMBER(G128), $B145 * H128, "")</f>
        <v>-1456.3106796116713</v>
      </c>
      <c r="J128" s="15">
        <v>10.1</v>
      </c>
      <c r="K128" s="32">
        <f t="shared" si="64"/>
        <v>-1.9417475728155442E-2</v>
      </c>
      <c r="L128" s="18">
        <f>IF(ISNUMBER(J128), $B145 * K128, "")</f>
        <v>-2912.6213592233162</v>
      </c>
      <c r="M128" s="31">
        <v>10.199999999999999</v>
      </c>
      <c r="N128" s="32">
        <f t="shared" si="65"/>
        <v>-9.7087378640778078E-3</v>
      </c>
      <c r="O128" s="18">
        <f>IF(ISNUMBER(M128), $B145 * N128, "")</f>
        <v>-1456.3106796116713</v>
      </c>
      <c r="Q128" s="161"/>
      <c r="R128" s="161"/>
      <c r="S128" s="161"/>
    </row>
    <row r="129" spans="1:19" ht="17.25" thickBot="1">
      <c r="A129" s="111" t="s">
        <v>230</v>
      </c>
      <c r="B129" s="112">
        <v>36.200000000000003</v>
      </c>
      <c r="C129" s="71">
        <v>-1.3623978199999999E-2</v>
      </c>
      <c r="D129" s="20">
        <v>36</v>
      </c>
      <c r="E129" s="21">
        <f t="shared" si="62"/>
        <v>-5.5248618784531165E-3</v>
      </c>
      <c r="F129" s="22">
        <f>IF(ISNUMBER(D129), $B145 * E129, "")</f>
        <v>-828.72928176796745</v>
      </c>
      <c r="G129" s="30">
        <v>36</v>
      </c>
      <c r="H129" s="21">
        <f t="shared" si="63"/>
        <v>-5.5248618784531165E-3</v>
      </c>
      <c r="I129" s="95">
        <f>IF(ISNUMBER(G129), $B145 * H129, "")</f>
        <v>-828.72928176796745</v>
      </c>
      <c r="J129" s="20">
        <v>36.200000000000003</v>
      </c>
      <c r="K129" s="21">
        <f t="shared" si="64"/>
        <v>0</v>
      </c>
      <c r="L129" s="22">
        <f>IF(ISNUMBER(J129), $B145 * K129, "")</f>
        <v>0</v>
      </c>
      <c r="M129" s="30">
        <v>35.9</v>
      </c>
      <c r="N129" s="21">
        <f t="shared" si="65"/>
        <v>-8.2872928176796756E-3</v>
      </c>
      <c r="O129" s="22">
        <f>IF(ISNUMBER(M129), $B145 * N129, "")</f>
        <v>-1243.0939226519513</v>
      </c>
      <c r="Q129" s="161"/>
      <c r="R129" s="161"/>
      <c r="S129" s="161"/>
    </row>
    <row r="130" spans="1:19" ht="17.25" thickBot="1">
      <c r="A130" s="109" t="s">
        <v>181</v>
      </c>
      <c r="B130" s="113">
        <v>4.18</v>
      </c>
      <c r="C130" s="73">
        <v>-1.4150943399999999E-2</v>
      </c>
      <c r="D130" s="96">
        <v>4.16</v>
      </c>
      <c r="E130" s="97">
        <f>IF(ISNUMBER(D130), (D130 - $B130) / $B130, "")</f>
        <v>-4.7846889952152093E-3</v>
      </c>
      <c r="F130" s="98">
        <f>IF(ISNUMBER(D130), $B145 * E130, "")</f>
        <v>-717.70334928228135</v>
      </c>
      <c r="G130" s="99">
        <v>4.1399999999999997</v>
      </c>
      <c r="H130" s="97">
        <f>IF(ISNUMBER(G130), (G130 - $B130) / $B130, "")</f>
        <v>-9.5693779904306303E-3</v>
      </c>
      <c r="I130" s="100">
        <f>IF(ISNUMBER(G130), $B145 * H130, "")</f>
        <v>-1435.4066985645945</v>
      </c>
      <c r="J130" s="96">
        <v>4.13</v>
      </c>
      <c r="K130" s="97">
        <f>IF(ISNUMBER(J130), (J130 - $B130) / $B130, "")</f>
        <v>-1.1961722488038236E-2</v>
      </c>
      <c r="L130" s="98">
        <f>IF(ISNUMBER(J130), $B145 * K130, "")</f>
        <v>-1794.2583732057353</v>
      </c>
      <c r="M130" s="99">
        <v>4.1399999999999997</v>
      </c>
      <c r="N130" s="97">
        <f>IF(ISNUMBER(M130), (M130 - $B130) / $B130, "")</f>
        <v>-9.5693779904306303E-3</v>
      </c>
      <c r="O130" s="98">
        <f>IF(ISNUMBER(M130), $B145 * N130, "")</f>
        <v>-1435.4066985645945</v>
      </c>
      <c r="Q130" s="161"/>
      <c r="R130" s="161"/>
      <c r="S130" s="161"/>
    </row>
    <row r="131" spans="1:19" ht="17.25" thickBot="1">
      <c r="A131" s="109" t="s">
        <v>64</v>
      </c>
      <c r="B131" s="110">
        <v>9.66</v>
      </c>
      <c r="C131" s="70">
        <v>-1.5290519900000001E-2</v>
      </c>
      <c r="D131" s="15">
        <v>9.57</v>
      </c>
      <c r="E131" s="32">
        <f t="shared" ref="E131:E134" si="66">IF(ISNUMBER(D131), (D131 - $B131) / $B131, "")</f>
        <v>-9.3167701863353884E-3</v>
      </c>
      <c r="F131" s="18">
        <f>IF(ISNUMBER(D131), $B145 * E131, "")</f>
        <v>-1397.5155279503083</v>
      </c>
      <c r="G131" s="31">
        <v>9.56</v>
      </c>
      <c r="H131" s="32">
        <f t="shared" ref="H131:H134" si="67">IF(ISNUMBER(G131), (G131 - $B131) / $B131, "")</f>
        <v>-1.0351966873705968E-2</v>
      </c>
      <c r="I131" s="91">
        <f>IF(ISNUMBER(G131), $B145 * H131, "")</f>
        <v>-1552.7950310558952</v>
      </c>
      <c r="J131" s="15">
        <v>9.5399999999999991</v>
      </c>
      <c r="K131" s="32">
        <f t="shared" ref="K131:K134" si="68">IF(ISNUMBER(J131), (J131 - $B131) / $B131, "")</f>
        <v>-1.2422360248447308E-2</v>
      </c>
      <c r="L131" s="18">
        <f>IF(ISNUMBER(J131), $B145 * K131, "")</f>
        <v>-1863.3540372670961</v>
      </c>
      <c r="M131" s="31">
        <v>9.49</v>
      </c>
      <c r="N131" s="32">
        <f t="shared" ref="N131:N134" si="69">IF(ISNUMBER(M131), (M131 - $B131) / $B131, "")</f>
        <v>-1.7598343685300201E-2</v>
      </c>
      <c r="O131" s="18">
        <f>IF(ISNUMBER(M131), $B145 * N131, "")</f>
        <v>-2639.75155279503</v>
      </c>
      <c r="Q131" s="161"/>
      <c r="R131" s="161"/>
      <c r="S131" s="161"/>
    </row>
    <row r="132" spans="1:19" ht="17.25" thickBot="1">
      <c r="A132" s="109" t="s">
        <v>338</v>
      </c>
      <c r="B132" s="110">
        <v>4.3899999999999997</v>
      </c>
      <c r="C132" s="70">
        <v>-1.5695067300000001E-2</v>
      </c>
      <c r="D132" s="15">
        <v>4.4400000000000004</v>
      </c>
      <c r="E132" s="32">
        <f t="shared" si="66"/>
        <v>1.1389521640091278E-2</v>
      </c>
      <c r="F132" s="18">
        <f>IF(ISNUMBER(D132), $B145 * E132, "")</f>
        <v>1708.4282460136917</v>
      </c>
      <c r="G132" s="31">
        <v>4.42</v>
      </c>
      <c r="H132" s="32">
        <f t="shared" si="67"/>
        <v>6.8337129840547271E-3</v>
      </c>
      <c r="I132" s="91">
        <f>IF(ISNUMBER(G132), $B145 * H132, "")</f>
        <v>1025.0569476082092</v>
      </c>
      <c r="J132" s="15">
        <v>4.42</v>
      </c>
      <c r="K132" s="32">
        <f t="shared" si="68"/>
        <v>6.8337129840547271E-3</v>
      </c>
      <c r="L132" s="18">
        <f>IF(ISNUMBER(J132), $B145 * K132, "")</f>
        <v>1025.0569476082092</v>
      </c>
      <c r="M132" s="31">
        <v>4.41</v>
      </c>
      <c r="N132" s="32">
        <f t="shared" si="69"/>
        <v>4.5558086560365521E-3</v>
      </c>
      <c r="O132" s="18">
        <f>IF(ISNUMBER(M132), $B145 * N132, "")</f>
        <v>683.37129840548278</v>
      </c>
      <c r="Q132" s="161"/>
      <c r="R132" s="161"/>
      <c r="S132" s="161"/>
    </row>
    <row r="133" spans="1:19" ht="17.25" thickBot="1">
      <c r="A133" s="109" t="s">
        <v>126</v>
      </c>
      <c r="B133" s="110">
        <v>24.8</v>
      </c>
      <c r="C133" s="70">
        <v>-1.5873015899999999E-2</v>
      </c>
      <c r="D133" s="15">
        <v>24.4</v>
      </c>
      <c r="E133" s="32">
        <f t="shared" si="66"/>
        <v>-1.6129032258064602E-2</v>
      </c>
      <c r="F133" s="18">
        <f>IF(ISNUMBER(D133), $B145 * E133, "")</f>
        <v>-2419.3548387096903</v>
      </c>
      <c r="G133" s="31">
        <v>24.4</v>
      </c>
      <c r="H133" s="32">
        <f t="shared" si="67"/>
        <v>-1.6129032258064602E-2</v>
      </c>
      <c r="I133" s="91">
        <f>IF(ISNUMBER(G133), $B145 * H133, "")</f>
        <v>-2419.3548387096903</v>
      </c>
      <c r="J133" s="15">
        <v>24.5</v>
      </c>
      <c r="K133" s="32">
        <f t="shared" si="68"/>
        <v>-1.2096774193548416E-2</v>
      </c>
      <c r="L133" s="18">
        <f>IF(ISNUMBER(J133), $B145 * K133, "")</f>
        <v>-1814.5161290322624</v>
      </c>
      <c r="M133" s="31">
        <v>24.4</v>
      </c>
      <c r="N133" s="32">
        <f t="shared" si="69"/>
        <v>-1.6129032258064602E-2</v>
      </c>
      <c r="O133" s="18">
        <f>IF(ISNUMBER(M133), $B145 * N133, "")</f>
        <v>-2419.3548387096903</v>
      </c>
      <c r="Q133" s="33"/>
      <c r="R133" s="33"/>
    </row>
    <row r="134" spans="1:19" ht="17.25" thickBot="1">
      <c r="A134" s="114" t="s">
        <v>132</v>
      </c>
      <c r="B134" s="115">
        <v>48</v>
      </c>
      <c r="C134" s="72">
        <v>-1.6393442599999999E-2</v>
      </c>
      <c r="D134" s="24">
        <v>47.5</v>
      </c>
      <c r="E134" s="25">
        <f t="shared" si="66"/>
        <v>-1.0416666666666666E-2</v>
      </c>
      <c r="F134" s="94">
        <f>IF(ISNUMBER(D134), $B145 * E134, "")</f>
        <v>-1562.5</v>
      </c>
      <c r="G134" s="92">
        <v>47.5</v>
      </c>
      <c r="H134" s="25">
        <f t="shared" si="67"/>
        <v>-1.0416666666666666E-2</v>
      </c>
      <c r="I134" s="93">
        <f>IF(ISNUMBER(G134), $B145 * H134, "")</f>
        <v>-1562.5</v>
      </c>
      <c r="J134" s="24">
        <v>47.4</v>
      </c>
      <c r="K134" s="25">
        <f t="shared" si="68"/>
        <v>-1.250000000000003E-2</v>
      </c>
      <c r="L134" s="94">
        <f>IF(ISNUMBER(J134), $B145 * K134, "")</f>
        <v>-1875.0000000000045</v>
      </c>
      <c r="M134" s="92">
        <v>46.8</v>
      </c>
      <c r="N134" s="25">
        <f t="shared" si="69"/>
        <v>-2.500000000000006E-2</v>
      </c>
      <c r="O134" s="94">
        <f>IF(ISNUMBER(M134), $B145 * N134, "")</f>
        <v>-3750.0000000000091</v>
      </c>
      <c r="Q134" s="170"/>
      <c r="R134" s="171"/>
      <c r="S134" s="172"/>
    </row>
    <row r="135" spans="1:19">
      <c r="A135" s="107" t="s">
        <v>138</v>
      </c>
      <c r="B135" s="108">
        <v>24</v>
      </c>
      <c r="C135" s="69">
        <v>-1.6393442599999999E-2</v>
      </c>
      <c r="D135" s="13">
        <v>23.8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23.7</v>
      </c>
      <c r="H135" s="14">
        <f>IF(ISNUMBER(G135), (G135 - $B135) / $B135, "")</f>
        <v>-1.250000000000003E-2</v>
      </c>
      <c r="I135" s="90">
        <f>IF(ISNUMBER(G135), $B145 * H135, "")</f>
        <v>-1875.0000000000045</v>
      </c>
      <c r="J135" s="13">
        <v>23.8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23.7</v>
      </c>
      <c r="N135" s="14">
        <f>IF(ISNUMBER(M135), (M135 - $B135) / $B135, "")</f>
        <v>-1.250000000000003E-2</v>
      </c>
      <c r="O135" s="16">
        <f>IF(ISNUMBER(M135), $B145 * N135, "")</f>
        <v>-1875.0000000000045</v>
      </c>
      <c r="Q135" s="173"/>
      <c r="R135" s="174"/>
      <c r="S135" s="175"/>
    </row>
    <row r="136" spans="1:19" ht="17.25" thickBot="1">
      <c r="A136" s="109" t="s">
        <v>191</v>
      </c>
      <c r="B136" s="110">
        <v>51</v>
      </c>
      <c r="C136" s="70">
        <v>-1.7341040499999998E-2</v>
      </c>
      <c r="D136" s="15">
        <v>51.1</v>
      </c>
      <c r="E136" s="32">
        <f t="shared" ref="E136:E139" si="70">IF(ISNUMBER(D136), (D136 - $B136) / $B136, "")</f>
        <v>1.9607843137255179E-3</v>
      </c>
      <c r="F136" s="18">
        <f>IF(ISNUMBER(D136), $B145 * E136, "")</f>
        <v>294.11764705882769</v>
      </c>
      <c r="G136" s="31">
        <v>51</v>
      </c>
      <c r="H136" s="32">
        <f t="shared" ref="H136:H139" si="71">IF(ISNUMBER(G136), (G136 - $B136) / $B136, "")</f>
        <v>0</v>
      </c>
      <c r="I136" s="91">
        <f>IF(ISNUMBER(G136), $B145 * H136, "")</f>
        <v>0</v>
      </c>
      <c r="J136" s="15">
        <v>51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50.8</v>
      </c>
      <c r="N136" s="32">
        <f t="shared" ref="N136:N139" si="73">IF(ISNUMBER(M136), (M136 - $B136) / $B136, "")</f>
        <v>-3.9215686274510358E-3</v>
      </c>
      <c r="O136" s="18">
        <f>IF(ISNUMBER(M136), $B145 * N136, "")</f>
        <v>-588.23529411765537</v>
      </c>
      <c r="Q136" s="176"/>
      <c r="R136" s="177"/>
      <c r="S136" s="178"/>
    </row>
    <row r="137" spans="1:19" ht="17.25" thickBot="1">
      <c r="A137" s="109" t="s">
        <v>145</v>
      </c>
      <c r="B137" s="110">
        <v>71.2</v>
      </c>
      <c r="C137" s="70">
        <v>-2.0632737299999999E-2</v>
      </c>
      <c r="D137" s="15">
        <v>71</v>
      </c>
      <c r="E137" s="32">
        <f t="shared" si="70"/>
        <v>-2.8089887640449836E-3</v>
      </c>
      <c r="F137" s="18">
        <f>IF(ISNUMBER(D137), $B145 * E137, "")</f>
        <v>-421.34831460674752</v>
      </c>
      <c r="G137" s="31">
        <v>71</v>
      </c>
      <c r="H137" s="32">
        <f t="shared" si="71"/>
        <v>-2.8089887640449836E-3</v>
      </c>
      <c r="I137" s="91">
        <f>IF(ISNUMBER(G137), $B145 * H137, "")</f>
        <v>-421.34831460674752</v>
      </c>
      <c r="J137" s="15">
        <v>71.099999999999994</v>
      </c>
      <c r="K137" s="32">
        <f t="shared" si="72"/>
        <v>-1.4044943820225916E-3</v>
      </c>
      <c r="L137" s="18">
        <f>IF(ISNUMBER(J137), $B145 * K137, "")</f>
        <v>-210.67415730338874</v>
      </c>
      <c r="M137" s="31">
        <v>71.2</v>
      </c>
      <c r="N137" s="32">
        <f t="shared" si="73"/>
        <v>0</v>
      </c>
      <c r="O137" s="18">
        <f>IF(ISNUMBER(M137), $B145 * N137, "")</f>
        <v>0</v>
      </c>
      <c r="Q137" s="161"/>
      <c r="R137" s="161"/>
      <c r="S137" s="161"/>
    </row>
    <row r="138" spans="1:19" ht="17.25" thickBot="1">
      <c r="A138" s="109" t="s">
        <v>118</v>
      </c>
      <c r="B138" s="110">
        <v>5.47</v>
      </c>
      <c r="C138" s="70">
        <v>-2.1466905200000001E-2</v>
      </c>
      <c r="D138" s="15">
        <v>5.44</v>
      </c>
      <c r="E138" s="32">
        <f t="shared" si="70"/>
        <v>-5.4844606946982382E-3</v>
      </c>
      <c r="F138" s="18">
        <f>IF(ISNUMBER(D138), $B145 * E138, "")</f>
        <v>-822.66910420473573</v>
      </c>
      <c r="G138" s="31">
        <v>5.44</v>
      </c>
      <c r="H138" s="32">
        <f t="shared" si="71"/>
        <v>-5.4844606946982382E-3</v>
      </c>
      <c r="I138" s="91">
        <f>IF(ISNUMBER(G138), $B145 * H138, "")</f>
        <v>-822.66910420473573</v>
      </c>
      <c r="J138" s="15">
        <v>5.44</v>
      </c>
      <c r="K138" s="32">
        <f t="shared" si="72"/>
        <v>-5.4844606946982382E-3</v>
      </c>
      <c r="L138" s="18">
        <f>IF(ISNUMBER(J138), $B145 * K138, "")</f>
        <v>-822.66910420473573</v>
      </c>
      <c r="M138" s="31">
        <v>5.37</v>
      </c>
      <c r="N138" s="32">
        <f t="shared" si="73"/>
        <v>-1.828153564899445E-2</v>
      </c>
      <c r="O138" s="18">
        <f>IF(ISNUMBER(M138), $B145 * N138, "")</f>
        <v>-2742.2303473491675</v>
      </c>
      <c r="Q138" s="156"/>
      <c r="R138" s="156"/>
      <c r="S138" s="156"/>
    </row>
    <row r="139" spans="1:19" ht="17.25" thickBot="1">
      <c r="A139" s="111" t="s">
        <v>206</v>
      </c>
      <c r="B139" s="112">
        <v>3.26</v>
      </c>
      <c r="C139" s="71">
        <v>-2.39520958E-2</v>
      </c>
      <c r="D139" s="20">
        <v>3.2</v>
      </c>
      <c r="E139" s="21">
        <f t="shared" si="70"/>
        <v>-1.8404907975460003E-2</v>
      </c>
      <c r="F139" s="22">
        <f>IF(ISNUMBER(D139), $B145 * E139, "")</f>
        <v>-2760.7361963190006</v>
      </c>
      <c r="G139" s="30">
        <v>3.18</v>
      </c>
      <c r="H139" s="21">
        <f t="shared" si="71"/>
        <v>-2.4539877300613383E-2</v>
      </c>
      <c r="I139" s="95">
        <f>IF(ISNUMBER(G139), $B145 * H139, "")</f>
        <v>-3680.9815950920074</v>
      </c>
      <c r="J139" s="20">
        <v>3.21</v>
      </c>
      <c r="K139" s="21">
        <f t="shared" si="72"/>
        <v>-1.5337423312883382E-2</v>
      </c>
      <c r="L139" s="22">
        <f>IF(ISNUMBER(J139), $B145 * K139, "")</f>
        <v>-2300.6134969325071</v>
      </c>
      <c r="M139" s="30">
        <v>3.19</v>
      </c>
      <c r="N139" s="21">
        <f t="shared" si="73"/>
        <v>-2.1472392638036762E-2</v>
      </c>
      <c r="O139" s="22">
        <f>IF(ISNUMBER(M139), $B145 * N139, "")</f>
        <v>-3220.8588957055144</v>
      </c>
      <c r="Q139" s="156"/>
      <c r="R139" s="156"/>
      <c r="S139" s="156"/>
    </row>
    <row r="140" spans="1:19" ht="17.25" thickBot="1">
      <c r="A140" s="109" t="s">
        <v>141</v>
      </c>
      <c r="B140" s="113">
        <v>3.19</v>
      </c>
      <c r="C140" s="73">
        <v>-2.44648318E-2</v>
      </c>
      <c r="D140" s="96">
        <v>3.16</v>
      </c>
      <c r="E140" s="97">
        <f>IF(ISNUMBER(D140), (D140 - $B140) / $B140, "")</f>
        <v>-9.4043887147334804E-3</v>
      </c>
      <c r="F140" s="98">
        <f>IF(ISNUMBER(D140), $B145 * E140, "")</f>
        <v>-1410.658307210022</v>
      </c>
      <c r="G140" s="99">
        <v>3.15</v>
      </c>
      <c r="H140" s="97">
        <f>IF(ISNUMBER(G140), (G140 - $B140) / $B140, "")</f>
        <v>-1.2539184952978068E-2</v>
      </c>
      <c r="I140" s="100">
        <f>IF(ISNUMBER(G140), $B145 * H140, "")</f>
        <v>-1880.8777429467102</v>
      </c>
      <c r="J140" s="96">
        <v>3.15</v>
      </c>
      <c r="K140" s="97">
        <f>IF(ISNUMBER(J140), (J140 - $B140) / $B140, "")</f>
        <v>-1.2539184952978068E-2</v>
      </c>
      <c r="L140" s="98">
        <f>IF(ISNUMBER(J140), $B145 * K140, "")</f>
        <v>-1880.8777429467102</v>
      </c>
      <c r="M140" s="99">
        <v>3.15</v>
      </c>
      <c r="N140" s="97">
        <f>IF(ISNUMBER(M140), (M140 - $B140) / $B140, "")</f>
        <v>-1.2539184952978068E-2</v>
      </c>
      <c r="O140" s="98">
        <f>IF(ISNUMBER(M140), $B145 * N140, "")</f>
        <v>-1880.8777429467102</v>
      </c>
      <c r="Q140" s="161"/>
      <c r="R140" s="161"/>
      <c r="S140" s="161"/>
    </row>
    <row r="141" spans="1:19" ht="17.25" thickBot="1">
      <c r="A141" s="109" t="s">
        <v>208</v>
      </c>
      <c r="B141" s="110">
        <v>92.8</v>
      </c>
      <c r="C141" s="70">
        <v>-3.1315240100000002E-2</v>
      </c>
      <c r="D141" s="15">
        <v>91.3</v>
      </c>
      <c r="E141" s="32">
        <f t="shared" ref="E141:E144" si="74">IF(ISNUMBER(D141), (D141 - $B141) / $B141, "")</f>
        <v>-1.6163793103448277E-2</v>
      </c>
      <c r="F141" s="18">
        <f>IF(ISNUMBER(D141), $B145 * E141, "")</f>
        <v>-2424.5689655172414</v>
      </c>
      <c r="G141" s="31">
        <v>91.4</v>
      </c>
      <c r="H141" s="32">
        <f t="shared" ref="H141:H144" si="75">IF(ISNUMBER(G141), (G141 - $B141) / $B141, "")</f>
        <v>-1.5086206896551633E-2</v>
      </c>
      <c r="I141" s="91">
        <f>IF(ISNUMBER(G141), $B145 * H141, "")</f>
        <v>-2262.931034482745</v>
      </c>
      <c r="J141" s="15">
        <v>91.3</v>
      </c>
      <c r="K141" s="32">
        <f t="shared" ref="K141:K144" si="76">IF(ISNUMBER(J141), (J141 - $B141) / $B141, "")</f>
        <v>-1.6163793103448277E-2</v>
      </c>
      <c r="L141" s="18">
        <f>IF(ISNUMBER(J141), $B145 * K141, "")</f>
        <v>-2424.5689655172414</v>
      </c>
      <c r="M141" s="31">
        <v>90.6</v>
      </c>
      <c r="N141" s="32">
        <f t="shared" ref="N141:N144" si="77">IF(ISNUMBER(M141), (M141 - $B141) / $B141, "")</f>
        <v>-2.3706896551724168E-2</v>
      </c>
      <c r="O141" s="18">
        <f>IF(ISNUMBER(M141), $B145 * N141, "")</f>
        <v>-3556.034482758625</v>
      </c>
      <c r="Q141" s="161"/>
      <c r="R141" s="161"/>
      <c r="S141" s="161"/>
    </row>
    <row r="142" spans="1:19" ht="17.25" thickBot="1">
      <c r="A142" s="109" t="s">
        <v>107</v>
      </c>
      <c r="B142" s="110">
        <v>36.5</v>
      </c>
      <c r="C142" s="70">
        <v>-3.43915344E-2</v>
      </c>
      <c r="D142" s="15">
        <v>36.299999999999997</v>
      </c>
      <c r="E142" s="32">
        <f t="shared" si="74"/>
        <v>-5.4794520547945987E-3</v>
      </c>
      <c r="F142" s="18">
        <f>IF(ISNUMBER(D142), $B145 * E142, "")</f>
        <v>-821.91780821918985</v>
      </c>
      <c r="G142" s="31">
        <v>36.299999999999997</v>
      </c>
      <c r="H142" s="32">
        <f t="shared" si="75"/>
        <v>-5.4794520547945987E-3</v>
      </c>
      <c r="I142" s="91">
        <f>IF(ISNUMBER(G142), $B145 * H142, "")</f>
        <v>-821.91780821918985</v>
      </c>
      <c r="J142" s="15">
        <v>36.4</v>
      </c>
      <c r="K142" s="32">
        <f t="shared" si="76"/>
        <v>-2.7397260273972993E-3</v>
      </c>
      <c r="L142" s="18">
        <f>IF(ISNUMBER(J142), $B145 * K142, "")</f>
        <v>-410.95890410959493</v>
      </c>
      <c r="M142" s="31">
        <v>36.1</v>
      </c>
      <c r="N142" s="32">
        <f t="shared" si="77"/>
        <v>-1.0958904109589003E-2</v>
      </c>
      <c r="O142" s="18">
        <f>IF(ISNUMBER(M142), $B145 * N142, "")</f>
        <v>-1643.8356164383504</v>
      </c>
      <c r="Q142" s="161"/>
      <c r="R142" s="161"/>
      <c r="S142" s="161"/>
    </row>
    <row r="143" spans="1:19">
      <c r="A143" s="109" t="s">
        <v>350</v>
      </c>
      <c r="B143" s="110">
        <v>6.46</v>
      </c>
      <c r="C143" s="70">
        <v>-4.2962963E-2</v>
      </c>
      <c r="D143" s="15">
        <v>6.26</v>
      </c>
      <c r="E143" s="32">
        <f t="shared" si="74"/>
        <v>-3.0959752321981452E-2</v>
      </c>
      <c r="F143" s="18">
        <f>IF(ISNUMBER(D143), $B145 * E143, "")</f>
        <v>-4643.9628482972175</v>
      </c>
      <c r="G143" s="31">
        <v>6.25</v>
      </c>
      <c r="H143" s="32">
        <f t="shared" si="75"/>
        <v>-3.2507739938080489E-2</v>
      </c>
      <c r="I143" s="91">
        <f>IF(ISNUMBER(G143), $B145 * H143, "")</f>
        <v>-4876.1609907120737</v>
      </c>
      <c r="J143" s="15">
        <v>6.25</v>
      </c>
      <c r="K143" s="32">
        <f t="shared" si="76"/>
        <v>-3.2507739938080489E-2</v>
      </c>
      <c r="L143" s="18">
        <f>IF(ISNUMBER(J143), $B145 * K143, "")</f>
        <v>-4876.1609907120737</v>
      </c>
      <c r="M143" s="31">
        <v>6.21</v>
      </c>
      <c r="N143" s="32">
        <f t="shared" si="77"/>
        <v>-3.8699690402476783E-2</v>
      </c>
      <c r="O143" s="18">
        <f>IF(ISNUMBER(M143), $B145 * N143, "")</f>
        <v>-5804.9535603715176</v>
      </c>
      <c r="Q143" s="183"/>
      <c r="R143" s="184"/>
      <c r="S143" s="185"/>
    </row>
    <row r="144" spans="1:19" ht="17.25" thickBot="1">
      <c r="A144" s="114" t="s">
        <v>198</v>
      </c>
      <c r="B144" s="115">
        <v>6.88</v>
      </c>
      <c r="C144" s="72">
        <v>-5.8823529399999998E-2</v>
      </c>
      <c r="D144" s="24">
        <v>6.85</v>
      </c>
      <c r="E144" s="25">
        <f t="shared" si="74"/>
        <v>-4.3604651162791061E-3</v>
      </c>
      <c r="F144" s="94">
        <f>IF(ISNUMBER(D144), $B145 * E144, "")</f>
        <v>-654.06976744186591</v>
      </c>
      <c r="G144" s="92">
        <v>6.82</v>
      </c>
      <c r="H144" s="25">
        <f t="shared" si="75"/>
        <v>-8.7209302325580822E-3</v>
      </c>
      <c r="I144" s="93">
        <f>IF(ISNUMBER(G144), $B145 * H144, "")</f>
        <v>-1308.1395348837123</v>
      </c>
      <c r="J144" s="24">
        <v>6.78</v>
      </c>
      <c r="K144" s="25">
        <f t="shared" si="76"/>
        <v>-1.453488372093018E-2</v>
      </c>
      <c r="L144" s="94">
        <f>IF(ISNUMBER(J144), $B145 * K144, "")</f>
        <v>-2180.2325581395271</v>
      </c>
      <c r="M144" s="92">
        <v>6.78</v>
      </c>
      <c r="N144" s="25">
        <f t="shared" si="77"/>
        <v>-1.453488372093018E-2</v>
      </c>
      <c r="O144" s="94">
        <f>IF(ISNUMBER(M144), $B145 * N144, "")</f>
        <v>-2180.2325581395271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-8.3562816173443112E-3</v>
      </c>
      <c r="F145" s="28">
        <f>SUM(F125:F144)</f>
        <v>-25068.844852032937</v>
      </c>
      <c r="G145" s="26" t="s">
        <v>261</v>
      </c>
      <c r="H145" s="27">
        <f>IF(COUNT(H125:H144), SUM(H125:H144) / COUNT(H125:H144), 0)</f>
        <v>-1.0162498395345877E-2</v>
      </c>
      <c r="I145" s="28">
        <f>SUM(I125:I144)</f>
        <v>-30487.495186037631</v>
      </c>
      <c r="J145" s="26" t="s">
        <v>261</v>
      </c>
      <c r="K145" s="27">
        <f>IF(COUNT(K125:K144), SUM(K125:K144) / COUNT(K125:K144), 0)</f>
        <v>-1.039435067153623E-2</v>
      </c>
      <c r="L145" s="28">
        <f>SUM(L125:L144)</f>
        <v>-31183.052014608689</v>
      </c>
      <c r="M145" s="26" t="s">
        <v>261</v>
      </c>
      <c r="N145" s="27">
        <f>IF(COUNT(N125:N144), SUM(N125:N144) / COUNT(N125:N144), 0)</f>
        <v>-1.4386958555266125E-2</v>
      </c>
      <c r="O145" s="28">
        <f>SUM(O125:O144)</f>
        <v>-43160.875665798369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2022-12-19(월) 오전 00:00</v>
      </c>
      <c r="C150" s="199"/>
      <c r="D150" s="158" t="str">
        <f>TEXT($G$1, "[$-ko-KR]yyyy-mm-dd(ddd) ") &amp; "오후 14:00"</f>
        <v>2022-12-19(월) 오후 14:00</v>
      </c>
      <c r="E150" s="159"/>
      <c r="F150" s="160"/>
      <c r="G150" s="158" t="str">
        <f>TEXT($G$1, "[$-ko-KR]yyyy-mm-dd(ddd) ") &amp; "오후 19:00"</f>
        <v>2022-12-19(월) 오후 19:00</v>
      </c>
      <c r="H150" s="159"/>
      <c r="I150" s="160"/>
      <c r="J150" s="158" t="str">
        <f>TEXT($G$1, "[$-ko-KR]yyyy-mm-dd(ddd) ") &amp; "오후 21:00"</f>
        <v>2022-12-19(월) 오후 21:00</v>
      </c>
      <c r="K150" s="159"/>
      <c r="L150" s="160"/>
      <c r="M150" s="158" t="str">
        <f>TEXT($G$1+1, "[$-ko-KR]yyyy-mm-dd(ddd) ") &amp; "오전 00:00"</f>
        <v>2022-12-20(화)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187</v>
      </c>
      <c r="B152" s="108">
        <v>801</v>
      </c>
      <c r="C152" s="69">
        <v>-1.5970516000000001E-2</v>
      </c>
      <c r="D152" s="13">
        <v>794</v>
      </c>
      <c r="E152" s="14">
        <f>IF(ISNUMBER(D152), (D152 - $B152) / $B152, "")</f>
        <v>-8.7390761548064924E-3</v>
      </c>
      <c r="F152" s="16">
        <f>IF(ISNUMBER(D152), $B172 * E152, "")</f>
        <v>-1310.8614232209738</v>
      </c>
      <c r="G152" s="29">
        <v>794</v>
      </c>
      <c r="H152" s="14">
        <f>IF(ISNUMBER(G152), (G152 - $B152) / $B152, "")</f>
        <v>-8.7390761548064924E-3</v>
      </c>
      <c r="I152" s="90">
        <f>IF(ISNUMBER(G152), $B172 * H152, "")</f>
        <v>-1310.8614232209738</v>
      </c>
      <c r="J152" s="13">
        <v>790</v>
      </c>
      <c r="K152" s="14">
        <f>IF(ISNUMBER(J152), (J152 - $B152) / $B152, "")</f>
        <v>-1.3732833957553059E-2</v>
      </c>
      <c r="L152" s="16">
        <f>IF(ISNUMBER(J152), $B172 * K152, "")</f>
        <v>-2059.925093632959</v>
      </c>
      <c r="M152" s="29">
        <v>791</v>
      </c>
      <c r="N152" s="14">
        <f>IF(ISNUMBER(M152), (M152 - $B152) / $B152, "")</f>
        <v>-1.2484394506866416E-2</v>
      </c>
      <c r="O152" s="16">
        <f>IF(ISNUMBER(M152), $B172 * N152, "")</f>
        <v>-1872.6591760299625</v>
      </c>
      <c r="Q152" s="156"/>
      <c r="R152" s="156"/>
      <c r="S152" s="156"/>
    </row>
    <row r="153" spans="1:19" ht="17.25" thickBot="1">
      <c r="A153" s="109" t="s">
        <v>342</v>
      </c>
      <c r="B153" s="110">
        <v>120</v>
      </c>
      <c r="C153" s="70">
        <v>-1.6393442599999999E-2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119</v>
      </c>
      <c r="K153" s="32">
        <f t="shared" ref="K153:K156" si="80">IF(ISNUMBER(J153), (J153 - $B153) / $B153, "")</f>
        <v>-8.3333333333333332E-3</v>
      </c>
      <c r="L153" s="18">
        <f>IF(ISNUMBER(J153), $B172 * K153, "")</f>
        <v>-1250</v>
      </c>
      <c r="M153" s="31">
        <v>117</v>
      </c>
      <c r="N153" s="32">
        <f t="shared" ref="N153:N156" si="81">IF(ISNUMBER(M153), (M153 - $B153) / $B153, "")</f>
        <v>-2.5000000000000001E-2</v>
      </c>
      <c r="O153" s="18">
        <f>IF(ISNUMBER(M153), $B172 * N153, "")</f>
        <v>-3750</v>
      </c>
      <c r="Q153" s="156"/>
      <c r="R153" s="156"/>
      <c r="S153" s="156"/>
    </row>
    <row r="154" spans="1:19" ht="17.25" thickBot="1">
      <c r="A154" s="109" t="s">
        <v>149</v>
      </c>
      <c r="B154" s="110">
        <v>343</v>
      </c>
      <c r="C154" s="70">
        <v>-1.7191977099999999E-2</v>
      </c>
      <c r="D154" s="15">
        <v>348</v>
      </c>
      <c r="E154" s="32">
        <f t="shared" si="78"/>
        <v>1.4577259475218658E-2</v>
      </c>
      <c r="F154" s="18">
        <f>IF(ISNUMBER(D154), $B172 * E154, "")</f>
        <v>2186.5889212827988</v>
      </c>
      <c r="G154" s="31">
        <v>347</v>
      </c>
      <c r="H154" s="32">
        <f t="shared" si="79"/>
        <v>1.1661807580174927E-2</v>
      </c>
      <c r="I154" s="91">
        <f>IF(ISNUMBER(G154), $B172 * H154, "")</f>
        <v>1749.2711370262391</v>
      </c>
      <c r="J154" s="15">
        <v>349</v>
      </c>
      <c r="K154" s="32">
        <f t="shared" si="80"/>
        <v>1.7492711370262391E-2</v>
      </c>
      <c r="L154" s="18">
        <f>IF(ISNUMBER(J154), $B172 * K154, "")</f>
        <v>2623.9067055393589</v>
      </c>
      <c r="M154" s="31">
        <v>348</v>
      </c>
      <c r="N154" s="32">
        <f t="shared" si="81"/>
        <v>1.4577259475218658E-2</v>
      </c>
      <c r="O154" s="18">
        <f>IF(ISNUMBER(M154), $B172 * N154, "")</f>
        <v>2186.5889212827988</v>
      </c>
      <c r="Q154" s="161"/>
      <c r="R154" s="161"/>
      <c r="S154" s="161"/>
    </row>
    <row r="155" spans="1:19" ht="17.25" thickBot="1">
      <c r="A155" s="109" t="s">
        <v>169</v>
      </c>
      <c r="B155" s="110">
        <v>223</v>
      </c>
      <c r="C155" s="70">
        <v>-1.76211454E-2</v>
      </c>
      <c r="D155" s="15">
        <v>221</v>
      </c>
      <c r="E155" s="32">
        <f t="shared" si="78"/>
        <v>-8.9686098654708519E-3</v>
      </c>
      <c r="F155" s="18">
        <f>IF(ISNUMBER(D155), $B172 * E155, "")</f>
        <v>-1345.2914798206277</v>
      </c>
      <c r="G155" s="31">
        <v>221</v>
      </c>
      <c r="H155" s="32">
        <f t="shared" si="79"/>
        <v>-8.9686098654708519E-3</v>
      </c>
      <c r="I155" s="91">
        <f>IF(ISNUMBER(G155), $B172 * H155, "")</f>
        <v>-1345.2914798206277</v>
      </c>
      <c r="J155" s="15">
        <v>220</v>
      </c>
      <c r="K155" s="32">
        <f t="shared" si="80"/>
        <v>-1.3452914798206279E-2</v>
      </c>
      <c r="L155" s="18">
        <f>IF(ISNUMBER(J155), $B172 * K155, "")</f>
        <v>-2017.9372197309417</v>
      </c>
      <c r="M155" s="31">
        <v>219</v>
      </c>
      <c r="N155" s="32">
        <f t="shared" si="81"/>
        <v>-1.7937219730941704E-2</v>
      </c>
      <c r="O155" s="18">
        <f>IF(ISNUMBER(M155), $B172 * N155, "")</f>
        <v>-2690.5829596412555</v>
      </c>
      <c r="Q155" s="161"/>
      <c r="R155" s="161"/>
      <c r="S155" s="161"/>
    </row>
    <row r="156" spans="1:19" ht="17.25" thickBot="1">
      <c r="A156" s="111" t="s">
        <v>103</v>
      </c>
      <c r="B156" s="112">
        <v>219</v>
      </c>
      <c r="C156" s="71">
        <v>-1.79372197E-2</v>
      </c>
      <c r="D156" s="20">
        <v>221</v>
      </c>
      <c r="E156" s="21">
        <f t="shared" si="78"/>
        <v>9.1324200913242004E-3</v>
      </c>
      <c r="F156" s="22">
        <f>IF(ISNUMBER(D156), $B172 * E156, "")</f>
        <v>1369.8630136986301</v>
      </c>
      <c r="G156" s="30">
        <v>221</v>
      </c>
      <c r="H156" s="21">
        <f t="shared" si="79"/>
        <v>9.1324200913242004E-3</v>
      </c>
      <c r="I156" s="95">
        <f>IF(ISNUMBER(G156), $B172 * H156, "")</f>
        <v>1369.8630136986301</v>
      </c>
      <c r="J156" s="20">
        <v>221</v>
      </c>
      <c r="K156" s="21">
        <f t="shared" si="80"/>
        <v>9.1324200913242004E-3</v>
      </c>
      <c r="L156" s="22">
        <f>IF(ISNUMBER(J156), $B172 * K156, "")</f>
        <v>1369.8630136986301</v>
      </c>
      <c r="M156" s="30">
        <v>219</v>
      </c>
      <c r="N156" s="21">
        <f t="shared" si="81"/>
        <v>0</v>
      </c>
      <c r="O156" s="22">
        <f>IF(ISNUMBER(M156), $B172 * N156, "")</f>
        <v>0</v>
      </c>
      <c r="Q156" s="161"/>
      <c r="R156" s="161"/>
      <c r="S156" s="161"/>
    </row>
    <row r="157" spans="1:19" ht="17.25" thickBot="1">
      <c r="A157" s="109" t="s">
        <v>202</v>
      </c>
      <c r="B157" s="113">
        <v>307</v>
      </c>
      <c r="C157" s="73">
        <v>-1.91693291E-2</v>
      </c>
      <c r="D157" s="96">
        <v>305</v>
      </c>
      <c r="E157" s="97">
        <f>IF(ISNUMBER(D157), (D157 - $B157) / $B157, "")</f>
        <v>-6.5146579804560263E-3</v>
      </c>
      <c r="F157" s="98">
        <f>IF(ISNUMBER(D157), $B172 * E157, "")</f>
        <v>-977.19869706840393</v>
      </c>
      <c r="G157" s="99">
        <v>305</v>
      </c>
      <c r="H157" s="97">
        <f>IF(ISNUMBER(G157), (G157 - $B157) / $B157, "")</f>
        <v>-6.5146579804560263E-3</v>
      </c>
      <c r="I157" s="100">
        <f>IF(ISNUMBER(G157), $B172 * H157, "")</f>
        <v>-977.19869706840393</v>
      </c>
      <c r="J157" s="96">
        <v>303</v>
      </c>
      <c r="K157" s="97">
        <f>IF(ISNUMBER(J157), (J157 - $B157) / $B157, "")</f>
        <v>-1.3029315960912053E-2</v>
      </c>
      <c r="L157" s="98">
        <f>IF(ISNUMBER(J157), $B172 * K157, "")</f>
        <v>-1954.3973941368079</v>
      </c>
      <c r="M157" s="99">
        <v>300</v>
      </c>
      <c r="N157" s="97">
        <f>IF(ISNUMBER(M157), (M157 - $B157) / $B157, "")</f>
        <v>-2.2801302931596091E-2</v>
      </c>
      <c r="O157" s="98">
        <f>IF(ISNUMBER(M157), $B172 * N157, "")</f>
        <v>-3420.1954397394138</v>
      </c>
      <c r="Q157" s="161"/>
      <c r="R157" s="161"/>
      <c r="S157" s="161"/>
    </row>
    <row r="158" spans="1:19" ht="17.25" thickBot="1">
      <c r="A158" s="109" t="s">
        <v>79</v>
      </c>
      <c r="B158" s="110">
        <v>250</v>
      </c>
      <c r="C158" s="70">
        <v>-1.9607843100000001E-2</v>
      </c>
      <c r="D158" s="15">
        <v>248</v>
      </c>
      <c r="E158" s="32">
        <f t="shared" ref="E158:E161" si="82">IF(ISNUMBER(D158), (D158 - $B158) / $B158, "")</f>
        <v>-8.0000000000000002E-3</v>
      </c>
      <c r="F158" s="18">
        <f>IF(ISNUMBER(D158), $B172 * E158, "")</f>
        <v>-1200</v>
      </c>
      <c r="G158" s="31">
        <v>248</v>
      </c>
      <c r="H158" s="32">
        <f t="shared" ref="H158:H161" si="83">IF(ISNUMBER(G158), (G158 - $B158) / $B158, "")</f>
        <v>-8.0000000000000002E-3</v>
      </c>
      <c r="I158" s="91">
        <f>IF(ISNUMBER(G158), $B172 * H158, "")</f>
        <v>-1200</v>
      </c>
      <c r="J158" s="15">
        <v>249</v>
      </c>
      <c r="K158" s="32">
        <f t="shared" ref="K158:K161" si="84">IF(ISNUMBER(J158), (J158 - $B158) / $B158, "")</f>
        <v>-4.0000000000000001E-3</v>
      </c>
      <c r="L158" s="18">
        <f>IF(ISNUMBER(J158), $B172 * K158, "")</f>
        <v>-600</v>
      </c>
      <c r="M158" s="31">
        <v>247</v>
      </c>
      <c r="N158" s="32">
        <f t="shared" ref="N158:N161" si="85">IF(ISNUMBER(M158), (M158 - $B158) / $B158, "")</f>
        <v>-1.2E-2</v>
      </c>
      <c r="O158" s="18">
        <f>IF(ISNUMBER(M158), $B172 * N158, "")</f>
        <v>-1800</v>
      </c>
      <c r="Q158" s="161"/>
      <c r="R158" s="161"/>
      <c r="S158" s="161"/>
    </row>
    <row r="159" spans="1:19" ht="17.25" thickBot="1">
      <c r="A159" s="109" t="s">
        <v>105</v>
      </c>
      <c r="B159" s="110">
        <v>197</v>
      </c>
      <c r="C159" s="70">
        <v>-1.9900497499999999E-2</v>
      </c>
      <c r="D159" s="15">
        <v>197</v>
      </c>
      <c r="E159" s="32">
        <f t="shared" si="82"/>
        <v>0</v>
      </c>
      <c r="F159" s="18">
        <f>IF(ISNUMBER(D159), $B172 * E159, "")</f>
        <v>0</v>
      </c>
      <c r="G159" s="31">
        <v>198</v>
      </c>
      <c r="H159" s="32">
        <f t="shared" si="83"/>
        <v>5.076142131979695E-3</v>
      </c>
      <c r="I159" s="91">
        <f>IF(ISNUMBER(G159), $B172 * H159, "")</f>
        <v>761.42131979695421</v>
      </c>
      <c r="J159" s="15">
        <v>197</v>
      </c>
      <c r="K159" s="32">
        <f t="shared" si="84"/>
        <v>0</v>
      </c>
      <c r="L159" s="18">
        <f>IF(ISNUMBER(J159), $B172 * K159, "")</f>
        <v>0</v>
      </c>
      <c r="M159" s="31">
        <v>197</v>
      </c>
      <c r="N159" s="32">
        <f t="shared" si="85"/>
        <v>0</v>
      </c>
      <c r="O159" s="18">
        <f>IF(ISNUMBER(M159), $B172 * N159, "")</f>
        <v>0</v>
      </c>
      <c r="Q159" s="161"/>
      <c r="R159" s="161"/>
      <c r="S159" s="161"/>
    </row>
    <row r="160" spans="1:19" ht="17.25" thickBot="1">
      <c r="A160" s="109" t="s">
        <v>153</v>
      </c>
      <c r="B160" s="110">
        <v>357</v>
      </c>
      <c r="C160" s="70">
        <v>-2.19178082E-2</v>
      </c>
      <c r="D160" s="15">
        <v>358</v>
      </c>
      <c r="E160" s="32">
        <f t="shared" si="82"/>
        <v>2.8011204481792717E-3</v>
      </c>
      <c r="F160" s="18">
        <f>IF(ISNUMBER(D160), $B172 * E160, "")</f>
        <v>420.16806722689074</v>
      </c>
      <c r="G160" s="31">
        <v>357</v>
      </c>
      <c r="H160" s="32">
        <f t="shared" si="83"/>
        <v>0</v>
      </c>
      <c r="I160" s="91">
        <f>IF(ISNUMBER(G160), $B172 * H160, "")</f>
        <v>0</v>
      </c>
      <c r="J160" s="15">
        <v>356</v>
      </c>
      <c r="K160" s="32">
        <f t="shared" si="84"/>
        <v>-2.8011204481792717E-3</v>
      </c>
      <c r="L160" s="18">
        <f>IF(ISNUMBER(J160), $B172 * K160, "")</f>
        <v>-420.16806722689074</v>
      </c>
      <c r="M160" s="31">
        <v>358</v>
      </c>
      <c r="N160" s="32">
        <f t="shared" si="85"/>
        <v>2.8011204481792717E-3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14" t="s">
        <v>159</v>
      </c>
      <c r="B161" s="115">
        <v>161</v>
      </c>
      <c r="C161" s="72">
        <v>-2.4242424200000001E-2</v>
      </c>
      <c r="D161" s="24">
        <v>158</v>
      </c>
      <c r="E161" s="25">
        <f t="shared" si="82"/>
        <v>-1.8633540372670808E-2</v>
      </c>
      <c r="F161" s="94">
        <f>IF(ISNUMBER(D161), $B172 * E161, "")</f>
        <v>-2795.0310559006211</v>
      </c>
      <c r="G161" s="92">
        <v>158</v>
      </c>
      <c r="H161" s="25">
        <f t="shared" si="83"/>
        <v>-1.8633540372670808E-2</v>
      </c>
      <c r="I161" s="93">
        <f>IF(ISNUMBER(G161), $B172 * H161, "")</f>
        <v>-2795.0310559006211</v>
      </c>
      <c r="J161" s="24">
        <v>159</v>
      </c>
      <c r="K161" s="25">
        <f t="shared" si="84"/>
        <v>-1.2422360248447204E-2</v>
      </c>
      <c r="L161" s="94">
        <f>IF(ISNUMBER(J161), $B172 * K161, "")</f>
        <v>-1863.3540372670807</v>
      </c>
      <c r="M161" s="92">
        <v>157</v>
      </c>
      <c r="N161" s="25">
        <f t="shared" si="85"/>
        <v>-2.4844720496894408E-2</v>
      </c>
      <c r="O161" s="94">
        <f>IF(ISNUMBER(M161), $B172 * N161, "")</f>
        <v>-3726.7080745341614</v>
      </c>
      <c r="Q161" s="170"/>
      <c r="R161" s="171"/>
      <c r="S161" s="172"/>
    </row>
    <row r="162" spans="1:19">
      <c r="A162" s="107" t="s">
        <v>130</v>
      </c>
      <c r="B162" s="108">
        <v>700</v>
      </c>
      <c r="C162" s="69">
        <v>-2.50696379E-2</v>
      </c>
      <c r="D162" s="13">
        <v>698</v>
      </c>
      <c r="E162" s="14">
        <f>IF(ISNUMBER(D162), (D162 - $B162) / $B162, "")</f>
        <v>-2.8571428571428571E-3</v>
      </c>
      <c r="F162" s="16">
        <f>IF(ISNUMBER(D162), $B172 * E162, "")</f>
        <v>-428.57142857142856</v>
      </c>
      <c r="G162" s="29">
        <v>698</v>
      </c>
      <c r="H162" s="14">
        <f>IF(ISNUMBER(G162), (G162 - $B162) / $B162, "")</f>
        <v>-2.8571428571428571E-3</v>
      </c>
      <c r="I162" s="90">
        <f>IF(ISNUMBER(G162), $B172 * H162, "")</f>
        <v>-428.57142857142856</v>
      </c>
      <c r="J162" s="13">
        <v>702</v>
      </c>
      <c r="K162" s="14">
        <f>IF(ISNUMBER(J162), (J162 - $B162) / $B162, "")</f>
        <v>2.8571428571428571E-3</v>
      </c>
      <c r="L162" s="16">
        <f>IF(ISNUMBER(J162), $B172 * K162, "")</f>
        <v>428.57142857142856</v>
      </c>
      <c r="M162" s="29">
        <v>703</v>
      </c>
      <c r="N162" s="14">
        <f>IF(ISNUMBER(M162), (M162 - $B162) / $B162, "")</f>
        <v>4.2857142857142859E-3</v>
      </c>
      <c r="O162" s="16">
        <f>IF(ISNUMBER(M162), $B172 * N162, "")</f>
        <v>642.85714285714289</v>
      </c>
      <c r="Q162" s="173"/>
      <c r="R162" s="174"/>
      <c r="S162" s="175"/>
    </row>
    <row r="163" spans="1:19" ht="17.25" thickBot="1">
      <c r="A163" s="109" t="s">
        <v>111</v>
      </c>
      <c r="B163" s="110">
        <v>620</v>
      </c>
      <c r="C163" s="70">
        <v>-2.6687598100000001E-2</v>
      </c>
      <c r="D163" s="15">
        <v>611</v>
      </c>
      <c r="E163" s="32">
        <f t="shared" ref="E163:E166" si="86">IF(ISNUMBER(D163), (D163 - $B163) / $B163, "")</f>
        <v>-1.4516129032258065E-2</v>
      </c>
      <c r="F163" s="18">
        <f>IF(ISNUMBER(D163), $B172 * E163, "")</f>
        <v>-2177.4193548387098</v>
      </c>
      <c r="G163" s="31">
        <v>611</v>
      </c>
      <c r="H163" s="32">
        <f t="shared" ref="H163:H166" si="87">IF(ISNUMBER(G163), (G163 - $B163) / $B163, "")</f>
        <v>-1.4516129032258065E-2</v>
      </c>
      <c r="I163" s="91">
        <f>IF(ISNUMBER(G163), $B172 * H163, "")</f>
        <v>-2177.4193548387098</v>
      </c>
      <c r="J163" s="15">
        <v>607</v>
      </c>
      <c r="K163" s="32">
        <f t="shared" ref="K163:K166" si="88">IF(ISNUMBER(J163), (J163 - $B163) / $B163, "")</f>
        <v>-2.0967741935483872E-2</v>
      </c>
      <c r="L163" s="18">
        <f>IF(ISNUMBER(J163), $B172 * K163, "")</f>
        <v>-3145.161290322581</v>
      </c>
      <c r="M163" s="31">
        <v>605</v>
      </c>
      <c r="N163" s="32">
        <f t="shared" ref="N163:N166" si="89">IF(ISNUMBER(M163), (M163 - $B163) / $B163, "")</f>
        <v>-2.4193548387096774E-2</v>
      </c>
      <c r="O163" s="18">
        <f>IF(ISNUMBER(M163), $B172 * N163, "")</f>
        <v>-3629.0322580645161</v>
      </c>
      <c r="Q163" s="176"/>
      <c r="R163" s="177"/>
      <c r="S163" s="178"/>
    </row>
    <row r="164" spans="1:19" ht="17.25" thickBot="1">
      <c r="A164" s="109" t="s">
        <v>332</v>
      </c>
      <c r="B164" s="110">
        <v>250</v>
      </c>
      <c r="C164" s="70">
        <v>-3.1007751900000002E-2</v>
      </c>
      <c r="D164" s="15">
        <v>246</v>
      </c>
      <c r="E164" s="32">
        <f t="shared" si="86"/>
        <v>-1.6E-2</v>
      </c>
      <c r="F164" s="18">
        <f>IF(ISNUMBER(D164), $B172 * E164, "")</f>
        <v>-2400</v>
      </c>
      <c r="G164" s="31">
        <v>245</v>
      </c>
      <c r="H164" s="32">
        <f t="shared" si="87"/>
        <v>-0.02</v>
      </c>
      <c r="I164" s="91">
        <f>IF(ISNUMBER(G164), $B172 * H164, "")</f>
        <v>-3000</v>
      </c>
      <c r="J164" s="15">
        <v>244</v>
      </c>
      <c r="K164" s="32">
        <f t="shared" si="88"/>
        <v>-2.4E-2</v>
      </c>
      <c r="L164" s="18">
        <f>IF(ISNUMBER(J164), $B172 * K164, "")</f>
        <v>-3600</v>
      </c>
      <c r="M164" s="31">
        <v>244</v>
      </c>
      <c r="N164" s="32">
        <f t="shared" si="89"/>
        <v>-2.4E-2</v>
      </c>
      <c r="O164" s="18">
        <f>IF(ISNUMBER(M164), $B172 * N164, "")</f>
        <v>-3600</v>
      </c>
      <c r="Q164" s="161"/>
      <c r="R164" s="161"/>
      <c r="S164" s="161"/>
    </row>
    <row r="165" spans="1:19" ht="17.25" thickBot="1">
      <c r="A165" s="109" t="s">
        <v>60</v>
      </c>
      <c r="B165" s="110">
        <v>428</v>
      </c>
      <c r="C165" s="70">
        <v>-3.38600451E-2</v>
      </c>
      <c r="D165" s="15">
        <v>431</v>
      </c>
      <c r="E165" s="32">
        <f t="shared" si="86"/>
        <v>7.0093457943925233E-3</v>
      </c>
      <c r="F165" s="18">
        <f>IF(ISNUMBER(D165), $B172 * E165, "")</f>
        <v>1051.4018691588785</v>
      </c>
      <c r="G165" s="31">
        <v>431</v>
      </c>
      <c r="H165" s="32">
        <f t="shared" si="87"/>
        <v>7.0093457943925233E-3</v>
      </c>
      <c r="I165" s="91">
        <f>IF(ISNUMBER(G165), $B172 * H165, "")</f>
        <v>1051.4018691588785</v>
      </c>
      <c r="J165" s="15">
        <v>431</v>
      </c>
      <c r="K165" s="32">
        <f t="shared" si="88"/>
        <v>7.0093457943925233E-3</v>
      </c>
      <c r="L165" s="18">
        <f>IF(ISNUMBER(J165), $B172 * K165, "")</f>
        <v>1051.4018691588785</v>
      </c>
      <c r="M165" s="31">
        <v>431</v>
      </c>
      <c r="N165" s="32">
        <f t="shared" si="89"/>
        <v>7.0093457943925233E-3</v>
      </c>
      <c r="O165" s="18">
        <f>IF(ISNUMBER(M165), $B172 * N165, "")</f>
        <v>1051.4018691588785</v>
      </c>
      <c r="Q165" s="156"/>
      <c r="R165" s="156"/>
      <c r="S165" s="156"/>
    </row>
    <row r="166" spans="1:19" ht="17.25" thickBot="1">
      <c r="A166" s="111" t="s">
        <v>161</v>
      </c>
      <c r="B166" s="112">
        <v>307</v>
      </c>
      <c r="C166" s="71">
        <v>-3.4591194999999998E-2</v>
      </c>
      <c r="D166" s="20">
        <v>305</v>
      </c>
      <c r="E166" s="21">
        <f t="shared" si="86"/>
        <v>-6.5146579804560263E-3</v>
      </c>
      <c r="F166" s="22">
        <f>IF(ISNUMBER(D166), $B172 * E166, "")</f>
        <v>-977.19869706840393</v>
      </c>
      <c r="G166" s="30">
        <v>303</v>
      </c>
      <c r="H166" s="21">
        <f t="shared" si="87"/>
        <v>-1.3029315960912053E-2</v>
      </c>
      <c r="I166" s="95">
        <f>IF(ISNUMBER(G166), $B172 * H166, "")</f>
        <v>-1954.3973941368079</v>
      </c>
      <c r="J166" s="20">
        <v>302</v>
      </c>
      <c r="K166" s="21">
        <f t="shared" si="88"/>
        <v>-1.6286644951140065E-2</v>
      </c>
      <c r="L166" s="22">
        <f>IF(ISNUMBER(J166), $B172 * K166, "")</f>
        <v>-2442.99674267101</v>
      </c>
      <c r="M166" s="30">
        <v>302</v>
      </c>
      <c r="N166" s="21">
        <f t="shared" si="89"/>
        <v>-1.6286644951140065E-2</v>
      </c>
      <c r="O166" s="22">
        <f>IF(ISNUMBER(M166), $B172 * N166, "")</f>
        <v>-2442.99674267101</v>
      </c>
      <c r="Q166" s="156"/>
      <c r="R166" s="156"/>
      <c r="S166" s="156"/>
    </row>
    <row r="167" spans="1:19" ht="17.25" thickBot="1">
      <c r="A167" s="109" t="s">
        <v>204</v>
      </c>
      <c r="B167" s="113">
        <v>222</v>
      </c>
      <c r="C167" s="73">
        <v>-3.4782608700000002E-2</v>
      </c>
      <c r="D167" s="96">
        <v>217</v>
      </c>
      <c r="E167" s="97">
        <f>IF(ISNUMBER(D167), (D167 - $B167) / $B167, "")</f>
        <v>-2.2522522522522521E-2</v>
      </c>
      <c r="F167" s="98">
        <f>IF(ISNUMBER(D167), $B172 * E167, "")</f>
        <v>-3378.3783783783783</v>
      </c>
      <c r="G167" s="99">
        <v>216</v>
      </c>
      <c r="H167" s="97">
        <f>IF(ISNUMBER(G167), (G167 - $B167) / $B167, "")</f>
        <v>-2.7027027027027029E-2</v>
      </c>
      <c r="I167" s="100">
        <f>IF(ISNUMBER(G167), $B172 * H167, "")</f>
        <v>-4054.0540540540542</v>
      </c>
      <c r="J167" s="96">
        <v>215</v>
      </c>
      <c r="K167" s="97">
        <f>IF(ISNUMBER(J167), (J167 - $B167) / $B167, "")</f>
        <v>-3.1531531531531529E-2</v>
      </c>
      <c r="L167" s="98">
        <f>IF(ISNUMBER(J167), $B172 * K167, "")</f>
        <v>-4729.7297297297291</v>
      </c>
      <c r="M167" s="99">
        <v>215</v>
      </c>
      <c r="N167" s="97">
        <f>IF(ISNUMBER(M167), (M167 - $B167) / $B167, "")</f>
        <v>-3.1531531531531529E-2</v>
      </c>
      <c r="O167" s="98">
        <f>IF(ISNUMBER(M167), $B172 * N167, "")</f>
        <v>-4729.7297297297291</v>
      </c>
      <c r="Q167" s="161"/>
      <c r="R167" s="161"/>
      <c r="S167" s="161"/>
    </row>
    <row r="168" spans="1:19" ht="17.25" thickBot="1">
      <c r="A168" s="109" t="s">
        <v>189</v>
      </c>
      <c r="B168" s="110">
        <v>998</v>
      </c>
      <c r="C168" s="70">
        <v>-4.0384615399999997E-2</v>
      </c>
      <c r="D168" s="15">
        <v>1015</v>
      </c>
      <c r="E168" s="32">
        <f t="shared" ref="E168:E171" si="90">IF(ISNUMBER(D168), (D168 - $B168) / $B168, "")</f>
        <v>1.7034068136272545E-2</v>
      </c>
      <c r="F168" s="18">
        <f>IF(ISNUMBER(D168), $B172 * E168, "")</f>
        <v>2555.1102204408817</v>
      </c>
      <c r="G168" s="31">
        <v>1015</v>
      </c>
      <c r="H168" s="32">
        <f t="shared" ref="H168:H171" si="91">IF(ISNUMBER(G168), (G168 - $B168) / $B168, "")</f>
        <v>1.7034068136272545E-2</v>
      </c>
      <c r="I168" s="91">
        <f>IF(ISNUMBER(G168), $B172 * H168, "")</f>
        <v>2555.1102204408817</v>
      </c>
      <c r="J168" s="15">
        <v>1005</v>
      </c>
      <c r="K168" s="32">
        <f t="shared" ref="K168:K171" si="92">IF(ISNUMBER(J168), (J168 - $B168) / $B168, "")</f>
        <v>7.0140280561122245E-3</v>
      </c>
      <c r="L168" s="18">
        <f>IF(ISNUMBER(J168), $B172 * K168, "")</f>
        <v>1052.1042084168337</v>
      </c>
      <c r="M168" s="31">
        <v>1000</v>
      </c>
      <c r="N168" s="32">
        <f t="shared" ref="N168:N171" si="93">IF(ISNUMBER(M168), (M168 - $B168) / $B168, "")</f>
        <v>2.004008016032064E-3</v>
      </c>
      <c r="O168" s="18">
        <f>IF(ISNUMBER(M168), $B172 * N168, "")</f>
        <v>300.60120240480961</v>
      </c>
      <c r="Q168" s="161"/>
      <c r="R168" s="161"/>
      <c r="S168" s="161"/>
    </row>
    <row r="169" spans="1:19" ht="17.25" thickBot="1">
      <c r="A169" s="109" t="s">
        <v>346</v>
      </c>
      <c r="B169" s="110">
        <v>388</v>
      </c>
      <c r="C169" s="70">
        <v>-4.1975308599999997E-2</v>
      </c>
      <c r="D169" s="15">
        <v>404</v>
      </c>
      <c r="E169" s="32">
        <f t="shared" si="90"/>
        <v>4.1237113402061855E-2</v>
      </c>
      <c r="F169" s="18">
        <f>IF(ISNUMBER(D169), $B172 * E169, "")</f>
        <v>6185.567010309278</v>
      </c>
      <c r="G169" s="31">
        <v>404</v>
      </c>
      <c r="H169" s="32">
        <f t="shared" si="91"/>
        <v>4.1237113402061855E-2</v>
      </c>
      <c r="I169" s="91">
        <f>IF(ISNUMBER(G169), $B172 * H169, "")</f>
        <v>6185.567010309278</v>
      </c>
      <c r="J169" s="15">
        <v>407</v>
      </c>
      <c r="K169" s="32">
        <f t="shared" si="92"/>
        <v>4.8969072164948453E-2</v>
      </c>
      <c r="L169" s="18">
        <f>IF(ISNUMBER(J169), $B172 * K169, "")</f>
        <v>7345.3608247422681</v>
      </c>
      <c r="M169" s="31">
        <v>405</v>
      </c>
      <c r="N169" s="32">
        <f t="shared" si="93"/>
        <v>4.3814432989690719E-2</v>
      </c>
      <c r="O169" s="18">
        <f>IF(ISNUMBER(M169), $B172 * N169, "")</f>
        <v>6572.1649484536074</v>
      </c>
      <c r="Q169" s="161"/>
      <c r="R169" s="161"/>
      <c r="S169" s="161"/>
    </row>
    <row r="170" spans="1:19">
      <c r="A170" s="109" t="s">
        <v>68</v>
      </c>
      <c r="B170" s="110">
        <v>267</v>
      </c>
      <c r="C170" s="70">
        <v>-4.3010752700000002E-2</v>
      </c>
      <c r="D170" s="15">
        <v>265</v>
      </c>
      <c r="E170" s="32">
        <f t="shared" si="90"/>
        <v>-7.4906367041198503E-3</v>
      </c>
      <c r="F170" s="18">
        <f>IF(ISNUMBER(D170), $B172 * E170, "")</f>
        <v>-1123.5955056179776</v>
      </c>
      <c r="G170" s="31">
        <v>265</v>
      </c>
      <c r="H170" s="32">
        <f t="shared" si="91"/>
        <v>-7.4906367041198503E-3</v>
      </c>
      <c r="I170" s="91">
        <f>IF(ISNUMBER(G170), $B172 * H170, "")</f>
        <v>-1123.5955056179776</v>
      </c>
      <c r="J170" s="15">
        <v>263</v>
      </c>
      <c r="K170" s="32">
        <f t="shared" si="92"/>
        <v>-1.4981273408239701E-2</v>
      </c>
      <c r="L170" s="18">
        <f>IF(ISNUMBER(J170), $B172 * K170, "")</f>
        <v>-2247.1910112359551</v>
      </c>
      <c r="M170" s="31">
        <v>264</v>
      </c>
      <c r="N170" s="32">
        <f t="shared" si="93"/>
        <v>-1.1235955056179775E-2</v>
      </c>
      <c r="O170" s="18">
        <f>IF(ISNUMBER(M170), $B172 * N170, "")</f>
        <v>-1685.3932584269662</v>
      </c>
      <c r="Q170" s="183"/>
      <c r="R170" s="184"/>
      <c r="S170" s="185"/>
    </row>
    <row r="171" spans="1:19" ht="17.25" thickBot="1">
      <c r="A171" s="114" t="s">
        <v>352</v>
      </c>
      <c r="B171" s="115">
        <v>193</v>
      </c>
      <c r="C171" s="72">
        <v>-4.4554455399999998E-2</v>
      </c>
      <c r="D171" s="24">
        <v>188</v>
      </c>
      <c r="E171" s="25">
        <f t="shared" si="90"/>
        <v>-2.5906735751295335E-2</v>
      </c>
      <c r="F171" s="94">
        <f>IF(ISNUMBER(D171), $B172 * E171, "")</f>
        <v>-3886.0103626943001</v>
      </c>
      <c r="G171" s="92">
        <v>188</v>
      </c>
      <c r="H171" s="25">
        <f t="shared" si="91"/>
        <v>-2.5906735751295335E-2</v>
      </c>
      <c r="I171" s="93">
        <f>IF(ISNUMBER(G171), $B172 * H171, "")</f>
        <v>-3886.0103626943001</v>
      </c>
      <c r="J171" s="24">
        <v>188</v>
      </c>
      <c r="K171" s="25">
        <f t="shared" si="92"/>
        <v>-2.5906735751295335E-2</v>
      </c>
      <c r="L171" s="94">
        <f>IF(ISNUMBER(J171), $B172 * K171, "")</f>
        <v>-3886.0103626943001</v>
      </c>
      <c r="M171" s="92">
        <v>187</v>
      </c>
      <c r="N171" s="25">
        <f t="shared" si="93"/>
        <v>-3.1088082901554404E-2</v>
      </c>
      <c r="O171" s="94">
        <f>IF(ISNUMBER(M171), $B172 * N171, "")</f>
        <v>-4663.2124352331602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-2.7436190936874884E-3</v>
      </c>
      <c r="F172" s="28">
        <f>SUM(F152:F171)</f>
        <v>-8230.8572810624664</v>
      </c>
      <c r="G172" s="26" t="s">
        <v>261</v>
      </c>
      <c r="H172" s="27">
        <f>IF(COUNT(H152:H171), SUM(H152:H171) / COUNT(H152:H171), 0)</f>
        <v>-3.5265987284976812E-3</v>
      </c>
      <c r="I172" s="28">
        <f>SUM(I152:I171)</f>
        <v>-10579.796185493042</v>
      </c>
      <c r="J172" s="26" t="s">
        <v>261</v>
      </c>
      <c r="K172" s="27">
        <f>IF(COUNT(K152:K171), SUM(K152:K171) / COUNT(K152:K171), 0)</f>
        <v>-5.4485542995069535E-3</v>
      </c>
      <c r="L172" s="28">
        <f>SUM(L152:L171)</f>
        <v>-16345.662898520857</v>
      </c>
      <c r="M172" s="26" t="s">
        <v>261</v>
      </c>
      <c r="N172" s="27">
        <f>IF(COUNT(N152:N171), SUM(N152:N171) / COUNT(N152:N171), 0)</f>
        <v>-8.9455759742286829E-3</v>
      </c>
      <c r="O172" s="28">
        <f>SUM(O152:O171)</f>
        <v>-26836.727922686048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2022-12-19(월) 오전 00:00</v>
      </c>
      <c r="C177" s="199"/>
      <c r="D177" s="158" t="str">
        <f>TEXT($G$1, "[$-ko-KR]yyyy-mm-dd(ddd) ") &amp; "오후 14:00"</f>
        <v>2022-12-19(월) 오후 14:00</v>
      </c>
      <c r="E177" s="159"/>
      <c r="F177" s="160"/>
      <c r="G177" s="158" t="str">
        <f>TEXT($G$1, "[$-ko-KR]yyyy-mm-dd(ddd) ") &amp; "오후 19:00"</f>
        <v>2022-12-19(월) 오후 19:00</v>
      </c>
      <c r="H177" s="159"/>
      <c r="I177" s="160"/>
      <c r="J177" s="158" t="str">
        <f>TEXT($G$1, "[$-ko-KR]yyyy-mm-dd(ddd) ") &amp; "오후 21:00"</f>
        <v>2022-12-19(월) 오후 21:00</v>
      </c>
      <c r="K177" s="159"/>
      <c r="L177" s="160"/>
      <c r="M177" s="158" t="str">
        <f>TEXT($G$1+1, "[$-ko-KR]yyyy-mm-dd(ddd) ") &amp; "오전 00:00"</f>
        <v>2022-12-20(화)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141</v>
      </c>
      <c r="B179" s="108">
        <v>3.19</v>
      </c>
      <c r="C179" s="69">
        <v>-2.44648318E-2</v>
      </c>
      <c r="D179" s="13">
        <v>3.16</v>
      </c>
      <c r="E179" s="14">
        <f>IF(ISNUMBER(D179), (D179 - $B179) / $B179, "")</f>
        <v>-9.4043887147334804E-3</v>
      </c>
      <c r="F179" s="16">
        <f>IF(ISNUMBER(D179), $B199 * E179, "")</f>
        <v>-1410.658307210022</v>
      </c>
      <c r="G179" s="29">
        <v>3.15</v>
      </c>
      <c r="H179" s="14">
        <f>IF(ISNUMBER(G179), (G179 - $B179) / $B179, "")</f>
        <v>-1.2539184952978068E-2</v>
      </c>
      <c r="I179" s="90">
        <f>IF(ISNUMBER(G179), $B199 * H179, "")</f>
        <v>-1880.8777429467102</v>
      </c>
      <c r="J179" s="13">
        <v>3.15</v>
      </c>
      <c r="K179" s="14">
        <f>IF(ISNUMBER(J179), (J179 - $B179) / $B179, "")</f>
        <v>-1.2539184952978068E-2</v>
      </c>
      <c r="L179" s="16">
        <f>IF(ISNUMBER(J179), $B199 * K179, "")</f>
        <v>-1880.8777429467102</v>
      </c>
      <c r="M179" s="29">
        <v>3.15</v>
      </c>
      <c r="N179" s="14">
        <f>IF(ISNUMBER(M179), (M179 - $B179) / $B179, "")</f>
        <v>-1.2539184952978068E-2</v>
      </c>
      <c r="O179" s="16">
        <f>IF(ISNUMBER(M179), $B199 * N179, "")</f>
        <v>-1880.8777429467102</v>
      </c>
      <c r="Q179" s="156"/>
      <c r="R179" s="156"/>
      <c r="S179" s="156"/>
    </row>
    <row r="180" spans="1:19" ht="17.25" thickBot="1">
      <c r="A180" s="109" t="s">
        <v>130</v>
      </c>
      <c r="B180" s="110">
        <v>700</v>
      </c>
      <c r="C180" s="70">
        <v>-2.50696379E-2</v>
      </c>
      <c r="D180" s="15">
        <v>698</v>
      </c>
      <c r="E180" s="32">
        <f t="shared" ref="E180:E183" si="94">IF(ISNUMBER(D180), (D180 - $B180) / $B180, "")</f>
        <v>-2.8571428571428571E-3</v>
      </c>
      <c r="F180" s="18">
        <f>IF(ISNUMBER(D180), $B199 * E180, "")</f>
        <v>-428.57142857142856</v>
      </c>
      <c r="G180" s="31">
        <v>698</v>
      </c>
      <c r="H180" s="32">
        <f t="shared" ref="H180:H183" si="95">IF(ISNUMBER(G180), (G180 - $B180) / $B180, "")</f>
        <v>-2.8571428571428571E-3</v>
      </c>
      <c r="I180" s="91">
        <f>IF(ISNUMBER(G180), $B199 * H180, "")</f>
        <v>-428.57142857142856</v>
      </c>
      <c r="J180" s="15">
        <v>702</v>
      </c>
      <c r="K180" s="32">
        <f t="shared" ref="K180:K183" si="96">IF(ISNUMBER(J180), (J180 - $B180) / $B180, "")</f>
        <v>2.8571428571428571E-3</v>
      </c>
      <c r="L180" s="18">
        <f>IF(ISNUMBER(J180), $B199 * K180, "")</f>
        <v>428.57142857142856</v>
      </c>
      <c r="M180" s="31">
        <v>703</v>
      </c>
      <c r="N180" s="32">
        <f t="shared" ref="N180:N183" si="97">IF(ISNUMBER(M180), (M180 - $B180) / $B180, "")</f>
        <v>4.2857142857142859E-3</v>
      </c>
      <c r="O180" s="18">
        <f>IF(ISNUMBER(M180), $B199 * N180, "")</f>
        <v>642.85714285714289</v>
      </c>
      <c r="Q180" s="156"/>
      <c r="R180" s="156"/>
      <c r="S180" s="156"/>
    </row>
    <row r="181" spans="1:19" ht="17.25" thickBot="1">
      <c r="A181" s="109" t="s">
        <v>111</v>
      </c>
      <c r="B181" s="110">
        <v>620</v>
      </c>
      <c r="C181" s="70">
        <v>-2.6687598100000001E-2</v>
      </c>
      <c r="D181" s="15">
        <v>611</v>
      </c>
      <c r="E181" s="32">
        <f t="shared" si="94"/>
        <v>-1.4516129032258065E-2</v>
      </c>
      <c r="F181" s="18">
        <f>IF(ISNUMBER(D181), $B199 * E181, "")</f>
        <v>-2177.4193548387098</v>
      </c>
      <c r="G181" s="31">
        <v>611</v>
      </c>
      <c r="H181" s="32">
        <f t="shared" si="95"/>
        <v>-1.4516129032258065E-2</v>
      </c>
      <c r="I181" s="91">
        <f>IF(ISNUMBER(G181), $B199 * H181, "")</f>
        <v>-2177.4193548387098</v>
      </c>
      <c r="J181" s="15">
        <v>607</v>
      </c>
      <c r="K181" s="32">
        <f t="shared" si="96"/>
        <v>-2.0967741935483872E-2</v>
      </c>
      <c r="L181" s="18">
        <f>IF(ISNUMBER(J181), $B199 * K181, "")</f>
        <v>-3145.161290322581</v>
      </c>
      <c r="M181" s="31">
        <v>605</v>
      </c>
      <c r="N181" s="32">
        <f t="shared" si="97"/>
        <v>-2.4193548387096774E-2</v>
      </c>
      <c r="O181" s="18">
        <f>IF(ISNUMBER(M181), $B199 * N181, "")</f>
        <v>-3629.0322580645161</v>
      </c>
      <c r="Q181" s="161"/>
      <c r="R181" s="161"/>
      <c r="S181" s="161"/>
    </row>
    <row r="182" spans="1:19" ht="17.25" thickBot="1">
      <c r="A182" s="109" t="s">
        <v>332</v>
      </c>
      <c r="B182" s="110">
        <v>250</v>
      </c>
      <c r="C182" s="70">
        <v>-3.1007751900000002E-2</v>
      </c>
      <c r="D182" s="15">
        <v>246</v>
      </c>
      <c r="E182" s="32">
        <f t="shared" si="94"/>
        <v>-1.6E-2</v>
      </c>
      <c r="F182" s="18">
        <f>IF(ISNUMBER(D182), $B199 * E182, "")</f>
        <v>-2400</v>
      </c>
      <c r="G182" s="31">
        <v>245</v>
      </c>
      <c r="H182" s="32">
        <f t="shared" si="95"/>
        <v>-0.02</v>
      </c>
      <c r="I182" s="91">
        <f>IF(ISNUMBER(G182), $B199 * H182, "")</f>
        <v>-3000</v>
      </c>
      <c r="J182" s="15">
        <v>244</v>
      </c>
      <c r="K182" s="32">
        <f t="shared" si="96"/>
        <v>-2.4E-2</v>
      </c>
      <c r="L182" s="18">
        <f>IF(ISNUMBER(J182), $B199 * K182, "")</f>
        <v>-3600</v>
      </c>
      <c r="M182" s="31">
        <v>244</v>
      </c>
      <c r="N182" s="32">
        <f t="shared" si="97"/>
        <v>-2.4E-2</v>
      </c>
      <c r="O182" s="18">
        <f>IF(ISNUMBER(M182), $B199 * N182, "")</f>
        <v>-3600</v>
      </c>
      <c r="Q182" s="161"/>
      <c r="R182" s="161"/>
      <c r="S182" s="161"/>
    </row>
    <row r="183" spans="1:19" ht="17.25" thickBot="1">
      <c r="A183" s="111" t="s">
        <v>208</v>
      </c>
      <c r="B183" s="112">
        <v>92.8</v>
      </c>
      <c r="C183" s="71">
        <v>-3.1315240100000002E-2</v>
      </c>
      <c r="D183" s="20">
        <v>91.3</v>
      </c>
      <c r="E183" s="21">
        <f t="shared" si="94"/>
        <v>-1.6163793103448277E-2</v>
      </c>
      <c r="F183" s="22">
        <f>IF(ISNUMBER(D183), $B199 * E183, "")</f>
        <v>-2424.5689655172414</v>
      </c>
      <c r="G183" s="30">
        <v>91.4</v>
      </c>
      <c r="H183" s="21">
        <f t="shared" si="95"/>
        <v>-1.5086206896551633E-2</v>
      </c>
      <c r="I183" s="95">
        <f>IF(ISNUMBER(G183), $B199 * H183, "")</f>
        <v>-2262.931034482745</v>
      </c>
      <c r="J183" s="20">
        <v>91.3</v>
      </c>
      <c r="K183" s="21">
        <f t="shared" si="96"/>
        <v>-1.6163793103448277E-2</v>
      </c>
      <c r="L183" s="22">
        <f>IF(ISNUMBER(J183), $B199 * K183, "")</f>
        <v>-2424.5689655172414</v>
      </c>
      <c r="M183" s="30">
        <v>90.6</v>
      </c>
      <c r="N183" s="21">
        <f t="shared" si="97"/>
        <v>-2.3706896551724168E-2</v>
      </c>
      <c r="O183" s="22">
        <f>IF(ISNUMBER(M183), $B199 * N183, "")</f>
        <v>-3556.034482758625</v>
      </c>
      <c r="Q183" s="161"/>
      <c r="R183" s="161"/>
      <c r="S183" s="161"/>
    </row>
    <row r="184" spans="1:19" ht="17.25" thickBot="1">
      <c r="A184" s="109" t="s">
        <v>60</v>
      </c>
      <c r="B184" s="113">
        <v>428</v>
      </c>
      <c r="C184" s="73">
        <v>-3.38600451E-2</v>
      </c>
      <c r="D184" s="96">
        <v>431</v>
      </c>
      <c r="E184" s="97">
        <f>IF(ISNUMBER(D184), (D184 - $B184) / $B184, "")</f>
        <v>7.0093457943925233E-3</v>
      </c>
      <c r="F184" s="98">
        <f>IF(ISNUMBER(D184), $B199 * E184, "")</f>
        <v>1051.4018691588785</v>
      </c>
      <c r="G184" s="99">
        <v>431</v>
      </c>
      <c r="H184" s="97">
        <f>IF(ISNUMBER(G184), (G184 - $B184) / $B184, "")</f>
        <v>7.0093457943925233E-3</v>
      </c>
      <c r="I184" s="100">
        <f>IF(ISNUMBER(G184), $B199 * H184, "")</f>
        <v>1051.4018691588785</v>
      </c>
      <c r="J184" s="96">
        <v>431</v>
      </c>
      <c r="K184" s="97">
        <f>IF(ISNUMBER(J184), (J184 - $B184) / $B184, "")</f>
        <v>7.0093457943925233E-3</v>
      </c>
      <c r="L184" s="98">
        <f>IF(ISNUMBER(J184), $B199 * K184, "")</f>
        <v>1051.4018691588785</v>
      </c>
      <c r="M184" s="99">
        <v>431</v>
      </c>
      <c r="N184" s="97">
        <f>IF(ISNUMBER(M184), (M184 - $B184) / $B184, "")</f>
        <v>7.0093457943925233E-3</v>
      </c>
      <c r="O184" s="98">
        <f>IF(ISNUMBER(M184), $B199 * N184, "")</f>
        <v>1051.4018691588785</v>
      </c>
      <c r="Q184" s="161"/>
      <c r="R184" s="161"/>
      <c r="S184" s="161"/>
    </row>
    <row r="185" spans="1:19" ht="17.25" thickBot="1">
      <c r="A185" s="109" t="s">
        <v>107</v>
      </c>
      <c r="B185" s="110">
        <v>36.5</v>
      </c>
      <c r="C185" s="70">
        <v>-3.43915344E-2</v>
      </c>
      <c r="D185" s="15">
        <v>36.299999999999997</v>
      </c>
      <c r="E185" s="32">
        <f t="shared" ref="E185:E188" si="98">IF(ISNUMBER(D185), (D185 - $B185) / $B185, "")</f>
        <v>-5.4794520547945987E-3</v>
      </c>
      <c r="F185" s="18">
        <f>IF(ISNUMBER(D185), $B199 * E185, "")</f>
        <v>-821.91780821918985</v>
      </c>
      <c r="G185" s="31">
        <v>36.299999999999997</v>
      </c>
      <c r="H185" s="32">
        <f t="shared" ref="H185:H188" si="99">IF(ISNUMBER(G185), (G185 - $B185) / $B185, "")</f>
        <v>-5.4794520547945987E-3</v>
      </c>
      <c r="I185" s="91">
        <f>IF(ISNUMBER(G185), $B199 * H185, "")</f>
        <v>-821.91780821918985</v>
      </c>
      <c r="J185" s="15">
        <v>36.4</v>
      </c>
      <c r="K185" s="32">
        <f t="shared" ref="K185:K188" si="100">IF(ISNUMBER(J185), (J185 - $B185) / $B185, "")</f>
        <v>-2.7397260273972993E-3</v>
      </c>
      <c r="L185" s="18">
        <f>IF(ISNUMBER(J185), $B199 * K185, "")</f>
        <v>-410.95890410959493</v>
      </c>
      <c r="M185" s="31">
        <v>36.1</v>
      </c>
      <c r="N185" s="32">
        <f t="shared" ref="N185:N188" si="101">IF(ISNUMBER(M185), (M185 - $B185) / $B185, "")</f>
        <v>-1.0958904109589003E-2</v>
      </c>
      <c r="O185" s="18">
        <f>IF(ISNUMBER(M185), $B199 * N185, "")</f>
        <v>-1643.8356164383504</v>
      </c>
      <c r="Q185" s="161"/>
      <c r="R185" s="161"/>
      <c r="S185" s="161"/>
    </row>
    <row r="186" spans="1:19" ht="17.25" thickBot="1">
      <c r="A186" s="109" t="s">
        <v>161</v>
      </c>
      <c r="B186" s="110">
        <v>307</v>
      </c>
      <c r="C186" s="70">
        <v>-3.4591194999999998E-2</v>
      </c>
      <c r="D186" s="15">
        <v>305</v>
      </c>
      <c r="E186" s="32">
        <f t="shared" si="98"/>
        <v>-6.5146579804560263E-3</v>
      </c>
      <c r="F186" s="18">
        <f>IF(ISNUMBER(D186), $B199 * E186, "")</f>
        <v>-977.19869706840393</v>
      </c>
      <c r="G186" s="31">
        <v>303</v>
      </c>
      <c r="H186" s="32">
        <f t="shared" si="99"/>
        <v>-1.3029315960912053E-2</v>
      </c>
      <c r="I186" s="91">
        <f>IF(ISNUMBER(G186), $B199 * H186, "")</f>
        <v>-1954.3973941368079</v>
      </c>
      <c r="J186" s="15">
        <v>302</v>
      </c>
      <c r="K186" s="32">
        <f t="shared" si="100"/>
        <v>-1.6286644951140065E-2</v>
      </c>
      <c r="L186" s="18">
        <f>IF(ISNUMBER(J186), $B199 * K186, "")</f>
        <v>-2442.99674267101</v>
      </c>
      <c r="M186" s="31">
        <v>302</v>
      </c>
      <c r="N186" s="32">
        <f t="shared" si="101"/>
        <v>-1.6286644951140065E-2</v>
      </c>
      <c r="O186" s="18">
        <f>IF(ISNUMBER(M186), $B199 * N186, "")</f>
        <v>-2442.99674267101</v>
      </c>
      <c r="Q186" s="161"/>
      <c r="R186" s="161"/>
      <c r="S186" s="161"/>
    </row>
    <row r="187" spans="1:19" ht="17.25" thickBot="1">
      <c r="A187" s="109" t="s">
        <v>204</v>
      </c>
      <c r="B187" s="110">
        <v>222</v>
      </c>
      <c r="C187" s="70">
        <v>-3.4782608700000002E-2</v>
      </c>
      <c r="D187" s="15">
        <v>217</v>
      </c>
      <c r="E187" s="32">
        <f t="shared" si="98"/>
        <v>-2.2522522522522521E-2</v>
      </c>
      <c r="F187" s="18">
        <f>IF(ISNUMBER(D187), $B199 * E187, "")</f>
        <v>-3378.3783783783783</v>
      </c>
      <c r="G187" s="31">
        <v>216</v>
      </c>
      <c r="H187" s="32">
        <f t="shared" si="99"/>
        <v>-2.7027027027027029E-2</v>
      </c>
      <c r="I187" s="91">
        <f>IF(ISNUMBER(G187), $B199 * H187, "")</f>
        <v>-4054.0540540540542</v>
      </c>
      <c r="J187" s="15">
        <v>215</v>
      </c>
      <c r="K187" s="32">
        <f t="shared" si="100"/>
        <v>-3.1531531531531529E-2</v>
      </c>
      <c r="L187" s="18">
        <f>IF(ISNUMBER(J187), $B199 * K187, "")</f>
        <v>-4729.7297297297291</v>
      </c>
      <c r="M187" s="31">
        <v>215</v>
      </c>
      <c r="N187" s="32">
        <f t="shared" si="101"/>
        <v>-3.1531531531531529E-2</v>
      </c>
      <c r="O187" s="18">
        <f>IF(ISNUMBER(M187), $B199 * N187, "")</f>
        <v>-4729.7297297297291</v>
      </c>
      <c r="Q187" s="33"/>
      <c r="R187" s="33"/>
    </row>
    <row r="188" spans="1:19" ht="17.25" thickBot="1">
      <c r="A188" s="114" t="s">
        <v>87</v>
      </c>
      <c r="B188" s="115">
        <v>58810</v>
      </c>
      <c r="C188" s="72">
        <v>-3.4794025899999997E-2</v>
      </c>
      <c r="D188" s="24">
        <v>58500</v>
      </c>
      <c r="E188" s="25">
        <f t="shared" si="98"/>
        <v>-5.271212378847135E-3</v>
      </c>
      <c r="F188" s="94">
        <f>IF(ISNUMBER(D188), $B199 * E188, "")</f>
        <v>-790.68185682707031</v>
      </c>
      <c r="G188" s="92">
        <v>58410</v>
      </c>
      <c r="H188" s="25">
        <f t="shared" si="99"/>
        <v>-6.8015643598027548E-3</v>
      </c>
      <c r="I188" s="93">
        <f>IF(ISNUMBER(G188), $B199 * H188, "")</f>
        <v>-1020.2346539704132</v>
      </c>
      <c r="J188" s="24">
        <v>58380</v>
      </c>
      <c r="K188" s="25">
        <f t="shared" si="100"/>
        <v>-7.3116816867879611E-3</v>
      </c>
      <c r="L188" s="94">
        <f>IF(ISNUMBER(J188), $B199 * K188, "")</f>
        <v>-1096.7522530181941</v>
      </c>
      <c r="M188" s="92">
        <v>58460</v>
      </c>
      <c r="N188" s="25">
        <f t="shared" si="101"/>
        <v>-5.9513688148274107E-3</v>
      </c>
      <c r="O188" s="94">
        <f>IF(ISNUMBER(M188), $B199 * N188, "")</f>
        <v>-892.70532222411157</v>
      </c>
      <c r="Q188" s="170"/>
      <c r="R188" s="171"/>
      <c r="S188" s="172"/>
    </row>
    <row r="189" spans="1:19">
      <c r="A189" s="107" t="s">
        <v>320</v>
      </c>
      <c r="B189" s="108">
        <v>1790</v>
      </c>
      <c r="C189" s="69">
        <v>-3.5040431300000001E-2</v>
      </c>
      <c r="D189" s="13">
        <v>1775</v>
      </c>
      <c r="E189" s="14">
        <f>IF(ISNUMBER(D189), (D189 - $B189) / $B189, "")</f>
        <v>-8.3798882681564244E-3</v>
      </c>
      <c r="F189" s="16">
        <f>IF(ISNUMBER(D189), $B199 * E189, "")</f>
        <v>-1256.9832402234636</v>
      </c>
      <c r="G189" s="29">
        <v>1775</v>
      </c>
      <c r="H189" s="14">
        <f>IF(ISNUMBER(G189), (G189 - $B189) / $B189, "")</f>
        <v>-8.3798882681564244E-3</v>
      </c>
      <c r="I189" s="90">
        <f>IF(ISNUMBER(G189), $B199 * H189, "")</f>
        <v>-1256.9832402234636</v>
      </c>
      <c r="J189" s="13">
        <v>1780</v>
      </c>
      <c r="K189" s="14">
        <f>IF(ISNUMBER(J189), (J189 - $B189) / $B189, "")</f>
        <v>-5.5865921787709499E-3</v>
      </c>
      <c r="L189" s="16">
        <f>IF(ISNUMBER(J189), $B199 * K189, "")</f>
        <v>-837.98882681564248</v>
      </c>
      <c r="M189" s="29">
        <v>1785</v>
      </c>
      <c r="N189" s="14">
        <f>IF(ISNUMBER(M189), (M189 - $B189) / $B189, "")</f>
        <v>-2.7932960893854749E-3</v>
      </c>
      <c r="O189" s="16">
        <f>IF(ISNUMBER(M189), $B199 * N189, "")</f>
        <v>-418.99441340782124</v>
      </c>
      <c r="Q189" s="173"/>
      <c r="R189" s="174"/>
      <c r="S189" s="175"/>
    </row>
    <row r="190" spans="1:19" ht="17.25" thickBot="1">
      <c r="A190" s="109" t="s">
        <v>91</v>
      </c>
      <c r="B190" s="110">
        <v>18050</v>
      </c>
      <c r="C190" s="70">
        <v>-3.5790598299999997E-2</v>
      </c>
      <c r="D190" s="15">
        <v>17740</v>
      </c>
      <c r="E190" s="32">
        <f t="shared" ref="E190:E193" si="102">IF(ISNUMBER(D190), (D190 - $B190) / $B190, "")</f>
        <v>-1.7174515235457065E-2</v>
      </c>
      <c r="F190" s="18">
        <f>IF(ISNUMBER(D190), $B199 * E190, "")</f>
        <v>-2576.1772853185598</v>
      </c>
      <c r="G190" s="31">
        <v>17690</v>
      </c>
      <c r="H190" s="32">
        <f t="shared" ref="H190:H193" si="103">IF(ISNUMBER(G190), (G190 - $B190) / $B190, "")</f>
        <v>-1.9944598337950138E-2</v>
      </c>
      <c r="I190" s="91">
        <f>IF(ISNUMBER(G190), $B199 * H190, "")</f>
        <v>-2991.6897506925206</v>
      </c>
      <c r="J190" s="15">
        <v>17710</v>
      </c>
      <c r="K190" s="32">
        <f t="shared" ref="K190:K193" si="104">IF(ISNUMBER(J190), (J190 - $B190) / $B190, "")</f>
        <v>-1.8836565096952907E-2</v>
      </c>
      <c r="L190" s="18">
        <f>IF(ISNUMBER(J190), $B199 * K190, "")</f>
        <v>-2825.4847645429359</v>
      </c>
      <c r="M190" s="31">
        <v>17610</v>
      </c>
      <c r="N190" s="32">
        <f t="shared" ref="N190:N193" si="105">IF(ISNUMBER(M190), (M190 - $B190) / $B190, "")</f>
        <v>-2.4376731301939059E-2</v>
      </c>
      <c r="O190" s="18">
        <f>IF(ISNUMBER(M190), $B199 * N190, "")</f>
        <v>-3656.5096952908589</v>
      </c>
      <c r="Q190" s="176"/>
      <c r="R190" s="177"/>
      <c r="S190" s="178"/>
    </row>
    <row r="191" spans="1:19" ht="17.25" thickBot="1">
      <c r="A191" s="109" t="s">
        <v>189</v>
      </c>
      <c r="B191" s="110">
        <v>998</v>
      </c>
      <c r="C191" s="70">
        <v>-4.0384615399999997E-2</v>
      </c>
      <c r="D191" s="15">
        <v>1015</v>
      </c>
      <c r="E191" s="32">
        <f t="shared" si="102"/>
        <v>1.7034068136272545E-2</v>
      </c>
      <c r="F191" s="18">
        <f>IF(ISNUMBER(D191), $B199 * E191, "")</f>
        <v>2555.1102204408817</v>
      </c>
      <c r="G191" s="31">
        <v>1015</v>
      </c>
      <c r="H191" s="32">
        <f t="shared" si="103"/>
        <v>1.7034068136272545E-2</v>
      </c>
      <c r="I191" s="91">
        <f>IF(ISNUMBER(G191), $B199 * H191, "")</f>
        <v>2555.1102204408817</v>
      </c>
      <c r="J191" s="15">
        <v>1005</v>
      </c>
      <c r="K191" s="32">
        <f t="shared" si="104"/>
        <v>7.0140280561122245E-3</v>
      </c>
      <c r="L191" s="18">
        <f>IF(ISNUMBER(J191), $B199 * K191, "")</f>
        <v>1052.1042084168337</v>
      </c>
      <c r="M191" s="31">
        <v>1000</v>
      </c>
      <c r="N191" s="32">
        <f t="shared" si="105"/>
        <v>2.004008016032064E-3</v>
      </c>
      <c r="O191" s="18">
        <f>IF(ISNUMBER(M191), $B199 * N191, "")</f>
        <v>300.60120240480961</v>
      </c>
      <c r="Q191" s="161"/>
      <c r="R191" s="161"/>
      <c r="S191" s="161"/>
    </row>
    <row r="192" spans="1:19" ht="17.25" thickBot="1">
      <c r="A192" s="109" t="s">
        <v>346</v>
      </c>
      <c r="B192" s="110">
        <v>388</v>
      </c>
      <c r="C192" s="70">
        <v>-4.1975308599999997E-2</v>
      </c>
      <c r="D192" s="15">
        <v>404</v>
      </c>
      <c r="E192" s="32">
        <f t="shared" si="102"/>
        <v>4.1237113402061855E-2</v>
      </c>
      <c r="F192" s="18">
        <f>IF(ISNUMBER(D192), $B199 * E192, "")</f>
        <v>6185.567010309278</v>
      </c>
      <c r="G192" s="31">
        <v>404</v>
      </c>
      <c r="H192" s="32">
        <f t="shared" si="103"/>
        <v>4.1237113402061855E-2</v>
      </c>
      <c r="I192" s="91">
        <f>IF(ISNUMBER(G192), $B199 * H192, "")</f>
        <v>6185.567010309278</v>
      </c>
      <c r="J192" s="15">
        <v>407</v>
      </c>
      <c r="K192" s="32">
        <f t="shared" si="104"/>
        <v>4.8969072164948453E-2</v>
      </c>
      <c r="L192" s="18">
        <f>IF(ISNUMBER(J192), $B199 * K192, "")</f>
        <v>7345.3608247422681</v>
      </c>
      <c r="M192" s="31">
        <v>405</v>
      </c>
      <c r="N192" s="32">
        <f t="shared" si="105"/>
        <v>4.3814432989690719E-2</v>
      </c>
      <c r="O192" s="18">
        <f>IF(ISNUMBER(M192), $B199 * N192, "")</f>
        <v>6572.1649484536074</v>
      </c>
      <c r="Q192" s="156"/>
      <c r="R192" s="156"/>
      <c r="S192" s="156"/>
    </row>
    <row r="193" spans="1:19" ht="17.25" thickBot="1">
      <c r="A193" s="111" t="s">
        <v>350</v>
      </c>
      <c r="B193" s="112">
        <v>6.46</v>
      </c>
      <c r="C193" s="71">
        <v>-4.2962963E-2</v>
      </c>
      <c r="D193" s="20">
        <v>6.26</v>
      </c>
      <c r="E193" s="21">
        <f t="shared" si="102"/>
        <v>-3.0959752321981452E-2</v>
      </c>
      <c r="F193" s="22">
        <f>IF(ISNUMBER(D193), $B199 * E193, "")</f>
        <v>-4643.9628482972175</v>
      </c>
      <c r="G193" s="30">
        <v>6.25</v>
      </c>
      <c r="H193" s="21">
        <f t="shared" si="103"/>
        <v>-3.2507739938080489E-2</v>
      </c>
      <c r="I193" s="95">
        <f>IF(ISNUMBER(G193), $B199 * H193, "")</f>
        <v>-4876.1609907120737</v>
      </c>
      <c r="J193" s="20">
        <v>6.25</v>
      </c>
      <c r="K193" s="21">
        <f t="shared" si="104"/>
        <v>-3.2507739938080489E-2</v>
      </c>
      <c r="L193" s="22">
        <f>IF(ISNUMBER(J193), $B199 * K193, "")</f>
        <v>-4876.1609907120737</v>
      </c>
      <c r="M193" s="30">
        <v>6.21</v>
      </c>
      <c r="N193" s="21">
        <f t="shared" si="105"/>
        <v>-3.8699690402476783E-2</v>
      </c>
      <c r="O193" s="22">
        <f>IF(ISNUMBER(M193), $B199 * N193, "")</f>
        <v>-5804.9535603715176</v>
      </c>
      <c r="Q193" s="156"/>
      <c r="R193" s="156"/>
      <c r="S193" s="156"/>
    </row>
    <row r="194" spans="1:19" ht="17.25" thickBot="1">
      <c r="A194" s="109" t="s">
        <v>68</v>
      </c>
      <c r="B194" s="113">
        <v>267</v>
      </c>
      <c r="C194" s="73">
        <v>-4.3010752700000002E-2</v>
      </c>
      <c r="D194" s="96">
        <v>265</v>
      </c>
      <c r="E194" s="97">
        <f>IF(ISNUMBER(D194), (D194 - $B194) / $B194, "")</f>
        <v>-7.4906367041198503E-3</v>
      </c>
      <c r="F194" s="98">
        <f>IF(ISNUMBER(D194), $B199 * E194, "")</f>
        <v>-1123.5955056179776</v>
      </c>
      <c r="G194" s="99">
        <v>265</v>
      </c>
      <c r="H194" s="97">
        <f>IF(ISNUMBER(G194), (G194 - $B194) / $B194, "")</f>
        <v>-7.4906367041198503E-3</v>
      </c>
      <c r="I194" s="100">
        <f>IF(ISNUMBER(G194), $B199 * H194, "")</f>
        <v>-1123.5955056179776</v>
      </c>
      <c r="J194" s="96">
        <v>263</v>
      </c>
      <c r="K194" s="97">
        <f>IF(ISNUMBER(J194), (J194 - $B194) / $B194, "")</f>
        <v>-1.4981273408239701E-2</v>
      </c>
      <c r="L194" s="98">
        <f>IF(ISNUMBER(J194), $B199 * K194, "")</f>
        <v>-2247.1910112359551</v>
      </c>
      <c r="M194" s="99">
        <v>264</v>
      </c>
      <c r="N194" s="97">
        <f>IF(ISNUMBER(M194), (M194 - $B194) / $B194, "")</f>
        <v>-1.1235955056179775E-2</v>
      </c>
      <c r="O194" s="98">
        <f>IF(ISNUMBER(M194), $B199 * N194, "")</f>
        <v>-1685.3932584269662</v>
      </c>
      <c r="Q194" s="161"/>
      <c r="R194" s="161"/>
      <c r="S194" s="161"/>
    </row>
    <row r="195" spans="1:19" ht="17.25" thickBot="1">
      <c r="A195" s="109" t="s">
        <v>352</v>
      </c>
      <c r="B195" s="110">
        <v>193</v>
      </c>
      <c r="C195" s="70">
        <v>-4.4554455399999998E-2</v>
      </c>
      <c r="D195" s="15">
        <v>188</v>
      </c>
      <c r="E195" s="32">
        <f t="shared" ref="E195:E198" si="106">IF(ISNUMBER(D195), (D195 - $B195) / $B195, "")</f>
        <v>-2.5906735751295335E-2</v>
      </c>
      <c r="F195" s="18">
        <f>IF(ISNUMBER(D195), $B199 * E195, "")</f>
        <v>-3886.0103626943001</v>
      </c>
      <c r="G195" s="31">
        <v>188</v>
      </c>
      <c r="H195" s="32">
        <f t="shared" ref="H195:H198" si="107">IF(ISNUMBER(G195), (G195 - $B195) / $B195, "")</f>
        <v>-2.5906735751295335E-2</v>
      </c>
      <c r="I195" s="91">
        <f>IF(ISNUMBER(G195), $B199 * H195, "")</f>
        <v>-3886.0103626943001</v>
      </c>
      <c r="J195" s="15">
        <v>188</v>
      </c>
      <c r="K195" s="32">
        <f t="shared" ref="K195:K198" si="108">IF(ISNUMBER(J195), (J195 - $B195) / $B195, "")</f>
        <v>-2.5906735751295335E-2</v>
      </c>
      <c r="L195" s="18">
        <f>IF(ISNUMBER(J195), $B199 * K195, "")</f>
        <v>-3886.0103626943001</v>
      </c>
      <c r="M195" s="31">
        <v>187</v>
      </c>
      <c r="N195" s="32">
        <f t="shared" ref="N195:N198" si="109">IF(ISNUMBER(M195), (M195 - $B195) / $B195, "")</f>
        <v>-3.1088082901554404E-2</v>
      </c>
      <c r="O195" s="18">
        <f>IF(ISNUMBER(M195), $B199 * N195, "")</f>
        <v>-4663.2124352331602</v>
      </c>
      <c r="Q195" s="161"/>
      <c r="R195" s="161"/>
      <c r="S195" s="161"/>
    </row>
    <row r="196" spans="1:19" ht="17.25" thickBot="1">
      <c r="A196" s="109" t="s">
        <v>113</v>
      </c>
      <c r="B196" s="110">
        <v>1425</v>
      </c>
      <c r="C196" s="70">
        <v>-0.05</v>
      </c>
      <c r="D196" s="15">
        <v>1425</v>
      </c>
      <c r="E196" s="32">
        <f t="shared" si="106"/>
        <v>0</v>
      </c>
      <c r="F196" s="18">
        <f>IF(ISNUMBER(D196), $B199 * E196, "")</f>
        <v>0</v>
      </c>
      <c r="G196" s="31">
        <v>1420</v>
      </c>
      <c r="H196" s="32">
        <f t="shared" si="107"/>
        <v>-3.5087719298245615E-3</v>
      </c>
      <c r="I196" s="91">
        <f>IF(ISNUMBER(G196), $B199 * H196, "")</f>
        <v>-526.31578947368428</v>
      </c>
      <c r="J196" s="15">
        <v>1415</v>
      </c>
      <c r="K196" s="32">
        <f t="shared" si="108"/>
        <v>-7.0175438596491229E-3</v>
      </c>
      <c r="L196" s="18">
        <f>IF(ISNUMBER(J196), $B199 * K196, "")</f>
        <v>-1052.6315789473686</v>
      </c>
      <c r="M196" s="31">
        <v>1400</v>
      </c>
      <c r="N196" s="32">
        <f t="shared" si="109"/>
        <v>-1.7543859649122806E-2</v>
      </c>
      <c r="O196" s="18">
        <f>IF(ISNUMBER(M196), $B199 * N196, "")</f>
        <v>-2631.5789473684208</v>
      </c>
      <c r="Q196" s="161"/>
      <c r="R196" s="161"/>
      <c r="S196" s="161"/>
    </row>
    <row r="197" spans="1:19">
      <c r="A197" s="109" t="s">
        <v>198</v>
      </c>
      <c r="B197" s="110">
        <v>6.88</v>
      </c>
      <c r="C197" s="70">
        <v>-5.8823529399999998E-2</v>
      </c>
      <c r="D197" s="15">
        <v>6.85</v>
      </c>
      <c r="E197" s="32">
        <f t="shared" si="106"/>
        <v>-4.3604651162791061E-3</v>
      </c>
      <c r="F197" s="18">
        <f>IF(ISNUMBER(D197), $B199 * E197, "")</f>
        <v>-654.06976744186591</v>
      </c>
      <c r="G197" s="31">
        <v>6.82</v>
      </c>
      <c r="H197" s="32">
        <f t="shared" si="107"/>
        <v>-8.7209302325580822E-3</v>
      </c>
      <c r="I197" s="91">
        <f>IF(ISNUMBER(G197), $B199 * H197, "")</f>
        <v>-1308.1395348837123</v>
      </c>
      <c r="J197" s="15">
        <v>6.78</v>
      </c>
      <c r="K197" s="32">
        <f t="shared" si="108"/>
        <v>-1.453488372093018E-2</v>
      </c>
      <c r="L197" s="18">
        <f>IF(ISNUMBER(J197), $B199 * K197, "")</f>
        <v>-2180.2325581395271</v>
      </c>
      <c r="M197" s="31">
        <v>6.78</v>
      </c>
      <c r="N197" s="32">
        <f t="shared" si="109"/>
        <v>-1.453488372093018E-2</v>
      </c>
      <c r="O197" s="18">
        <f>IF(ISNUMBER(M197), $B199 * N197, "")</f>
        <v>-2180.2325581395271</v>
      </c>
      <c r="Q197" s="183"/>
      <c r="R197" s="184"/>
      <c r="S197" s="185"/>
    </row>
    <row r="198" spans="1:19" ht="17.25" thickBot="1">
      <c r="A198" s="114" t="s">
        <v>151</v>
      </c>
      <c r="B198" s="115">
        <v>2005</v>
      </c>
      <c r="C198" s="72">
        <v>-6.0889929699999998E-2</v>
      </c>
      <c r="D198" s="24">
        <v>2090</v>
      </c>
      <c r="E198" s="25">
        <f t="shared" si="106"/>
        <v>4.2394014962593519E-2</v>
      </c>
      <c r="F198" s="94">
        <f>IF(ISNUMBER(D198), $B199 * E198, "")</f>
        <v>6359.1022443890279</v>
      </c>
      <c r="G198" s="92">
        <v>2090</v>
      </c>
      <c r="H198" s="25">
        <f t="shared" si="107"/>
        <v>4.2394014962593519E-2</v>
      </c>
      <c r="I198" s="93">
        <f>IF(ISNUMBER(G198), $B199 * H198, "")</f>
        <v>6359.1022443890279</v>
      </c>
      <c r="J198" s="24">
        <v>2070</v>
      </c>
      <c r="K198" s="25">
        <f t="shared" si="108"/>
        <v>3.2418952618453865E-2</v>
      </c>
      <c r="L198" s="94">
        <f>IF(ISNUMBER(J198), $B199 * K198, "")</f>
        <v>4862.8428927680798</v>
      </c>
      <c r="M198" s="92">
        <v>2070</v>
      </c>
      <c r="N198" s="25">
        <f t="shared" si="109"/>
        <v>3.2418952618453865E-2</v>
      </c>
      <c r="O198" s="94">
        <f>IF(ISNUMBER(M198), $B199 * N198, "")</f>
        <v>4862.8428927680798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-4.2663374873085887E-3</v>
      </c>
      <c r="F199" s="28">
        <f>SUM(F179:F198)</f>
        <v>-12799.012461925762</v>
      </c>
      <c r="G199" s="26" t="s">
        <v>261</v>
      </c>
      <c r="H199" s="27">
        <f>IF(COUNT(H179:H198), SUM(H179:H198) / COUNT(H179:H198), 0)</f>
        <v>-5.8060391004065752E-3</v>
      </c>
      <c r="I199" s="28">
        <f>SUM(I179:I198)</f>
        <v>-17418.117301219721</v>
      </c>
      <c r="J199" s="26" t="s">
        <v>261</v>
      </c>
      <c r="K199" s="27">
        <f>IF(COUNT(K179:K198), SUM(K179:K198) / COUNT(K179:K198), 0)</f>
        <v>-7.6321548325817921E-3</v>
      </c>
      <c r="L199" s="28">
        <f>SUM(L179:L198)</f>
        <v>-22896.464497745375</v>
      </c>
      <c r="M199" s="26" t="s">
        <v>261</v>
      </c>
      <c r="N199" s="27">
        <f>IF(COUNT(N179:N198), SUM(N179:N198) / COUNT(N179:N198), 0)</f>
        <v>-9.9954062358096028E-3</v>
      </c>
      <c r="O199" s="28">
        <f>SUM(O179:O198)</f>
        <v>-29986.218707428809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7009-7CB6-489E-8F8E-D4350C1EC755}">
  <sheetPr codeName="Sheet26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44915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-62,142 KRW (-2.07%)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-38,119 KRW (-1.27%)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-9,954 KRW (-0.33%)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822 KRW (0.03%)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2022-12-20(화) 오전 00:00</v>
      </c>
      <c r="C15" s="202"/>
      <c r="D15" s="158" t="str">
        <f>TEXT($G$1, "[$-ko-KR]yyyy-mm-dd(ddd) ") &amp; "오후 14:00"</f>
        <v>2022-12-20(화) 오후 14:00</v>
      </c>
      <c r="E15" s="159"/>
      <c r="F15" s="160"/>
      <c r="G15" s="158" t="str">
        <f>TEXT($G$1, "[$-ko-KR]yyyy-mm-dd(ddd) ") &amp; "오후 19:00"</f>
        <v>2022-12-20(화) 오후 19:00</v>
      </c>
      <c r="H15" s="159"/>
      <c r="I15" s="160"/>
      <c r="J15" s="158" t="str">
        <f>TEXT($G$1, "[$-ko-KR]yyyy-mm-dd(ddd) ") &amp; "오후 21:00"</f>
        <v>2022-12-20(화) 오후 21:00</v>
      </c>
      <c r="K15" s="159"/>
      <c r="L15" s="160"/>
      <c r="M15" s="158" t="str">
        <f>TEXT($G$1+1, "[$-ko-KR]yyyy-mm-dd(ddd) ") &amp; "오전 00:00"</f>
        <v>2022-12-21(수)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2022-12-20(화) 오전 00:00</v>
      </c>
      <c r="C42" s="199"/>
      <c r="D42" s="158" t="str">
        <f>TEXT($G$1, "[$-ko-KR]yyyy-mm-dd(ddd) ") &amp; "오후 14:00"</f>
        <v>2022-12-20(화) 오후 14:00</v>
      </c>
      <c r="E42" s="159"/>
      <c r="F42" s="160"/>
      <c r="G42" s="158" t="str">
        <f>TEXT($G$1, "[$-ko-KR]yyyy-mm-dd(ddd) ") &amp; "오후 19:00"</f>
        <v>2022-12-20(화) 오후 19:00</v>
      </c>
      <c r="H42" s="159"/>
      <c r="I42" s="160"/>
      <c r="J42" s="158" t="str">
        <f>TEXT($G$1, "[$-ko-KR]yyyy-mm-dd(ddd) ") &amp; "오후 21:00"</f>
        <v>2022-12-20(화) 오후 21:00</v>
      </c>
      <c r="K42" s="159"/>
      <c r="L42" s="160"/>
      <c r="M42" s="158" t="str">
        <f>TEXT($G$1+1, "[$-ko-KR]yyyy-mm-dd(ddd) ") &amp; "오전 00:00"</f>
        <v>2022-12-21(수)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228</v>
      </c>
      <c r="B44" s="108">
        <v>59.1</v>
      </c>
      <c r="C44" s="69">
        <v>2.60416667E-2</v>
      </c>
      <c r="D44" s="13">
        <v>56.7</v>
      </c>
      <c r="E44" s="14">
        <f>IF(ISNUMBER(D44), (D44 - $B44) / $B44, "")</f>
        <v>-4.0609137055837539E-2</v>
      </c>
      <c r="F44" s="16">
        <f>IF(ISNUMBER(D44), $B64 * E44, "")</f>
        <v>-6091.3705583756309</v>
      </c>
      <c r="G44" s="29">
        <v>56.7</v>
      </c>
      <c r="H44" s="14">
        <f>IF(ISNUMBER(G44), (G44 - $B44) / $B44, "")</f>
        <v>-4.0609137055837539E-2</v>
      </c>
      <c r="I44" s="90">
        <f>IF(ISNUMBER(G44), $B64 * H44, "")</f>
        <v>-6091.3705583756309</v>
      </c>
      <c r="J44" s="13">
        <v>57.1</v>
      </c>
      <c r="K44" s="14">
        <f>IF(ISNUMBER(J44), (J44 - $B44) / $B44, "")</f>
        <v>-3.3840947546531303E-2</v>
      </c>
      <c r="L44" s="16">
        <f>IF(ISNUMBER(J44), $B64 * K44, "")</f>
        <v>-5076.1421319796955</v>
      </c>
      <c r="M44" s="29">
        <v>55.9</v>
      </c>
      <c r="N44" s="14">
        <f>IF(ISNUMBER(M44), (M44 - $B44) / $B44, "")</f>
        <v>-5.4145516074450131E-2</v>
      </c>
      <c r="O44" s="16">
        <f>IF(ISNUMBER(M44), $B64 * N44, "")</f>
        <v>-8121.82741116752</v>
      </c>
      <c r="Q44" s="156"/>
      <c r="R44" s="156"/>
      <c r="S44" s="156"/>
    </row>
    <row r="45" spans="1:19" ht="17.25" customHeight="1" thickBot="1">
      <c r="A45" s="109" t="s">
        <v>97</v>
      </c>
      <c r="B45" s="110">
        <v>8.0000000000000004E-4</v>
      </c>
      <c r="C45" s="70">
        <v>0</v>
      </c>
      <c r="D45" s="15">
        <v>8.0000000000000004E-4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8.0000000000000004E-4</v>
      </c>
      <c r="H45" s="32">
        <f t="shared" ref="H45:H48" si="15">IF(ISNUMBER(G45), (G45 - $B45) / $B45, "")</f>
        <v>0</v>
      </c>
      <c r="I45" s="91">
        <f>IF(ISNUMBER(G45), $B64 * H45, "")</f>
        <v>0</v>
      </c>
      <c r="J45" s="15">
        <v>8.0000000000000004E-4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8.0000000000000004E-4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56"/>
      <c r="R45" s="156"/>
      <c r="S45" s="156"/>
    </row>
    <row r="46" spans="1:19" ht="17.25" customHeight="1" thickBot="1">
      <c r="A46" s="109" t="s">
        <v>145</v>
      </c>
      <c r="B46" s="110">
        <v>71.2</v>
      </c>
      <c r="C46" s="70">
        <v>-1.4025245E-3</v>
      </c>
      <c r="D46" s="15">
        <v>71</v>
      </c>
      <c r="E46" s="32">
        <f t="shared" si="14"/>
        <v>-2.8089887640449836E-3</v>
      </c>
      <c r="F46" s="18">
        <f>IF(ISNUMBER(D46), $B64 * E46, "")</f>
        <v>-421.34831460674752</v>
      </c>
      <c r="G46" s="31">
        <v>71</v>
      </c>
      <c r="H46" s="32">
        <f t="shared" si="15"/>
        <v>-2.8089887640449836E-3</v>
      </c>
      <c r="I46" s="91">
        <f>IF(ISNUMBER(G46), $B64 * H46, "")</f>
        <v>-421.34831460674752</v>
      </c>
      <c r="J46" s="15">
        <v>71</v>
      </c>
      <c r="K46" s="32">
        <f t="shared" si="16"/>
        <v>-2.8089887640449836E-3</v>
      </c>
      <c r="L46" s="18">
        <f>IF(ISNUMBER(J46), $B64 * K46, "")</f>
        <v>-421.34831460674752</v>
      </c>
      <c r="M46" s="31">
        <v>70.900000000000006</v>
      </c>
      <c r="N46" s="32">
        <f t="shared" si="17"/>
        <v>-4.2134831460673757E-3</v>
      </c>
      <c r="O46" s="18">
        <f>IF(ISNUMBER(M46), $B64 * N46, "")</f>
        <v>-632.02247191010633</v>
      </c>
      <c r="Q46" s="161"/>
      <c r="R46" s="161"/>
      <c r="S46" s="161"/>
    </row>
    <row r="47" spans="1:19" ht="17.25" customHeight="1" thickBot="1">
      <c r="A47" s="109" t="s">
        <v>195</v>
      </c>
      <c r="B47" s="110">
        <v>5.93</v>
      </c>
      <c r="C47" s="70">
        <v>-1.0016694499999999E-2</v>
      </c>
      <c r="D47" s="15">
        <v>5.93</v>
      </c>
      <c r="E47" s="32">
        <f t="shared" si="14"/>
        <v>0</v>
      </c>
      <c r="F47" s="18">
        <f>IF(ISNUMBER(D47), $B64 * E47, "")</f>
        <v>0</v>
      </c>
      <c r="G47" s="31">
        <v>5.93</v>
      </c>
      <c r="H47" s="32">
        <f t="shared" si="15"/>
        <v>0</v>
      </c>
      <c r="I47" s="91">
        <f>IF(ISNUMBER(G47), $B64 * H47, "")</f>
        <v>0</v>
      </c>
      <c r="J47" s="15">
        <v>5.94</v>
      </c>
      <c r="K47" s="32">
        <f t="shared" si="16"/>
        <v>1.6863406408095575E-3</v>
      </c>
      <c r="L47" s="18">
        <f>IF(ISNUMBER(J47), $B64 * K47, "")</f>
        <v>252.95109612143361</v>
      </c>
      <c r="M47" s="31">
        <v>5.95</v>
      </c>
      <c r="N47" s="32">
        <f t="shared" si="17"/>
        <v>3.3726812816189649E-3</v>
      </c>
      <c r="O47" s="18">
        <f>IF(ISNUMBER(M47), $B64 * N47, "")</f>
        <v>505.90219224284476</v>
      </c>
      <c r="Q47" s="161"/>
      <c r="R47" s="161"/>
      <c r="S47" s="161"/>
    </row>
    <row r="48" spans="1:19" ht="17.25" customHeight="1" thickBot="1">
      <c r="A48" s="111" t="s">
        <v>336</v>
      </c>
      <c r="B48" s="112">
        <v>74.7</v>
      </c>
      <c r="C48" s="71">
        <v>-1.19047619E-2</v>
      </c>
      <c r="D48" s="20">
        <v>73.7</v>
      </c>
      <c r="E48" s="21">
        <f t="shared" si="14"/>
        <v>-1.3386880856760375E-2</v>
      </c>
      <c r="F48" s="22">
        <f>IF(ISNUMBER(D48), $B64 * E48, "")</f>
        <v>-2008.0321285140562</v>
      </c>
      <c r="G48" s="30">
        <v>73.7</v>
      </c>
      <c r="H48" s="21">
        <f t="shared" si="15"/>
        <v>-1.3386880856760375E-2</v>
      </c>
      <c r="I48" s="95">
        <f>IF(ISNUMBER(G48), $B64 * H48, "")</f>
        <v>-2008.0321285140562</v>
      </c>
      <c r="J48" s="20">
        <v>73.599999999999994</v>
      </c>
      <c r="K48" s="21">
        <f t="shared" si="16"/>
        <v>-1.4725568942436526E-2</v>
      </c>
      <c r="L48" s="22">
        <f>IF(ISNUMBER(J48), $B64 * K48, "")</f>
        <v>-2208.8353413654791</v>
      </c>
      <c r="M48" s="30">
        <v>73.2</v>
      </c>
      <c r="N48" s="21">
        <f t="shared" si="17"/>
        <v>-2.0080321285140562E-2</v>
      </c>
      <c r="O48" s="22">
        <f>IF(ISNUMBER(M48), $B64 * N48, "")</f>
        <v>-3012.0481927710844</v>
      </c>
      <c r="Q48" s="161"/>
      <c r="R48" s="161"/>
      <c r="S48" s="161"/>
    </row>
    <row r="49" spans="1:19" ht="17.25" customHeight="1" thickBot="1">
      <c r="A49" s="109" t="s">
        <v>126</v>
      </c>
      <c r="B49" s="113">
        <v>24.4</v>
      </c>
      <c r="C49" s="73">
        <v>-1.2145749000000001E-2</v>
      </c>
      <c r="D49" s="96">
        <v>23.6</v>
      </c>
      <c r="E49" s="97">
        <f>IF(ISNUMBER(D49), (D49 - $B49) / $B49, "")</f>
        <v>-3.2786885245901523E-2</v>
      </c>
      <c r="F49" s="98">
        <f>IF(ISNUMBER(D49), $B64 * E49, "")</f>
        <v>-4918.0327868852282</v>
      </c>
      <c r="G49" s="99">
        <v>23.6</v>
      </c>
      <c r="H49" s="97">
        <f>IF(ISNUMBER(G49), (G49 - $B49) / $B49, "")</f>
        <v>-3.2786885245901523E-2</v>
      </c>
      <c r="I49" s="100">
        <f>IF(ISNUMBER(G49), $B64 * H49, "")</f>
        <v>-4918.0327868852282</v>
      </c>
      <c r="J49" s="96">
        <v>23.6</v>
      </c>
      <c r="K49" s="97">
        <f>IF(ISNUMBER(J49), (J49 - $B49) / $B49, "")</f>
        <v>-3.2786885245901523E-2</v>
      </c>
      <c r="L49" s="98">
        <f>IF(ISNUMBER(J49), $B64 * K49, "")</f>
        <v>-4918.0327868852282</v>
      </c>
      <c r="M49" s="99">
        <v>23.4</v>
      </c>
      <c r="N49" s="97">
        <f>IF(ISNUMBER(M49), (M49 - $B49) / $B49, "")</f>
        <v>-4.0983606557377053E-2</v>
      </c>
      <c r="O49" s="98">
        <f>IF(ISNUMBER(M49), $B64 * N49, "")</f>
        <v>-6147.5409836065583</v>
      </c>
      <c r="Q49" s="161"/>
      <c r="R49" s="161"/>
      <c r="S49" s="161"/>
    </row>
    <row r="50" spans="1:19" ht="17.25" customHeight="1" thickBot="1">
      <c r="A50" s="109" t="s">
        <v>122</v>
      </c>
      <c r="B50" s="110">
        <v>21.8</v>
      </c>
      <c r="C50" s="70">
        <v>-1.35746606E-2</v>
      </c>
      <c r="D50" s="15">
        <v>21.5</v>
      </c>
      <c r="E50" s="32">
        <f t="shared" ref="E50:E53" si="18">IF(ISNUMBER(D50), (D50 - $B50) / $B50, "")</f>
        <v>-1.3761467889908289E-2</v>
      </c>
      <c r="F50" s="18">
        <f>IF(ISNUMBER(D50), $B64 * E50, "")</f>
        <v>-2064.2201834862435</v>
      </c>
      <c r="G50" s="31">
        <v>21.5</v>
      </c>
      <c r="H50" s="32">
        <f t="shared" ref="H50:H53" si="19">IF(ISNUMBER(G50), (G50 - $B50) / $B50, "")</f>
        <v>-1.3761467889908289E-2</v>
      </c>
      <c r="I50" s="91">
        <f>IF(ISNUMBER(G50), $B64 * H50, "")</f>
        <v>-2064.2201834862435</v>
      </c>
      <c r="J50" s="15">
        <v>21.3</v>
      </c>
      <c r="K50" s="32">
        <f t="shared" ref="K50:K53" si="20">IF(ISNUMBER(J50), (J50 - $B50) / $B50, "")</f>
        <v>-2.2935779816513759E-2</v>
      </c>
      <c r="L50" s="18">
        <f>IF(ISNUMBER(J50), $B64 * K50, "")</f>
        <v>-3440.3669724770639</v>
      </c>
      <c r="M50" s="31">
        <v>21.3</v>
      </c>
      <c r="N50" s="32">
        <f t="shared" ref="N50:N53" si="21">IF(ISNUMBER(M50), (M50 - $B50) / $B50, "")</f>
        <v>-2.2935779816513759E-2</v>
      </c>
      <c r="O50" s="18">
        <f>IF(ISNUMBER(M50), $B64 * N50, "")</f>
        <v>-3440.3669724770639</v>
      </c>
      <c r="Q50" s="161"/>
      <c r="R50" s="161"/>
      <c r="S50" s="161"/>
    </row>
    <row r="51" spans="1:19" ht="17.25" customHeight="1" thickBot="1">
      <c r="A51" s="109" t="s">
        <v>333</v>
      </c>
      <c r="B51" s="110">
        <v>57.2</v>
      </c>
      <c r="C51" s="70">
        <v>-1.54905336E-2</v>
      </c>
      <c r="D51" s="15">
        <v>55.3</v>
      </c>
      <c r="E51" s="32">
        <f t="shared" si="18"/>
        <v>-3.3216783216783313E-2</v>
      </c>
      <c r="F51" s="18">
        <f>IF(ISNUMBER(D51), $B64 * E51, "")</f>
        <v>-4982.5174825174972</v>
      </c>
      <c r="G51" s="31">
        <v>55.3</v>
      </c>
      <c r="H51" s="32">
        <f t="shared" si="19"/>
        <v>-3.3216783216783313E-2</v>
      </c>
      <c r="I51" s="91">
        <f>IF(ISNUMBER(G51), $B64 * H51, "")</f>
        <v>-4982.5174825174972</v>
      </c>
      <c r="J51" s="15">
        <v>55.3</v>
      </c>
      <c r="K51" s="32">
        <f t="shared" si="20"/>
        <v>-3.3216783216783313E-2</v>
      </c>
      <c r="L51" s="18">
        <f>IF(ISNUMBER(J51), $B64 * K51, "")</f>
        <v>-4982.5174825174972</v>
      </c>
      <c r="M51" s="31">
        <v>55.2</v>
      </c>
      <c r="N51" s="32">
        <f t="shared" si="21"/>
        <v>-3.4965034965034961E-2</v>
      </c>
      <c r="O51" s="18">
        <f>IF(ISNUMBER(M51), $B64 * N51, "")</f>
        <v>-5244.7552447552443</v>
      </c>
      <c r="Q51" s="161"/>
      <c r="R51" s="161"/>
      <c r="S51" s="161"/>
    </row>
    <row r="52" spans="1:19" ht="17.25" customHeight="1" thickBot="1">
      <c r="A52" s="109" t="s">
        <v>64</v>
      </c>
      <c r="B52" s="110">
        <v>9.49</v>
      </c>
      <c r="C52" s="70">
        <v>-1.6580310899999999E-2</v>
      </c>
      <c r="D52" s="15">
        <v>9.27</v>
      </c>
      <c r="E52" s="32">
        <f t="shared" si="18"/>
        <v>-2.3182297154899962E-2</v>
      </c>
      <c r="F52" s="18">
        <f>IF(ISNUMBER(D52), $B64 * E52, "")</f>
        <v>-3477.3445732349942</v>
      </c>
      <c r="G52" s="31">
        <v>9.27</v>
      </c>
      <c r="H52" s="32">
        <f t="shared" si="19"/>
        <v>-2.3182297154899962E-2</v>
      </c>
      <c r="I52" s="91">
        <f>IF(ISNUMBER(G52), $B64 * H52, "")</f>
        <v>-3477.3445732349942</v>
      </c>
      <c r="J52" s="15">
        <v>9.26</v>
      </c>
      <c r="K52" s="32">
        <f t="shared" si="20"/>
        <v>-2.4236037934668116E-2</v>
      </c>
      <c r="L52" s="18">
        <f>IF(ISNUMBER(J52), $B64 * K52, "")</f>
        <v>-3635.4056902002176</v>
      </c>
      <c r="M52" s="31">
        <v>9.3000000000000007</v>
      </c>
      <c r="N52" s="32">
        <f t="shared" si="21"/>
        <v>-2.002107481559531E-2</v>
      </c>
      <c r="O52" s="18">
        <f>IF(ISNUMBER(M52), $B64 * N52, "")</f>
        <v>-3003.1612223392963</v>
      </c>
      <c r="Q52" s="33"/>
      <c r="R52" s="33"/>
    </row>
    <row r="53" spans="1:19" ht="17.25" customHeight="1" thickBot="1">
      <c r="A53" s="114" t="s">
        <v>138</v>
      </c>
      <c r="B53" s="115">
        <v>23.7</v>
      </c>
      <c r="C53" s="72">
        <v>-1.6597510400000001E-2</v>
      </c>
      <c r="D53" s="24">
        <v>23</v>
      </c>
      <c r="E53" s="25">
        <f t="shared" si="18"/>
        <v>-2.9535864978902926E-2</v>
      </c>
      <c r="F53" s="94">
        <f>IF(ISNUMBER(D53), $B64 * E53, "")</f>
        <v>-4430.3797468354387</v>
      </c>
      <c r="G53" s="92">
        <v>23</v>
      </c>
      <c r="H53" s="25">
        <f t="shared" si="19"/>
        <v>-2.9535864978902926E-2</v>
      </c>
      <c r="I53" s="93">
        <f>IF(ISNUMBER(G53), $B64 * H53, "")</f>
        <v>-4430.3797468354387</v>
      </c>
      <c r="J53" s="24">
        <v>23</v>
      </c>
      <c r="K53" s="25">
        <f t="shared" si="20"/>
        <v>-2.9535864978902926E-2</v>
      </c>
      <c r="L53" s="94">
        <f>IF(ISNUMBER(J53), $B64 * K53, "")</f>
        <v>-4430.3797468354387</v>
      </c>
      <c r="M53" s="92">
        <v>23.1</v>
      </c>
      <c r="N53" s="25">
        <f t="shared" si="21"/>
        <v>-2.5316455696202441E-2</v>
      </c>
      <c r="O53" s="94">
        <f>IF(ISNUMBER(M53), $B64 * N53, "")</f>
        <v>-3797.4683544303662</v>
      </c>
      <c r="Q53" s="170"/>
      <c r="R53" s="171"/>
      <c r="S53" s="172"/>
    </row>
    <row r="54" spans="1:19" ht="17.25" customHeight="1">
      <c r="A54" s="107" t="s">
        <v>338</v>
      </c>
      <c r="B54" s="108">
        <v>4.41</v>
      </c>
      <c r="C54" s="69">
        <v>-1.78173719E-2</v>
      </c>
      <c r="D54" s="13">
        <v>4.43</v>
      </c>
      <c r="E54" s="14">
        <f>IF(ISNUMBER(D54), (D54 - $B54) / $B54, "")</f>
        <v>4.5351473922901524E-3</v>
      </c>
      <c r="F54" s="16">
        <f>IF(ISNUMBER(D54), $B64 * E54, "")</f>
        <v>680.27210884352291</v>
      </c>
      <c r="G54" s="29">
        <v>4.43</v>
      </c>
      <c r="H54" s="14">
        <f>IF(ISNUMBER(G54), (G54 - $B54) / $B54, "")</f>
        <v>4.5351473922901524E-3</v>
      </c>
      <c r="I54" s="90">
        <f>IF(ISNUMBER(G54), $B64 * H54, "")</f>
        <v>680.27210884352291</v>
      </c>
      <c r="J54" s="13">
        <v>4.47</v>
      </c>
      <c r="K54" s="14">
        <f>IF(ISNUMBER(J54), (J54 - $B54) / $B54, "")</f>
        <v>1.3605442176870659E-2</v>
      </c>
      <c r="L54" s="16">
        <f>IF(ISNUMBER(J54), $B64 * K54, "")</f>
        <v>2040.8163265305989</v>
      </c>
      <c r="M54" s="29">
        <v>4.41</v>
      </c>
      <c r="N54" s="14">
        <f>IF(ISNUMBER(M54), (M54 - $B54) / $B54, "")</f>
        <v>0</v>
      </c>
      <c r="O54" s="16">
        <f>IF(ISNUMBER(M54), $B64 * N54, "")</f>
        <v>0</v>
      </c>
      <c r="Q54" s="173"/>
      <c r="R54" s="174"/>
      <c r="S54" s="175"/>
    </row>
    <row r="55" spans="1:19" ht="17.25" customHeight="1" thickBot="1">
      <c r="A55" s="109" t="s">
        <v>210</v>
      </c>
      <c r="B55" s="110">
        <v>63</v>
      </c>
      <c r="C55" s="70">
        <v>-1.8691588799999999E-2</v>
      </c>
      <c r="D55" s="15">
        <v>63.5</v>
      </c>
      <c r="E55" s="32">
        <f t="shared" ref="E55:E58" si="22">IF(ISNUMBER(D55), (D55 - $B55) / $B55, "")</f>
        <v>7.9365079365079361E-3</v>
      </c>
      <c r="F55" s="18">
        <f>IF(ISNUMBER(D55), $B64 * E55, "")</f>
        <v>1190.4761904761904</v>
      </c>
      <c r="G55" s="31">
        <v>63.5</v>
      </c>
      <c r="H55" s="32">
        <f t="shared" ref="H55:H58" si="23">IF(ISNUMBER(G55), (G55 - $B55) / $B55, "")</f>
        <v>7.9365079365079361E-3</v>
      </c>
      <c r="I55" s="91">
        <f>IF(ISNUMBER(G55), $B64 * H55, "")</f>
        <v>1190.4761904761904</v>
      </c>
      <c r="J55" s="15">
        <v>63.4</v>
      </c>
      <c r="K55" s="32">
        <f t="shared" ref="K55:K58" si="24">IF(ISNUMBER(J55), (J55 - $B55) / $B55, "")</f>
        <v>6.3492063492063266E-3</v>
      </c>
      <c r="L55" s="18">
        <f>IF(ISNUMBER(J55), $B64 * K55, "")</f>
        <v>952.380952380949</v>
      </c>
      <c r="M55" s="31">
        <v>63.5</v>
      </c>
      <c r="N55" s="32">
        <f t="shared" ref="N55:N58" si="25">IF(ISNUMBER(M55), (M55 - $B55) / $B55, "")</f>
        <v>7.9365079365079361E-3</v>
      </c>
      <c r="O55" s="18">
        <f>IF(ISNUMBER(M55), $B64 * N55, "")</f>
        <v>1190.4761904761904</v>
      </c>
      <c r="Q55" s="176"/>
      <c r="R55" s="177"/>
      <c r="S55" s="178"/>
    </row>
    <row r="56" spans="1:19" ht="17.25" customHeight="1" thickBot="1">
      <c r="A56" s="109" t="s">
        <v>244</v>
      </c>
      <c r="B56" s="110">
        <v>88.8</v>
      </c>
      <c r="C56" s="70">
        <v>-1.8784530399999999E-2</v>
      </c>
      <c r="D56" s="15">
        <v>87.2</v>
      </c>
      <c r="E56" s="32">
        <f t="shared" si="22"/>
        <v>-1.8018018018017955E-2</v>
      </c>
      <c r="F56" s="18">
        <f>IF(ISNUMBER(D56), $B64 * E56, "")</f>
        <v>-2702.7027027026934</v>
      </c>
      <c r="G56" s="31">
        <v>87.2</v>
      </c>
      <c r="H56" s="32">
        <f t="shared" si="23"/>
        <v>-1.8018018018017955E-2</v>
      </c>
      <c r="I56" s="91">
        <f>IF(ISNUMBER(G56), $B64 * H56, "")</f>
        <v>-2702.7027027026934</v>
      </c>
      <c r="J56" s="15">
        <v>87.6</v>
      </c>
      <c r="K56" s="32">
        <f t="shared" si="24"/>
        <v>-1.3513513513513545E-2</v>
      </c>
      <c r="L56" s="18">
        <f>IF(ISNUMBER(J56), $B64 * K56, "")</f>
        <v>-2027.0270270270319</v>
      </c>
      <c r="M56" s="31">
        <v>87.1</v>
      </c>
      <c r="N56" s="32">
        <f t="shared" si="25"/>
        <v>-1.9144144144144178E-2</v>
      </c>
      <c r="O56" s="18">
        <f>IF(ISNUMBER(M56), $B64 * N56, "")</f>
        <v>-2871.6216216216267</v>
      </c>
      <c r="Q56" s="161"/>
      <c r="R56" s="161"/>
      <c r="S56" s="161"/>
    </row>
    <row r="57" spans="1:19" ht="17.25" customHeight="1" thickBot="1">
      <c r="A57" s="109" t="s">
        <v>181</v>
      </c>
      <c r="B57" s="110">
        <v>4.1399999999999997</v>
      </c>
      <c r="C57" s="70">
        <v>-1.8957346E-2</v>
      </c>
      <c r="D57" s="15">
        <v>4.16</v>
      </c>
      <c r="E57" s="32">
        <f t="shared" si="22"/>
        <v>4.8309178743962469E-3</v>
      </c>
      <c r="F57" s="18">
        <f>IF(ISNUMBER(D57), $B64 * E57, "")</f>
        <v>724.63768115943708</v>
      </c>
      <c r="G57" s="31">
        <v>4.16</v>
      </c>
      <c r="H57" s="32">
        <f t="shared" si="23"/>
        <v>4.8309178743962469E-3</v>
      </c>
      <c r="I57" s="91">
        <f>IF(ISNUMBER(G57), $B64 * H57, "")</f>
        <v>724.63768115943708</v>
      </c>
      <c r="J57" s="15">
        <v>4.1900000000000004</v>
      </c>
      <c r="K57" s="32">
        <f t="shared" si="24"/>
        <v>1.2077294685990511E-2</v>
      </c>
      <c r="L57" s="18">
        <f>IF(ISNUMBER(J57), $B64 * K57, "")</f>
        <v>1811.5942028985767</v>
      </c>
      <c r="M57" s="31">
        <v>4.1399999999999997</v>
      </c>
      <c r="N57" s="32">
        <f t="shared" si="25"/>
        <v>0</v>
      </c>
      <c r="O57" s="18">
        <f>IF(ISNUMBER(M57), $B64 * N57, "")</f>
        <v>0</v>
      </c>
      <c r="Q57" s="156"/>
      <c r="R57" s="156"/>
      <c r="S57" s="156"/>
    </row>
    <row r="58" spans="1:19" ht="17.25" customHeight="1" thickBot="1">
      <c r="A58" s="111" t="s">
        <v>71</v>
      </c>
      <c r="B58" s="112">
        <v>10.199999999999999</v>
      </c>
      <c r="C58" s="71">
        <v>-1.9230769200000001E-2</v>
      </c>
      <c r="D58" s="20">
        <v>10.3</v>
      </c>
      <c r="E58" s="21">
        <f t="shared" si="22"/>
        <v>9.8039215686275914E-3</v>
      </c>
      <c r="F58" s="22">
        <f>IF(ISNUMBER(D58), $B64 * E58, "")</f>
        <v>1470.5882352941387</v>
      </c>
      <c r="G58" s="30">
        <v>10.3</v>
      </c>
      <c r="H58" s="21">
        <f t="shared" si="23"/>
        <v>9.8039215686275914E-3</v>
      </c>
      <c r="I58" s="95">
        <f>IF(ISNUMBER(G58), $B64 * H58, "")</f>
        <v>1470.5882352941387</v>
      </c>
      <c r="J58" s="20">
        <v>10.199999999999999</v>
      </c>
      <c r="K58" s="21">
        <f t="shared" si="24"/>
        <v>0</v>
      </c>
      <c r="L58" s="22">
        <f>IF(ISNUMBER(J58), $B64 * K58, "")</f>
        <v>0</v>
      </c>
      <c r="M58" s="30">
        <v>10.3</v>
      </c>
      <c r="N58" s="21">
        <f t="shared" si="25"/>
        <v>9.8039215686275914E-3</v>
      </c>
      <c r="O58" s="22">
        <f>IF(ISNUMBER(M58), $B64 * N58, "")</f>
        <v>1470.5882352941387</v>
      </c>
      <c r="Q58" s="156"/>
      <c r="R58" s="156"/>
      <c r="S58" s="156"/>
    </row>
    <row r="59" spans="1:19" ht="17.25" customHeight="1" thickBot="1">
      <c r="A59" s="109" t="s">
        <v>56</v>
      </c>
      <c r="B59" s="113">
        <v>39.700000000000003</v>
      </c>
      <c r="C59" s="73">
        <v>-1.9753086400000001E-2</v>
      </c>
      <c r="D59" s="96">
        <v>39.799999999999997</v>
      </c>
      <c r="E59" s="97">
        <f>IF(ISNUMBER(D59), (D59 - $B59) / $B59, "")</f>
        <v>2.5188916876572875E-3</v>
      </c>
      <c r="F59" s="98">
        <f>IF(ISNUMBER(D59), $B64 * E59, "")</f>
        <v>377.83375314859313</v>
      </c>
      <c r="G59" s="99">
        <v>39.799999999999997</v>
      </c>
      <c r="H59" s="97">
        <f>IF(ISNUMBER(G59), (G59 - $B59) / $B59, "")</f>
        <v>2.5188916876572875E-3</v>
      </c>
      <c r="I59" s="100">
        <f>IF(ISNUMBER(G59), $B64 * H59, "")</f>
        <v>377.83375314859313</v>
      </c>
      <c r="J59" s="96">
        <v>39.5</v>
      </c>
      <c r="K59" s="97">
        <f>IF(ISNUMBER(J59), (J59 - $B59) / $B59, "")</f>
        <v>-5.0377833753149324E-3</v>
      </c>
      <c r="L59" s="98">
        <f>IF(ISNUMBER(J59), $B64 * K59, "")</f>
        <v>-755.66750629723981</v>
      </c>
      <c r="M59" s="99">
        <v>39.200000000000003</v>
      </c>
      <c r="N59" s="97">
        <f>IF(ISNUMBER(M59), (M59 - $B59) / $B59, "")</f>
        <v>-1.2594458438287152E-2</v>
      </c>
      <c r="O59" s="98">
        <f>IF(ISNUMBER(M59), $B64 * N59, "")</f>
        <v>-1889.1687657430728</v>
      </c>
      <c r="Q59" s="161"/>
      <c r="R59" s="161"/>
      <c r="S59" s="161"/>
    </row>
    <row r="60" spans="1:19" ht="17.25" customHeight="1" thickBot="1">
      <c r="A60" s="109" t="s">
        <v>200</v>
      </c>
      <c r="B60" s="110">
        <v>6.11</v>
      </c>
      <c r="C60" s="70">
        <v>-2.08333333E-2</v>
      </c>
      <c r="D60" s="15">
        <v>6.12</v>
      </c>
      <c r="E60" s="32">
        <f t="shared" ref="E60:E63" si="26">IF(ISNUMBER(D60), (D60 - $B60) / $B60, "")</f>
        <v>1.6366612111292612E-3</v>
      </c>
      <c r="F60" s="18">
        <f>IF(ISNUMBER(D60), $B64 * E60, "")</f>
        <v>245.49918166938917</v>
      </c>
      <c r="G60" s="31">
        <v>6.12</v>
      </c>
      <c r="H60" s="32">
        <f t="shared" ref="H60:H63" si="27">IF(ISNUMBER(G60), (G60 - $B60) / $B60, "")</f>
        <v>1.6366612111292612E-3</v>
      </c>
      <c r="I60" s="91">
        <f>IF(ISNUMBER(G60), $B64 * H60, "")</f>
        <v>245.49918166938917</v>
      </c>
      <c r="J60" s="15">
        <v>6.11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6.09</v>
      </c>
      <c r="N60" s="32">
        <f t="shared" ref="N60:N63" si="29">IF(ISNUMBER(M60), (M60 - $B60) / $B60, "")</f>
        <v>-3.2733224222586681E-3</v>
      </c>
      <c r="O60" s="18">
        <f>IF(ISNUMBER(M60), $B64 * N60, "")</f>
        <v>-490.99836333880023</v>
      </c>
      <c r="Q60" s="161"/>
      <c r="R60" s="161"/>
      <c r="S60" s="161"/>
    </row>
    <row r="61" spans="1:19" ht="17.25" customHeight="1" thickBot="1">
      <c r="A61" s="109" t="s">
        <v>240</v>
      </c>
      <c r="B61" s="110">
        <v>26.4</v>
      </c>
      <c r="C61" s="70">
        <v>-2.2222222199999999E-2</v>
      </c>
      <c r="D61" s="15">
        <v>26.5</v>
      </c>
      <c r="E61" s="32">
        <f t="shared" si="26"/>
        <v>3.7878787878788418E-3</v>
      </c>
      <c r="F61" s="18">
        <f>IF(ISNUMBER(D61), $B64 * E61, "")</f>
        <v>568.18181818182632</v>
      </c>
      <c r="G61" s="31">
        <v>26.5</v>
      </c>
      <c r="H61" s="32">
        <f t="shared" si="27"/>
        <v>3.7878787878788418E-3</v>
      </c>
      <c r="I61" s="91">
        <f>IF(ISNUMBER(G61), $B64 * H61, "")</f>
        <v>568.18181818182632</v>
      </c>
      <c r="J61" s="15">
        <v>26.6</v>
      </c>
      <c r="K61" s="32">
        <f t="shared" si="28"/>
        <v>7.5757575757576835E-3</v>
      </c>
      <c r="L61" s="18">
        <f>IF(ISNUMBER(J61), $B64 * K61, "")</f>
        <v>1136.3636363636526</v>
      </c>
      <c r="M61" s="31">
        <v>26.4</v>
      </c>
      <c r="N61" s="32">
        <f t="shared" si="29"/>
        <v>0</v>
      </c>
      <c r="O61" s="18">
        <f>IF(ISNUMBER(M61), $B64 * N61, "")</f>
        <v>0</v>
      </c>
      <c r="Q61" s="161"/>
      <c r="R61" s="161"/>
      <c r="S61" s="161"/>
    </row>
    <row r="62" spans="1:19" ht="17.25" customHeight="1">
      <c r="A62" s="109" t="s">
        <v>124</v>
      </c>
      <c r="B62" s="110">
        <v>28.9</v>
      </c>
      <c r="C62" s="70">
        <v>-2.3648648599999999E-2</v>
      </c>
      <c r="D62" s="15">
        <v>29.3</v>
      </c>
      <c r="E62" s="32">
        <f t="shared" si="26"/>
        <v>1.3840830449827065E-2</v>
      </c>
      <c r="F62" s="18">
        <f>IF(ISNUMBER(D62), $B64 * E62, "")</f>
        <v>2076.1245674740599</v>
      </c>
      <c r="G62" s="31">
        <v>29.3</v>
      </c>
      <c r="H62" s="32">
        <f t="shared" si="27"/>
        <v>1.3840830449827065E-2</v>
      </c>
      <c r="I62" s="91">
        <f>IF(ISNUMBER(G62), $B64 * H62, "")</f>
        <v>2076.1245674740599</v>
      </c>
      <c r="J62" s="15">
        <v>29.4</v>
      </c>
      <c r="K62" s="32">
        <f t="shared" si="28"/>
        <v>1.7301038062283738E-2</v>
      </c>
      <c r="L62" s="18">
        <f>IF(ISNUMBER(J62), $B64 * K62, "")</f>
        <v>2595.1557093425608</v>
      </c>
      <c r="M62" s="31">
        <v>29.2</v>
      </c>
      <c r="N62" s="32">
        <f t="shared" si="29"/>
        <v>1.0380622837370268E-2</v>
      </c>
      <c r="O62" s="18">
        <f>IF(ISNUMBER(M62), $B64 * N62, "")</f>
        <v>1557.0934256055402</v>
      </c>
      <c r="Q62" s="183"/>
      <c r="R62" s="184"/>
      <c r="S62" s="185"/>
    </row>
    <row r="63" spans="1:19" ht="17.25" customHeight="1" thickBot="1">
      <c r="A63" s="114" t="s">
        <v>335</v>
      </c>
      <c r="B63" s="115">
        <v>3.2199999999999999E-2</v>
      </c>
      <c r="C63" s="72">
        <v>-2.4242424200000001E-2</v>
      </c>
      <c r="D63" s="24">
        <v>3.15E-2</v>
      </c>
      <c r="E63" s="25">
        <f t="shared" si="26"/>
        <v>-2.1739130434782584E-2</v>
      </c>
      <c r="F63" s="94">
        <f>IF(ISNUMBER(D63), $B64 * E63, "")</f>
        <v>-3260.8695652173874</v>
      </c>
      <c r="G63" s="92">
        <v>3.15E-2</v>
      </c>
      <c r="H63" s="25">
        <f t="shared" si="27"/>
        <v>-2.1739130434782584E-2</v>
      </c>
      <c r="I63" s="93">
        <f>IF(ISNUMBER(G63), $B64 * H63, "")</f>
        <v>-3260.8695652173874</v>
      </c>
      <c r="J63" s="24">
        <v>3.1300000000000001E-2</v>
      </c>
      <c r="K63" s="25">
        <f t="shared" si="28"/>
        <v>-2.7950310559006149E-2</v>
      </c>
      <c r="L63" s="94">
        <f>IF(ISNUMBER(J63), $B64 * K63, "")</f>
        <v>-4192.5465838509226</v>
      </c>
      <c r="M63" s="92">
        <v>3.1300000000000001E-2</v>
      </c>
      <c r="N63" s="25">
        <f t="shared" si="29"/>
        <v>-2.7950310559006149E-2</v>
      </c>
      <c r="O63" s="94">
        <f>IF(ISNUMBER(M63), $B64 * N63, "")</f>
        <v>-4192.5465838509226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-9.0077348353762542E-3</v>
      </c>
      <c r="F64" s="28">
        <f>SUM(F44:F63)</f>
        <v>-27023.204506128757</v>
      </c>
      <c r="G64" s="26" t="s">
        <v>261</v>
      </c>
      <c r="H64" s="27">
        <f>IF(COUNT(H44:H63), SUM(H44:H63) / COUNT(H44:H63), 0)</f>
        <v>-9.0077348353762542E-3</v>
      </c>
      <c r="I64" s="28">
        <f>SUM(I44:I63)</f>
        <v>-27023.204506128757</v>
      </c>
      <c r="J64" s="26" t="s">
        <v>261</v>
      </c>
      <c r="K64" s="27">
        <f>IF(COUNT(K44:K63), SUM(K44:K63) / COUNT(K44:K63), 0)</f>
        <v>-9.0996692201349323E-3</v>
      </c>
      <c r="L64" s="28">
        <f>SUM(L44:L63)</f>
        <v>-27299.007660404779</v>
      </c>
      <c r="M64" s="26" t="s">
        <v>261</v>
      </c>
      <c r="N64" s="27">
        <f>IF(COUNT(N44:N63), SUM(N44:N63) / COUNT(N44:N63), 0)</f>
        <v>-1.270648871479765E-2</v>
      </c>
      <c r="O64" s="28">
        <f>SUM(O44:O63)</f>
        <v>-38119.466144392951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2022-12-20(화) 오전 00:00</v>
      </c>
      <c r="C69" s="199"/>
      <c r="D69" s="158" t="str">
        <f>TEXT($G$1, "[$-ko-KR]yyyy-mm-dd(ddd) ") &amp; "오후 14:00"</f>
        <v>2022-12-20(화) 오후 14:00</v>
      </c>
      <c r="E69" s="159"/>
      <c r="F69" s="160"/>
      <c r="G69" s="158" t="str">
        <f>TEXT($G$1, "[$-ko-KR]yyyy-mm-dd(ddd) ") &amp; "오후 19:00"</f>
        <v>2022-12-20(화) 오후 19:00</v>
      </c>
      <c r="H69" s="159"/>
      <c r="I69" s="160"/>
      <c r="J69" s="158" t="str">
        <f>TEXT($G$1, "[$-ko-KR]yyyy-mm-dd(ddd) ") &amp; "오후 21:00"</f>
        <v>2022-12-20(화) 오후 21:00</v>
      </c>
      <c r="K69" s="159"/>
      <c r="L69" s="160"/>
      <c r="M69" s="158" t="str">
        <f>TEXT($G$1+1, "[$-ko-KR]yyyy-mm-dd(ddd) ") &amp; "오전 00:00"</f>
        <v>2022-12-21(수)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346</v>
      </c>
      <c r="B71" s="108">
        <v>405</v>
      </c>
      <c r="C71" s="69">
        <v>2.0151133500000001E-2</v>
      </c>
      <c r="D71" s="13">
        <v>390</v>
      </c>
      <c r="E71" s="14">
        <f>IF(ISNUMBER(D71), (D71 - $B71) / $B71, "")</f>
        <v>-3.7037037037037035E-2</v>
      </c>
      <c r="F71" s="16">
        <f>IF(ISNUMBER(D71), $B91 * E71, "")</f>
        <v>-5555.5555555555557</v>
      </c>
      <c r="G71" s="29">
        <v>390</v>
      </c>
      <c r="H71" s="14">
        <f>IF(ISNUMBER(G71), (G71 - $B71) / $B71, "")</f>
        <v>-3.7037037037037035E-2</v>
      </c>
      <c r="I71" s="90">
        <f>IF(ISNUMBER(G71), $B91 * H71, "")</f>
        <v>-5555.5555555555557</v>
      </c>
      <c r="J71" s="13">
        <v>392</v>
      </c>
      <c r="K71" s="14">
        <f>IF(ISNUMBER(J71), (J71 - $B71) / $B71, "")</f>
        <v>-3.2098765432098768E-2</v>
      </c>
      <c r="L71" s="16">
        <f>IF(ISNUMBER(J71), $B91 * K71, "")</f>
        <v>-4814.8148148148148</v>
      </c>
      <c r="M71" s="29">
        <v>389</v>
      </c>
      <c r="N71" s="14">
        <f>IF(ISNUMBER(M71), (M71 - $B71) / $B71, "")</f>
        <v>-3.9506172839506172E-2</v>
      </c>
      <c r="O71" s="16">
        <f>IF(ISNUMBER(M71), $B91 * N71, "")</f>
        <v>-5925.9259259259261</v>
      </c>
      <c r="Q71" s="156"/>
      <c r="R71" s="156"/>
      <c r="S71" s="156"/>
    </row>
    <row r="72" spans="1:19" ht="17.25" thickBot="1">
      <c r="A72" s="109" t="s">
        <v>340</v>
      </c>
      <c r="B72" s="110">
        <v>525</v>
      </c>
      <c r="C72" s="70">
        <v>1.15606936E-2</v>
      </c>
      <c r="D72" s="15">
        <v>522</v>
      </c>
      <c r="E72" s="32">
        <f t="shared" ref="E72:E75" si="30">IF(ISNUMBER(D72), (D72 - $B72) / $B72, "")</f>
        <v>-5.7142857142857143E-3</v>
      </c>
      <c r="F72" s="18">
        <f>IF(ISNUMBER(D72), $B91 * E72, "")</f>
        <v>-857.14285714285711</v>
      </c>
      <c r="G72" s="31">
        <v>522</v>
      </c>
      <c r="H72" s="32">
        <f t="shared" ref="H72:H75" si="31">IF(ISNUMBER(G72), (G72 - $B72) / $B72, "")</f>
        <v>-5.7142857142857143E-3</v>
      </c>
      <c r="I72" s="91">
        <f>IF(ISNUMBER(G72), $B91 * H72, "")</f>
        <v>-857.14285714285711</v>
      </c>
      <c r="J72" s="15">
        <v>524</v>
      </c>
      <c r="K72" s="32">
        <f t="shared" ref="K72:K75" si="32">IF(ISNUMBER(J72), (J72 - $B72) / $B72, "")</f>
        <v>-1.9047619047619048E-3</v>
      </c>
      <c r="L72" s="18">
        <f>IF(ISNUMBER(J72), $B91 * K72, "")</f>
        <v>-285.71428571428572</v>
      </c>
      <c r="M72" s="31">
        <v>518</v>
      </c>
      <c r="N72" s="32">
        <f t="shared" ref="N72:N75" si="33">IF(ISNUMBER(M72), (M72 - $B72) / $B72, "")</f>
        <v>-1.3333333333333334E-2</v>
      </c>
      <c r="O72" s="18">
        <f>IF(ISNUMBER(M72), $B91 * N72, "")</f>
        <v>-2000.0000000000002</v>
      </c>
      <c r="Q72" s="156"/>
      <c r="R72" s="156"/>
      <c r="S72" s="156"/>
    </row>
    <row r="73" spans="1:19" ht="17.25" thickBot="1">
      <c r="A73" s="109" t="s">
        <v>51</v>
      </c>
      <c r="B73" s="110">
        <v>102</v>
      </c>
      <c r="C73" s="70">
        <v>9.9009900999999997E-3</v>
      </c>
      <c r="D73" s="15">
        <v>98.6</v>
      </c>
      <c r="E73" s="32">
        <f t="shared" si="30"/>
        <v>-3.3333333333333388E-2</v>
      </c>
      <c r="F73" s="18">
        <f>IF(ISNUMBER(D73), $B91 * E73, "")</f>
        <v>-5000.0000000000082</v>
      </c>
      <c r="G73" s="31">
        <v>98.6</v>
      </c>
      <c r="H73" s="32">
        <f t="shared" si="31"/>
        <v>-3.3333333333333388E-2</v>
      </c>
      <c r="I73" s="91">
        <f>IF(ISNUMBER(G73), $B91 * H73, "")</f>
        <v>-5000.0000000000082</v>
      </c>
      <c r="J73" s="15">
        <v>98.6</v>
      </c>
      <c r="K73" s="32">
        <f t="shared" si="32"/>
        <v>-3.3333333333333388E-2</v>
      </c>
      <c r="L73" s="18">
        <f>IF(ISNUMBER(J73), $B91 * K73, "")</f>
        <v>-5000.0000000000082</v>
      </c>
      <c r="M73" s="31">
        <v>98</v>
      </c>
      <c r="N73" s="32">
        <f t="shared" si="33"/>
        <v>-3.9215686274509803E-2</v>
      </c>
      <c r="O73" s="18">
        <f>IF(ISNUMBER(M73), $B91 * N73, "")</f>
        <v>-5882.3529411764703</v>
      </c>
      <c r="Q73" s="161"/>
      <c r="R73" s="161"/>
      <c r="S73" s="161"/>
    </row>
    <row r="74" spans="1:19" ht="17.25" thickBot="1">
      <c r="A74" s="109" t="s">
        <v>149</v>
      </c>
      <c r="B74" s="110">
        <v>348</v>
      </c>
      <c r="C74" s="70">
        <v>2.8818443999999999E-3</v>
      </c>
      <c r="D74" s="15">
        <v>342</v>
      </c>
      <c r="E74" s="32">
        <f t="shared" si="30"/>
        <v>-1.7241379310344827E-2</v>
      </c>
      <c r="F74" s="18">
        <f>IF(ISNUMBER(D74), $B91 * E74, "")</f>
        <v>-2586.2068965517242</v>
      </c>
      <c r="G74" s="31">
        <v>342</v>
      </c>
      <c r="H74" s="32">
        <f t="shared" si="31"/>
        <v>-1.7241379310344827E-2</v>
      </c>
      <c r="I74" s="91">
        <f>IF(ISNUMBER(G74), $B91 * H74, "")</f>
        <v>-2586.2068965517242</v>
      </c>
      <c r="J74" s="15">
        <v>343</v>
      </c>
      <c r="K74" s="32">
        <f t="shared" si="32"/>
        <v>-1.4367816091954023E-2</v>
      </c>
      <c r="L74" s="18">
        <f>IF(ISNUMBER(J74), $B91 * K74, "")</f>
        <v>-2155.1724137931033</v>
      </c>
      <c r="M74" s="31">
        <v>343</v>
      </c>
      <c r="N74" s="32">
        <f t="shared" si="33"/>
        <v>-1.4367816091954023E-2</v>
      </c>
      <c r="O74" s="18">
        <f>IF(ISNUMBER(M74), $B91 * N74, "")</f>
        <v>-2155.1724137931033</v>
      </c>
      <c r="Q74" s="161"/>
      <c r="R74" s="161"/>
      <c r="S74" s="161"/>
    </row>
    <row r="75" spans="1:19" ht="17.25" thickBot="1">
      <c r="A75" s="111" t="s">
        <v>109</v>
      </c>
      <c r="B75" s="112">
        <v>995</v>
      </c>
      <c r="C75" s="71">
        <v>-1.0040161E-3</v>
      </c>
      <c r="D75" s="20">
        <v>1000</v>
      </c>
      <c r="E75" s="21">
        <f t="shared" si="30"/>
        <v>5.0251256281407036E-3</v>
      </c>
      <c r="F75" s="22">
        <f>IF(ISNUMBER(D75), $B91 * E75, "")</f>
        <v>753.7688442211055</v>
      </c>
      <c r="G75" s="30">
        <v>1000</v>
      </c>
      <c r="H75" s="21">
        <f t="shared" si="31"/>
        <v>5.0251256281407036E-3</v>
      </c>
      <c r="I75" s="95">
        <f>IF(ISNUMBER(G75), $B91 * H75, "")</f>
        <v>753.7688442211055</v>
      </c>
      <c r="J75" s="20">
        <v>1005</v>
      </c>
      <c r="K75" s="21">
        <f t="shared" si="32"/>
        <v>1.0050251256281407E-2</v>
      </c>
      <c r="L75" s="22">
        <f>IF(ISNUMBER(J75), $B91 * K75, "")</f>
        <v>1507.537688442211</v>
      </c>
      <c r="M75" s="30">
        <v>1000</v>
      </c>
      <c r="N75" s="21">
        <f t="shared" si="33"/>
        <v>5.0251256281407036E-3</v>
      </c>
      <c r="O75" s="22">
        <f>IF(ISNUMBER(M75), $B91 * N75, "")</f>
        <v>753.7688442211055</v>
      </c>
      <c r="Q75" s="161"/>
      <c r="R75" s="161"/>
      <c r="S75" s="161"/>
    </row>
    <row r="76" spans="1:19" ht="17.25" thickBot="1">
      <c r="A76" s="109" t="s">
        <v>60</v>
      </c>
      <c r="B76" s="113">
        <v>431</v>
      </c>
      <c r="C76" s="73">
        <v>-2.3148147999999999E-3</v>
      </c>
      <c r="D76" s="96">
        <v>411</v>
      </c>
      <c r="E76" s="97">
        <f>IF(ISNUMBER(D76), (D76 - $B76) / $B76, "")</f>
        <v>-4.6403712296983757E-2</v>
      </c>
      <c r="F76" s="98">
        <f>IF(ISNUMBER(D76), $B91 * E76, "")</f>
        <v>-6960.5568445475637</v>
      </c>
      <c r="G76" s="99">
        <v>411</v>
      </c>
      <c r="H76" s="97">
        <f>IF(ISNUMBER(G76), (G76 - $B76) / $B76, "")</f>
        <v>-4.6403712296983757E-2</v>
      </c>
      <c r="I76" s="100">
        <f>IF(ISNUMBER(G76), $B91 * H76, "")</f>
        <v>-6960.5568445475637</v>
      </c>
      <c r="J76" s="96">
        <v>412</v>
      </c>
      <c r="K76" s="97">
        <f>IF(ISNUMBER(J76), (J76 - $B76) / $B76, "")</f>
        <v>-4.4083526682134569E-2</v>
      </c>
      <c r="L76" s="98">
        <f>IF(ISNUMBER(J76), $B91 * K76, "")</f>
        <v>-6612.5290023201851</v>
      </c>
      <c r="M76" s="99">
        <v>409</v>
      </c>
      <c r="N76" s="97">
        <f>IF(ISNUMBER(M76), (M76 - $B76) / $B76, "")</f>
        <v>-5.1044083526682132E-2</v>
      </c>
      <c r="O76" s="98">
        <f>IF(ISNUMBER(M76), $B91 * N76, "")</f>
        <v>-7656.6125290023201</v>
      </c>
      <c r="Q76" s="161"/>
      <c r="R76" s="161"/>
      <c r="S76" s="161"/>
    </row>
    <row r="77" spans="1:19" ht="17.25" thickBot="1">
      <c r="A77" s="109" t="s">
        <v>130</v>
      </c>
      <c r="B77" s="110">
        <v>703</v>
      </c>
      <c r="C77" s="70">
        <v>-2.8368794000000002E-3</v>
      </c>
      <c r="D77" s="15">
        <v>701</v>
      </c>
      <c r="E77" s="32">
        <f t="shared" ref="E77:E80" si="34">IF(ISNUMBER(D77), (D77 - $B77) / $B77, "")</f>
        <v>-2.8449502133712661E-3</v>
      </c>
      <c r="F77" s="18">
        <f>IF(ISNUMBER(D77), $B91 * E77, "")</f>
        <v>-426.7425320056899</v>
      </c>
      <c r="G77" s="31">
        <v>701</v>
      </c>
      <c r="H77" s="32">
        <f t="shared" ref="H77:H80" si="35">IF(ISNUMBER(G77), (G77 - $B77) / $B77, "")</f>
        <v>-2.8449502133712661E-3</v>
      </c>
      <c r="I77" s="91">
        <f>IF(ISNUMBER(G77), $B91 * H77, "")</f>
        <v>-426.7425320056899</v>
      </c>
      <c r="J77" s="15">
        <v>702</v>
      </c>
      <c r="K77" s="32">
        <f t="shared" ref="K77:K80" si="36">IF(ISNUMBER(J77), (J77 - $B77) / $B77, "")</f>
        <v>-1.4224751066856331E-3</v>
      </c>
      <c r="L77" s="18">
        <f>IF(ISNUMBER(J77), $B91 * K77, "")</f>
        <v>-213.37126600284495</v>
      </c>
      <c r="M77" s="31">
        <v>692</v>
      </c>
      <c r="N77" s="32">
        <f t="shared" ref="N77:N80" si="37">IF(ISNUMBER(M77), (M77 - $B77) / $B77, "")</f>
        <v>-1.5647226173541962E-2</v>
      </c>
      <c r="O77" s="18">
        <f>IF(ISNUMBER(M77), $B91 * N77, "")</f>
        <v>-2347.0839260312941</v>
      </c>
      <c r="Q77" s="161"/>
      <c r="R77" s="161"/>
      <c r="S77" s="161"/>
    </row>
    <row r="78" spans="1:19" ht="17.25" thickBot="1">
      <c r="A78" s="109" t="s">
        <v>165</v>
      </c>
      <c r="B78" s="110">
        <v>854</v>
      </c>
      <c r="C78" s="70">
        <v>-5.8207218000000003E-3</v>
      </c>
      <c r="D78" s="15">
        <v>1020</v>
      </c>
      <c r="E78" s="32">
        <f t="shared" si="34"/>
        <v>0.19437939110070257</v>
      </c>
      <c r="F78" s="18">
        <f>IF(ISNUMBER(D78), $B91 * E78, "")</f>
        <v>29156.908665105384</v>
      </c>
      <c r="G78" s="31">
        <v>1020</v>
      </c>
      <c r="H78" s="32">
        <f t="shared" si="35"/>
        <v>0.19437939110070257</v>
      </c>
      <c r="I78" s="91">
        <f>IF(ISNUMBER(G78), $B91 * H78, "")</f>
        <v>29156.908665105384</v>
      </c>
      <c r="J78" s="15">
        <v>1005</v>
      </c>
      <c r="K78" s="32">
        <f t="shared" si="36"/>
        <v>0.17681498829039813</v>
      </c>
      <c r="L78" s="18">
        <f>IF(ISNUMBER(J78), $B91 * K78, "")</f>
        <v>26522.248243559719</v>
      </c>
      <c r="M78" s="31">
        <v>956</v>
      </c>
      <c r="N78" s="32">
        <f t="shared" si="37"/>
        <v>0.11943793911007025</v>
      </c>
      <c r="O78" s="18">
        <f>IF(ISNUMBER(M78), $B91 * N78, "")</f>
        <v>17915.690866510537</v>
      </c>
      <c r="Q78" s="161"/>
      <c r="R78" s="161"/>
      <c r="S78" s="161"/>
    </row>
    <row r="79" spans="1:19" ht="17.25" thickBot="1">
      <c r="A79" s="109" t="s">
        <v>216</v>
      </c>
      <c r="B79" s="110">
        <v>462</v>
      </c>
      <c r="C79" s="70">
        <v>-8.5836909999999992E-3</v>
      </c>
      <c r="D79" s="15">
        <v>459</v>
      </c>
      <c r="E79" s="32">
        <f t="shared" si="34"/>
        <v>-6.4935064935064939E-3</v>
      </c>
      <c r="F79" s="18">
        <f>IF(ISNUMBER(D79), $B91 * E79, "")</f>
        <v>-974.02597402597405</v>
      </c>
      <c r="G79" s="31">
        <v>459</v>
      </c>
      <c r="H79" s="32">
        <f t="shared" si="35"/>
        <v>-6.4935064935064939E-3</v>
      </c>
      <c r="I79" s="91">
        <f>IF(ISNUMBER(G79), $B91 * H79, "")</f>
        <v>-974.02597402597405</v>
      </c>
      <c r="J79" s="15">
        <v>460</v>
      </c>
      <c r="K79" s="32">
        <f t="shared" si="36"/>
        <v>-4.329004329004329E-3</v>
      </c>
      <c r="L79" s="18">
        <f>IF(ISNUMBER(J79), $B91 * K79, "")</f>
        <v>-649.35064935064941</v>
      </c>
      <c r="M79" s="31">
        <v>457</v>
      </c>
      <c r="N79" s="32">
        <f t="shared" si="37"/>
        <v>-1.0822510822510822E-2</v>
      </c>
      <c r="O79" s="18">
        <f>IF(ISNUMBER(M79), $B91 * N79, "")</f>
        <v>-1623.3766233766232</v>
      </c>
      <c r="Q79" s="33"/>
      <c r="R79" s="33"/>
    </row>
    <row r="80" spans="1:19" ht="17.25" thickBot="1">
      <c r="A80" s="114" t="s">
        <v>101</v>
      </c>
      <c r="B80" s="115">
        <v>214</v>
      </c>
      <c r="C80" s="72">
        <v>-9.2592592999999994E-3</v>
      </c>
      <c r="D80" s="24">
        <v>212</v>
      </c>
      <c r="E80" s="25">
        <f t="shared" si="34"/>
        <v>-9.3457943925233638E-3</v>
      </c>
      <c r="F80" s="94">
        <f>IF(ISNUMBER(D80), $B91 * E80, "")</f>
        <v>-1401.8691588785045</v>
      </c>
      <c r="G80" s="92">
        <v>212</v>
      </c>
      <c r="H80" s="25">
        <f t="shared" si="35"/>
        <v>-9.3457943925233638E-3</v>
      </c>
      <c r="I80" s="93">
        <f>IF(ISNUMBER(G80), $B91 * H80, "")</f>
        <v>-1401.8691588785045</v>
      </c>
      <c r="J80" s="24">
        <v>212</v>
      </c>
      <c r="K80" s="25">
        <f t="shared" si="36"/>
        <v>-9.3457943925233638E-3</v>
      </c>
      <c r="L80" s="94">
        <f>IF(ISNUMBER(J80), $B91 * K80, "")</f>
        <v>-1401.8691588785045</v>
      </c>
      <c r="M80" s="92">
        <v>210</v>
      </c>
      <c r="N80" s="25">
        <f t="shared" si="37"/>
        <v>-1.8691588785046728E-2</v>
      </c>
      <c r="O80" s="94">
        <f>IF(ISNUMBER(M80), $B91 * N80, "")</f>
        <v>-2803.7383177570091</v>
      </c>
      <c r="Q80" s="170"/>
      <c r="R80" s="171"/>
      <c r="S80" s="172"/>
    </row>
    <row r="81" spans="1:19">
      <c r="A81" s="107" t="s">
        <v>242</v>
      </c>
      <c r="B81" s="108">
        <v>422</v>
      </c>
      <c r="C81" s="69">
        <v>-9.3896714000000006E-3</v>
      </c>
      <c r="D81" s="13">
        <v>425</v>
      </c>
      <c r="E81" s="14">
        <f>IF(ISNUMBER(D81), (D81 - $B81) / $B81, "")</f>
        <v>7.1090047393364926E-3</v>
      </c>
      <c r="F81" s="16">
        <f>IF(ISNUMBER(D81), $B91 * E81, "")</f>
        <v>1066.3507109004738</v>
      </c>
      <c r="G81" s="29">
        <v>425</v>
      </c>
      <c r="H81" s="14">
        <f>IF(ISNUMBER(G81), (G81 - $B81) / $B81, "")</f>
        <v>7.1090047393364926E-3</v>
      </c>
      <c r="I81" s="90">
        <f>IF(ISNUMBER(G81), $B91 * H81, "")</f>
        <v>1066.3507109004738</v>
      </c>
      <c r="J81" s="13">
        <v>424</v>
      </c>
      <c r="K81" s="14">
        <f>IF(ISNUMBER(J81), (J81 - $B81) / $B81, "")</f>
        <v>4.7393364928909956E-3</v>
      </c>
      <c r="L81" s="16">
        <f>IF(ISNUMBER(J81), $B91 * K81, "")</f>
        <v>710.90047393364932</v>
      </c>
      <c r="M81" s="29">
        <v>421</v>
      </c>
      <c r="N81" s="14">
        <f>IF(ISNUMBER(M81), (M81 - $B81) / $B81, "")</f>
        <v>-2.3696682464454978E-3</v>
      </c>
      <c r="O81" s="16">
        <f>IF(ISNUMBER(M81), $B91 * N81, "")</f>
        <v>-355.45023696682466</v>
      </c>
      <c r="Q81" s="173"/>
      <c r="R81" s="174"/>
      <c r="S81" s="175"/>
    </row>
    <row r="82" spans="1:19" ht="17.25" thickBot="1">
      <c r="A82" s="109" t="s">
        <v>222</v>
      </c>
      <c r="B82" s="110">
        <v>381</v>
      </c>
      <c r="C82" s="70">
        <v>-1.0389610400000001E-2</v>
      </c>
      <c r="D82" s="15">
        <v>372</v>
      </c>
      <c r="E82" s="32">
        <f t="shared" ref="E82:E85" si="38">IF(ISNUMBER(D82), (D82 - $B82) / $B82, "")</f>
        <v>-2.3622047244094488E-2</v>
      </c>
      <c r="F82" s="18">
        <f>IF(ISNUMBER(D82), $B91 * E82, "")</f>
        <v>-3543.3070866141734</v>
      </c>
      <c r="G82" s="31">
        <v>372</v>
      </c>
      <c r="H82" s="32">
        <f t="shared" ref="H82:H85" si="39">IF(ISNUMBER(G82), (G82 - $B82) / $B82, "")</f>
        <v>-2.3622047244094488E-2</v>
      </c>
      <c r="I82" s="91">
        <f>IF(ISNUMBER(G82), $B91 * H82, "")</f>
        <v>-3543.3070866141734</v>
      </c>
      <c r="J82" s="15">
        <v>377</v>
      </c>
      <c r="K82" s="32">
        <f t="shared" ref="K82:K85" si="40">IF(ISNUMBER(J82), (J82 - $B82) / $B82, "")</f>
        <v>-1.0498687664041995E-2</v>
      </c>
      <c r="L82" s="18">
        <f>IF(ISNUMBER(J82), $B91 * K82, "")</f>
        <v>-1574.8031496062993</v>
      </c>
      <c r="M82" s="31">
        <v>372</v>
      </c>
      <c r="N82" s="32">
        <f t="shared" ref="N82:N85" si="41">IF(ISNUMBER(M82), (M82 - $B82) / $B82, "")</f>
        <v>-2.3622047244094488E-2</v>
      </c>
      <c r="O82" s="18">
        <f>IF(ISNUMBER(M82), $B91 * N82, "")</f>
        <v>-3543.3070866141734</v>
      </c>
      <c r="Q82" s="176"/>
      <c r="R82" s="177"/>
      <c r="S82" s="178"/>
    </row>
    <row r="83" spans="1:19" ht="17.25" thickBot="1">
      <c r="A83" s="109" t="s">
        <v>153</v>
      </c>
      <c r="B83" s="110">
        <v>358</v>
      </c>
      <c r="C83" s="70">
        <v>-1.1049723799999999E-2</v>
      </c>
      <c r="D83" s="15">
        <v>345</v>
      </c>
      <c r="E83" s="32">
        <f t="shared" si="38"/>
        <v>-3.6312849162011177E-2</v>
      </c>
      <c r="F83" s="18">
        <f>IF(ISNUMBER(D83), $B91 * E83, "")</f>
        <v>-5446.9273743016765</v>
      </c>
      <c r="G83" s="31">
        <v>345</v>
      </c>
      <c r="H83" s="32">
        <f t="shared" si="39"/>
        <v>-3.6312849162011177E-2</v>
      </c>
      <c r="I83" s="91">
        <f>IF(ISNUMBER(G83), $B91 * H83, "")</f>
        <v>-5446.9273743016765</v>
      </c>
      <c r="J83" s="15">
        <v>344</v>
      </c>
      <c r="K83" s="32">
        <f t="shared" si="40"/>
        <v>-3.9106145251396648E-2</v>
      </c>
      <c r="L83" s="18">
        <f>IF(ISNUMBER(J83), $B91 * K83, "")</f>
        <v>-5865.921787709497</v>
      </c>
      <c r="M83" s="31">
        <v>342</v>
      </c>
      <c r="N83" s="32">
        <f t="shared" si="41"/>
        <v>-4.4692737430167599E-2</v>
      </c>
      <c r="O83" s="18">
        <f>IF(ISNUMBER(M83), $B91 * N83, "")</f>
        <v>-6703.9106145251399</v>
      </c>
      <c r="Q83" s="161"/>
      <c r="R83" s="161"/>
      <c r="S83" s="161"/>
    </row>
    <row r="84" spans="1:19" ht="17.25" thickBot="1">
      <c r="A84" s="109" t="s">
        <v>81</v>
      </c>
      <c r="B84" s="110">
        <v>347</v>
      </c>
      <c r="C84" s="70">
        <v>-1.42045455E-2</v>
      </c>
      <c r="D84" s="15">
        <v>338</v>
      </c>
      <c r="E84" s="32">
        <f t="shared" si="38"/>
        <v>-2.5936599423631124E-2</v>
      </c>
      <c r="F84" s="18">
        <f>IF(ISNUMBER(D84), $B91 * E84, "")</f>
        <v>-3890.4899135446685</v>
      </c>
      <c r="G84" s="31">
        <v>338</v>
      </c>
      <c r="H84" s="32">
        <f t="shared" si="39"/>
        <v>-2.5936599423631124E-2</v>
      </c>
      <c r="I84" s="91">
        <f>IF(ISNUMBER(G84), $B91 * H84, "")</f>
        <v>-3890.4899135446685</v>
      </c>
      <c r="J84" s="15">
        <v>339</v>
      </c>
      <c r="K84" s="32">
        <f t="shared" si="40"/>
        <v>-2.3054755043227664E-2</v>
      </c>
      <c r="L84" s="18">
        <f>IF(ISNUMBER(J84), $B91 * K84, "")</f>
        <v>-3458.2132564841495</v>
      </c>
      <c r="M84" s="31">
        <v>338</v>
      </c>
      <c r="N84" s="32">
        <f t="shared" si="41"/>
        <v>-2.5936599423631124E-2</v>
      </c>
      <c r="O84" s="18">
        <f>IF(ISNUMBER(M84), $B91 * N84, "")</f>
        <v>-3890.4899135446685</v>
      </c>
      <c r="Q84" s="156"/>
      <c r="R84" s="156"/>
      <c r="S84" s="156"/>
    </row>
    <row r="85" spans="1:19" ht="17.25" thickBot="1">
      <c r="A85" s="111" t="s">
        <v>105</v>
      </c>
      <c r="B85" s="112">
        <v>197</v>
      </c>
      <c r="C85" s="71">
        <v>-1.4999999999999999E-2</v>
      </c>
      <c r="D85" s="20">
        <v>196</v>
      </c>
      <c r="E85" s="21">
        <f t="shared" si="38"/>
        <v>-5.076142131979695E-3</v>
      </c>
      <c r="F85" s="22">
        <f>IF(ISNUMBER(D85), $B91 * E85, "")</f>
        <v>-761.42131979695421</v>
      </c>
      <c r="G85" s="30">
        <v>196</v>
      </c>
      <c r="H85" s="21">
        <f t="shared" si="39"/>
        <v>-5.076142131979695E-3</v>
      </c>
      <c r="I85" s="95">
        <f>IF(ISNUMBER(G85), $B91 * H85, "")</f>
        <v>-761.42131979695421</v>
      </c>
      <c r="J85" s="20">
        <v>196</v>
      </c>
      <c r="K85" s="21">
        <f t="shared" si="40"/>
        <v>-5.076142131979695E-3</v>
      </c>
      <c r="L85" s="22">
        <f>IF(ISNUMBER(J85), $B91 * K85, "")</f>
        <v>-761.42131979695421</v>
      </c>
      <c r="M85" s="30">
        <v>195</v>
      </c>
      <c r="N85" s="21">
        <f t="shared" si="41"/>
        <v>-1.015228426395939E-2</v>
      </c>
      <c r="O85" s="22">
        <f>IF(ISNUMBER(M85), $B91 * N85, "")</f>
        <v>-1522.8426395939084</v>
      </c>
      <c r="Q85" s="156"/>
      <c r="R85" s="156"/>
      <c r="S85" s="156"/>
    </row>
    <row r="86" spans="1:19" ht="17.25" thickBot="1">
      <c r="A86" s="109" t="s">
        <v>183</v>
      </c>
      <c r="B86" s="113">
        <v>127</v>
      </c>
      <c r="C86" s="73">
        <v>-1.5503876E-2</v>
      </c>
      <c r="D86" s="96">
        <v>127</v>
      </c>
      <c r="E86" s="97">
        <f>IF(ISNUMBER(D86), (D86 - $B86) / $B86, "")</f>
        <v>0</v>
      </c>
      <c r="F86" s="98">
        <f>IF(ISNUMBER(D86), $B91 * E86, "")</f>
        <v>0</v>
      </c>
      <c r="G86" s="99">
        <v>127</v>
      </c>
      <c r="H86" s="97">
        <f>IF(ISNUMBER(G86), (G86 - $B86) / $B86, "")</f>
        <v>0</v>
      </c>
      <c r="I86" s="100">
        <f>IF(ISNUMBER(G86), $B91 * H86, "")</f>
        <v>0</v>
      </c>
      <c r="J86" s="96">
        <v>127</v>
      </c>
      <c r="K86" s="97">
        <f>IF(ISNUMBER(J86), (J86 - $B86) / $B86, "")</f>
        <v>0</v>
      </c>
      <c r="L86" s="98">
        <f>IF(ISNUMBER(J86), $B91 * K86, "")</f>
        <v>0</v>
      </c>
      <c r="M86" s="99">
        <v>127</v>
      </c>
      <c r="N86" s="97">
        <f>IF(ISNUMBER(M86), (M86 - $B86) / $B86, "")</f>
        <v>0</v>
      </c>
      <c r="O86" s="98">
        <f>IF(ISNUMBER(M86), $B91 * N86, "")</f>
        <v>0</v>
      </c>
      <c r="Q86" s="161"/>
      <c r="R86" s="161"/>
      <c r="S86" s="161"/>
    </row>
    <row r="87" spans="1:19" ht="17.25" thickBot="1">
      <c r="A87" s="109" t="s">
        <v>79</v>
      </c>
      <c r="B87" s="110">
        <v>247</v>
      </c>
      <c r="C87" s="70">
        <v>-1.5936255E-2</v>
      </c>
      <c r="D87" s="15">
        <v>244</v>
      </c>
      <c r="E87" s="32">
        <f t="shared" ref="E87:E90" si="42">IF(ISNUMBER(D87), (D87 - $B87) / $B87, "")</f>
        <v>-1.2145748987854251E-2</v>
      </c>
      <c r="F87" s="18">
        <f>IF(ISNUMBER(D87), $B91 * E87, "")</f>
        <v>-1821.8623481781376</v>
      </c>
      <c r="G87" s="31">
        <v>244</v>
      </c>
      <c r="H87" s="32">
        <f t="shared" ref="H87:H90" si="43">IF(ISNUMBER(G87), (G87 - $B87) / $B87, "")</f>
        <v>-1.2145748987854251E-2</v>
      </c>
      <c r="I87" s="91">
        <f>IF(ISNUMBER(G87), $B91 * H87, "")</f>
        <v>-1821.8623481781376</v>
      </c>
      <c r="J87" s="15">
        <v>244</v>
      </c>
      <c r="K87" s="32">
        <f t="shared" ref="K87:K90" si="44">IF(ISNUMBER(J87), (J87 - $B87) / $B87, "")</f>
        <v>-1.2145748987854251E-2</v>
      </c>
      <c r="L87" s="18">
        <f>IF(ISNUMBER(J87), $B91 * K87, "")</f>
        <v>-1821.8623481781376</v>
      </c>
      <c r="M87" s="31">
        <v>243</v>
      </c>
      <c r="N87" s="32">
        <f t="shared" ref="N87:N90" si="45">IF(ISNUMBER(M87), (M87 - $B87) / $B87, "")</f>
        <v>-1.6194331983805668E-2</v>
      </c>
      <c r="O87" s="18">
        <f>IF(ISNUMBER(M87), $B91 * N87, "")</f>
        <v>-2429.1497975708503</v>
      </c>
      <c r="Q87" s="161"/>
      <c r="R87" s="161"/>
      <c r="S87" s="161"/>
    </row>
    <row r="88" spans="1:19" ht="17.25" thickBot="1">
      <c r="A88" s="109" t="s">
        <v>214</v>
      </c>
      <c r="B88" s="110">
        <v>950</v>
      </c>
      <c r="C88" s="70">
        <v>-1.6563147E-2</v>
      </c>
      <c r="D88" s="15">
        <v>1140</v>
      </c>
      <c r="E88" s="32">
        <f t="shared" si="42"/>
        <v>0.2</v>
      </c>
      <c r="F88" s="18">
        <f>IF(ISNUMBER(D88), $B91 * E88, "")</f>
        <v>30000</v>
      </c>
      <c r="G88" s="31">
        <v>1140</v>
      </c>
      <c r="H88" s="32">
        <f t="shared" si="43"/>
        <v>0.2</v>
      </c>
      <c r="I88" s="91">
        <f>IF(ISNUMBER(G88), $B91 * H88, "")</f>
        <v>30000</v>
      </c>
      <c r="J88" s="15">
        <v>1130</v>
      </c>
      <c r="K88" s="32">
        <f t="shared" si="44"/>
        <v>0.18947368421052632</v>
      </c>
      <c r="L88" s="18">
        <f>IF(ISNUMBER(J88), $B91 * K88, "")</f>
        <v>28421.052631578947</v>
      </c>
      <c r="M88" s="31">
        <v>1120</v>
      </c>
      <c r="N88" s="32">
        <f t="shared" si="45"/>
        <v>0.17894736842105263</v>
      </c>
      <c r="O88" s="18">
        <f>IF(ISNUMBER(M88), $B91 * N88, "")</f>
        <v>26842.105263157893</v>
      </c>
      <c r="Q88" s="161"/>
      <c r="R88" s="161"/>
      <c r="S88" s="161"/>
    </row>
    <row r="89" spans="1:19">
      <c r="A89" s="109" t="s">
        <v>103</v>
      </c>
      <c r="B89" s="110">
        <v>219</v>
      </c>
      <c r="C89" s="70">
        <v>-1.79372197E-2</v>
      </c>
      <c r="D89" s="15">
        <v>218</v>
      </c>
      <c r="E89" s="32">
        <f t="shared" si="42"/>
        <v>-4.5662100456621002E-3</v>
      </c>
      <c r="F89" s="18">
        <f>IF(ISNUMBER(D89), $B91 * E89, "")</f>
        <v>-684.93150684931504</v>
      </c>
      <c r="G89" s="31">
        <v>218</v>
      </c>
      <c r="H89" s="32">
        <f t="shared" si="43"/>
        <v>-4.5662100456621002E-3</v>
      </c>
      <c r="I89" s="91">
        <f>IF(ISNUMBER(G89), $B91 * H89, "")</f>
        <v>-684.93150684931504</v>
      </c>
      <c r="J89" s="15">
        <v>218</v>
      </c>
      <c r="K89" s="32">
        <f t="shared" si="44"/>
        <v>-4.5662100456621002E-3</v>
      </c>
      <c r="L89" s="18">
        <f>IF(ISNUMBER(J89), $B91 * K89, "")</f>
        <v>-684.93150684931504</v>
      </c>
      <c r="M89" s="31">
        <v>216</v>
      </c>
      <c r="N89" s="32">
        <f t="shared" si="45"/>
        <v>-1.3698630136986301E-2</v>
      </c>
      <c r="O89" s="18">
        <f>IF(ISNUMBER(M89), $B91 * N89, "")</f>
        <v>-2054.794520547945</v>
      </c>
      <c r="Q89" s="183"/>
      <c r="R89" s="184"/>
      <c r="S89" s="185"/>
    </row>
    <row r="90" spans="1:19" ht="17.25" thickBot="1">
      <c r="A90" s="114" t="s">
        <v>349</v>
      </c>
      <c r="B90" s="115">
        <v>689</v>
      </c>
      <c r="C90" s="72">
        <v>-1.8518518500000001E-2</v>
      </c>
      <c r="D90" s="24">
        <v>671</v>
      </c>
      <c r="E90" s="25">
        <f t="shared" si="42"/>
        <v>-2.6124818577648767E-2</v>
      </c>
      <c r="F90" s="94">
        <f>IF(ISNUMBER(D90), $B91 * E90, "")</f>
        <v>-3918.7227866473149</v>
      </c>
      <c r="G90" s="92">
        <v>671</v>
      </c>
      <c r="H90" s="25">
        <f t="shared" si="43"/>
        <v>-2.6124818577648767E-2</v>
      </c>
      <c r="I90" s="93">
        <f>IF(ISNUMBER(G90), $B91 * H90, "")</f>
        <v>-3918.7227866473149</v>
      </c>
      <c r="J90" s="24">
        <v>672</v>
      </c>
      <c r="K90" s="25">
        <f t="shared" si="44"/>
        <v>-2.4673439767779391E-2</v>
      </c>
      <c r="L90" s="94">
        <f>IF(ISNUMBER(J90), $B91 * K90, "")</f>
        <v>-3701.0159651669087</v>
      </c>
      <c r="M90" s="92">
        <v>668</v>
      </c>
      <c r="N90" s="25">
        <f t="shared" si="45"/>
        <v>-3.0478955007256895E-2</v>
      </c>
      <c r="O90" s="94">
        <f>IF(ISNUMBER(M90), $B91 * N90, "")</f>
        <v>-4571.8432510885341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5.7157553551956137E-3</v>
      </c>
      <c r="F91" s="28">
        <f>SUM(F71:F90)</f>
        <v>17147.266065586842</v>
      </c>
      <c r="G91" s="26" t="s">
        <v>261</v>
      </c>
      <c r="H91" s="27">
        <f>IF(COUNT(H71:H90), SUM(H71:H90) / COUNT(H71:H90), 0)</f>
        <v>5.7157553551956137E-3</v>
      </c>
      <c r="I91" s="28">
        <f>SUM(I71:I90)</f>
        <v>17147.266065586842</v>
      </c>
      <c r="J91" s="26" t="s">
        <v>261</v>
      </c>
      <c r="K91" s="27">
        <f>IF(COUNT(K71:K90), SUM(K71:K90) / COUNT(K71:K90), 0)</f>
        <v>6.0535827042829575E-3</v>
      </c>
      <c r="L91" s="28">
        <f>SUM(L71:L90)</f>
        <v>18160.748112848873</v>
      </c>
      <c r="M91" s="26" t="s">
        <v>261</v>
      </c>
      <c r="N91" s="27">
        <f>IF(COUNT(N71:N90), SUM(N71:N90) / COUNT(N71:N90), 0)</f>
        <v>-3.3181619212084177E-3</v>
      </c>
      <c r="O91" s="28">
        <f>SUM(O71:O90)</f>
        <v>-9954.4857636252545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2022-12-20(화) 오전 00:00</v>
      </c>
      <c r="C96" s="199"/>
      <c r="D96" s="158" t="str">
        <f>TEXT($G$1, "[$-ko-KR]yyyy-mm-dd(ddd) ") &amp; "오후 14:00"</f>
        <v>2022-12-20(화) 오후 14:00</v>
      </c>
      <c r="E96" s="159"/>
      <c r="F96" s="160"/>
      <c r="G96" s="158" t="str">
        <f>TEXT($G$1, "[$-ko-KR]yyyy-mm-dd(ddd) ") &amp; "오후 19:00"</f>
        <v>2022-12-20(화) 오후 19:00</v>
      </c>
      <c r="H96" s="159"/>
      <c r="I96" s="160"/>
      <c r="J96" s="158" t="str">
        <f>TEXT($G$1, "[$-ko-KR]yyyy-mm-dd(ddd) ") &amp; "오후 21:00"</f>
        <v>2022-12-20(화) 오후 21:00</v>
      </c>
      <c r="K96" s="159"/>
      <c r="L96" s="160"/>
      <c r="M96" s="158" t="str">
        <f>TEXT($G$1+1, "[$-ko-KR]yyyy-mm-dd(ddd) ") &amp; "오전 00:00"</f>
        <v>2022-12-21(수)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163</v>
      </c>
      <c r="B98" s="108">
        <v>6775</v>
      </c>
      <c r="C98" s="69">
        <v>3.2774390200000003E-2</v>
      </c>
      <c r="D98" s="13">
        <v>6410</v>
      </c>
      <c r="E98" s="14">
        <f>IF(ISNUMBER(D98), (D98 - $B98) / $B98, "")</f>
        <v>-5.3874538745387453E-2</v>
      </c>
      <c r="F98" s="16">
        <f>IF(ISNUMBER(D98), $B118 * E98, "")</f>
        <v>-8081.1808118081181</v>
      </c>
      <c r="G98" s="29">
        <v>6410</v>
      </c>
      <c r="H98" s="14">
        <f>IF(ISNUMBER(G98), (G98 - $B98) / $B98, "")</f>
        <v>-5.3874538745387453E-2</v>
      </c>
      <c r="I98" s="90">
        <f>IF(ISNUMBER(G98), $B118 * H98, "")</f>
        <v>-8081.1808118081181</v>
      </c>
      <c r="J98" s="13">
        <v>6390</v>
      </c>
      <c r="K98" s="14">
        <f>IF(ISNUMBER(J98), (J98 - $B98) / $B98, "")</f>
        <v>-5.6826568265682657E-2</v>
      </c>
      <c r="L98" s="16">
        <f>IF(ISNUMBER(J98), $B118 * K98, "")</f>
        <v>-8523.9852398523981</v>
      </c>
      <c r="M98" s="29">
        <v>6250</v>
      </c>
      <c r="N98" s="14">
        <f>IF(ISNUMBER(M98), (M98 - $B98) / $B98, "")</f>
        <v>-7.7490774907749083E-2</v>
      </c>
      <c r="O98" s="16">
        <f>IF(ISNUMBER(M98), $B118 * N98, "")</f>
        <v>-11623.616236162363</v>
      </c>
      <c r="Q98" s="156"/>
      <c r="R98" s="156"/>
      <c r="S98" s="156"/>
    </row>
    <row r="99" spans="1:19" ht="17.25" thickBot="1">
      <c r="A99" s="109" t="s">
        <v>228</v>
      </c>
      <c r="B99" s="110">
        <v>59.1</v>
      </c>
      <c r="C99" s="70">
        <v>2.60416667E-2</v>
      </c>
      <c r="D99" s="15">
        <v>56.7</v>
      </c>
      <c r="E99" s="32">
        <f t="shared" ref="E99:E102" si="46">IF(ISNUMBER(D99), (D99 - $B99) / $B99, "")</f>
        <v>-4.0609137055837539E-2</v>
      </c>
      <c r="F99" s="18">
        <f>IF(ISNUMBER(D99), $B118 * E99, "")</f>
        <v>-6091.3705583756309</v>
      </c>
      <c r="G99" s="31">
        <v>56.7</v>
      </c>
      <c r="H99" s="32">
        <f t="shared" ref="H99:H102" si="47">IF(ISNUMBER(G99), (G99 - $B99) / $B99, "")</f>
        <v>-4.0609137055837539E-2</v>
      </c>
      <c r="I99" s="91">
        <f>IF(ISNUMBER(G99), $B118 * H99, "")</f>
        <v>-6091.3705583756309</v>
      </c>
      <c r="J99" s="15">
        <v>57.1</v>
      </c>
      <c r="K99" s="32">
        <f t="shared" ref="K99:K102" si="48">IF(ISNUMBER(J99), (J99 - $B99) / $B99, "")</f>
        <v>-3.3840947546531303E-2</v>
      </c>
      <c r="L99" s="18">
        <f>IF(ISNUMBER(J99), $B118 * K99, "")</f>
        <v>-5076.1421319796955</v>
      </c>
      <c r="M99" s="31">
        <v>55.9</v>
      </c>
      <c r="N99" s="32">
        <f t="shared" ref="N99:N102" si="49">IF(ISNUMBER(M99), (M99 - $B99) / $B99, "")</f>
        <v>-5.4145516074450131E-2</v>
      </c>
      <c r="O99" s="18">
        <f>IF(ISNUMBER(M99), $B118 * N99, "")</f>
        <v>-8121.82741116752</v>
      </c>
      <c r="Q99" s="156"/>
      <c r="R99" s="156"/>
      <c r="S99" s="156"/>
    </row>
    <row r="100" spans="1:19" ht="17.25" thickBot="1">
      <c r="A100" s="109" t="s">
        <v>346</v>
      </c>
      <c r="B100" s="110">
        <v>405</v>
      </c>
      <c r="C100" s="70">
        <v>2.0151133500000001E-2</v>
      </c>
      <c r="D100" s="15">
        <v>390</v>
      </c>
      <c r="E100" s="32">
        <f t="shared" si="46"/>
        <v>-3.7037037037037035E-2</v>
      </c>
      <c r="F100" s="18">
        <f>IF(ISNUMBER(D100), $B118 * E100, "")</f>
        <v>-5555.5555555555557</v>
      </c>
      <c r="G100" s="31">
        <v>390</v>
      </c>
      <c r="H100" s="32">
        <f t="shared" si="47"/>
        <v>-3.7037037037037035E-2</v>
      </c>
      <c r="I100" s="91">
        <f>IF(ISNUMBER(G100), $B118 * H100, "")</f>
        <v>-5555.5555555555557</v>
      </c>
      <c r="J100" s="15">
        <v>392</v>
      </c>
      <c r="K100" s="32">
        <f t="shared" si="48"/>
        <v>-3.2098765432098768E-2</v>
      </c>
      <c r="L100" s="18">
        <f>IF(ISNUMBER(J100), $B118 * K100, "")</f>
        <v>-4814.8148148148148</v>
      </c>
      <c r="M100" s="31">
        <v>389</v>
      </c>
      <c r="N100" s="32">
        <f t="shared" si="49"/>
        <v>-3.9506172839506172E-2</v>
      </c>
      <c r="O100" s="18">
        <f>IF(ISNUMBER(M100), $B118 * N100, "")</f>
        <v>-5925.9259259259261</v>
      </c>
      <c r="Q100" s="161"/>
      <c r="R100" s="161"/>
      <c r="S100" s="161"/>
    </row>
    <row r="101" spans="1:19" ht="17.25" thickBot="1">
      <c r="A101" s="109" t="s">
        <v>151</v>
      </c>
      <c r="B101" s="110">
        <v>2070</v>
      </c>
      <c r="C101" s="70">
        <v>1.47058824E-2</v>
      </c>
      <c r="D101" s="15">
        <v>2070</v>
      </c>
      <c r="E101" s="32">
        <f t="shared" si="46"/>
        <v>0</v>
      </c>
      <c r="F101" s="18">
        <f>IF(ISNUMBER(D101), $B118 * E101, "")</f>
        <v>0</v>
      </c>
      <c r="G101" s="31">
        <v>2070</v>
      </c>
      <c r="H101" s="32">
        <f t="shared" si="47"/>
        <v>0</v>
      </c>
      <c r="I101" s="91">
        <f>IF(ISNUMBER(G101), $B118 * H101, "")</f>
        <v>0</v>
      </c>
      <c r="J101" s="15">
        <v>2070</v>
      </c>
      <c r="K101" s="32">
        <f t="shared" si="48"/>
        <v>0</v>
      </c>
      <c r="L101" s="18">
        <f>IF(ISNUMBER(J101), $B118 * K101, "")</f>
        <v>0</v>
      </c>
      <c r="M101" s="31">
        <v>2055</v>
      </c>
      <c r="N101" s="32">
        <f t="shared" si="49"/>
        <v>-7.246376811594203E-3</v>
      </c>
      <c r="O101" s="18">
        <f>IF(ISNUMBER(M101), $B118 * N101, "")</f>
        <v>-1086.9565217391305</v>
      </c>
      <c r="Q101" s="161"/>
      <c r="R101" s="161"/>
      <c r="S101" s="161"/>
    </row>
    <row r="102" spans="1:19" ht="17.25" thickBot="1">
      <c r="A102" s="111" t="s">
        <v>147</v>
      </c>
      <c r="B102" s="112">
        <v>9175</v>
      </c>
      <c r="C102" s="71">
        <v>1.1576626200000001E-2</v>
      </c>
      <c r="D102" s="20">
        <v>9000</v>
      </c>
      <c r="E102" s="21">
        <f t="shared" si="46"/>
        <v>-1.9073569482288829E-2</v>
      </c>
      <c r="F102" s="22">
        <f>IF(ISNUMBER(D102), $B118 * E102, "")</f>
        <v>-2861.0354223433242</v>
      </c>
      <c r="G102" s="30">
        <v>9000</v>
      </c>
      <c r="H102" s="21">
        <f t="shared" si="47"/>
        <v>-1.9073569482288829E-2</v>
      </c>
      <c r="I102" s="95">
        <f>IF(ISNUMBER(G102), $B118 * H102, "")</f>
        <v>-2861.0354223433242</v>
      </c>
      <c r="J102" s="20">
        <v>9000</v>
      </c>
      <c r="K102" s="21">
        <f t="shared" si="48"/>
        <v>-1.9073569482288829E-2</v>
      </c>
      <c r="L102" s="22">
        <f>IF(ISNUMBER(J102), $B118 * K102, "")</f>
        <v>-2861.0354223433242</v>
      </c>
      <c r="M102" s="30">
        <v>9020</v>
      </c>
      <c r="N102" s="21">
        <f t="shared" si="49"/>
        <v>-1.6893732970027248E-2</v>
      </c>
      <c r="O102" s="22">
        <f>IF(ISNUMBER(M102), $B118 * N102, "")</f>
        <v>-2534.059945504087</v>
      </c>
      <c r="Q102" s="161"/>
      <c r="R102" s="161"/>
      <c r="S102" s="161"/>
    </row>
    <row r="103" spans="1:19" ht="17.25" thickBot="1">
      <c r="A103" s="109" t="s">
        <v>340</v>
      </c>
      <c r="B103" s="113">
        <v>525</v>
      </c>
      <c r="C103" s="73">
        <v>1.15606936E-2</v>
      </c>
      <c r="D103" s="96">
        <v>522</v>
      </c>
      <c r="E103" s="97">
        <f>IF(ISNUMBER(D103), (D103 - $B103) / $B103, "")</f>
        <v>-5.7142857142857143E-3</v>
      </c>
      <c r="F103" s="98">
        <f>IF(ISNUMBER(D103), $B118 * E103, "")</f>
        <v>-857.14285714285711</v>
      </c>
      <c r="G103" s="99">
        <v>522</v>
      </c>
      <c r="H103" s="97">
        <f>IF(ISNUMBER(G103), (G103 - $B103) / $B103, "")</f>
        <v>-5.7142857142857143E-3</v>
      </c>
      <c r="I103" s="100">
        <f>IF(ISNUMBER(G103), $B118 * H103, "")</f>
        <v>-857.14285714285711</v>
      </c>
      <c r="J103" s="96">
        <v>524</v>
      </c>
      <c r="K103" s="97">
        <f>IF(ISNUMBER(J103), (J103 - $B103) / $B103, "")</f>
        <v>-1.9047619047619048E-3</v>
      </c>
      <c r="L103" s="98">
        <f>IF(ISNUMBER(J103), $B118 * K103, "")</f>
        <v>-285.71428571428572</v>
      </c>
      <c r="M103" s="99">
        <v>518</v>
      </c>
      <c r="N103" s="97">
        <f>IF(ISNUMBER(M103), (M103 - $B103) / $B103, "")</f>
        <v>-1.3333333333333334E-2</v>
      </c>
      <c r="O103" s="98">
        <f>IF(ISNUMBER(M103), $B118 * N103, "")</f>
        <v>-2000.0000000000002</v>
      </c>
      <c r="Q103" s="161"/>
      <c r="R103" s="161"/>
      <c r="S103" s="161"/>
    </row>
    <row r="104" spans="1:19" ht="17.25" thickBot="1">
      <c r="A104" s="109" t="s">
        <v>51</v>
      </c>
      <c r="B104" s="110">
        <v>102</v>
      </c>
      <c r="C104" s="70">
        <v>9.9009900999999997E-3</v>
      </c>
      <c r="D104" s="15">
        <v>98.6</v>
      </c>
      <c r="E104" s="32">
        <f t="shared" ref="E104:E107" si="50">IF(ISNUMBER(D104), (D104 - $B104) / $B104, "")</f>
        <v>-3.3333333333333388E-2</v>
      </c>
      <c r="F104" s="18">
        <f>IF(ISNUMBER(D104), $B118 * E104, "")</f>
        <v>-5000.0000000000082</v>
      </c>
      <c r="G104" s="31">
        <v>98.6</v>
      </c>
      <c r="H104" s="32">
        <f t="shared" ref="H104:H107" si="51">IF(ISNUMBER(G104), (G104 - $B104) / $B104, "")</f>
        <v>-3.3333333333333388E-2</v>
      </c>
      <c r="I104" s="91">
        <f>IF(ISNUMBER(G104), $B118 * H104, "")</f>
        <v>-5000.0000000000082</v>
      </c>
      <c r="J104" s="15">
        <v>98.6</v>
      </c>
      <c r="K104" s="32">
        <f t="shared" ref="K104:K107" si="52">IF(ISNUMBER(J104), (J104 - $B104) / $B104, "")</f>
        <v>-3.3333333333333388E-2</v>
      </c>
      <c r="L104" s="18">
        <f>IF(ISNUMBER(J104), $B118 * K104, "")</f>
        <v>-5000.0000000000082</v>
      </c>
      <c r="M104" s="31">
        <v>98</v>
      </c>
      <c r="N104" s="32">
        <f t="shared" ref="N104:N107" si="53">IF(ISNUMBER(M104), (M104 - $B104) / $B104, "")</f>
        <v>-3.9215686274509803E-2</v>
      </c>
      <c r="O104" s="18">
        <f>IF(ISNUMBER(M104), $B118 * N104, "")</f>
        <v>-5882.3529411764703</v>
      </c>
      <c r="Q104" s="161"/>
      <c r="R104" s="161"/>
      <c r="S104" s="161"/>
    </row>
    <row r="105" spans="1:19" ht="17.25" thickBot="1">
      <c r="A105" s="109" t="s">
        <v>134</v>
      </c>
      <c r="B105" s="110">
        <v>1350</v>
      </c>
      <c r="C105" s="70">
        <v>3.7174720999999999E-3</v>
      </c>
      <c r="D105" s="15">
        <v>1320</v>
      </c>
      <c r="E105" s="32">
        <f t="shared" si="50"/>
        <v>-2.2222222222222223E-2</v>
      </c>
      <c r="F105" s="18">
        <f>IF(ISNUMBER(D105), $B118 * E105, "")</f>
        <v>-3333.3333333333335</v>
      </c>
      <c r="G105" s="31">
        <v>1320</v>
      </c>
      <c r="H105" s="32">
        <f t="shared" si="51"/>
        <v>-2.2222222222222223E-2</v>
      </c>
      <c r="I105" s="91">
        <f>IF(ISNUMBER(G105), $B118 * H105, "")</f>
        <v>-3333.3333333333335</v>
      </c>
      <c r="J105" s="15">
        <v>1320</v>
      </c>
      <c r="K105" s="32">
        <f t="shared" si="52"/>
        <v>-2.2222222222222223E-2</v>
      </c>
      <c r="L105" s="18">
        <f>IF(ISNUMBER(J105), $B118 * K105, "")</f>
        <v>-3333.3333333333335</v>
      </c>
      <c r="M105" s="31">
        <v>1320</v>
      </c>
      <c r="N105" s="32">
        <f t="shared" si="53"/>
        <v>-2.2222222222222223E-2</v>
      </c>
      <c r="O105" s="18">
        <f>IF(ISNUMBER(M105), $B118 * N105, "")</f>
        <v>-3333.3333333333335</v>
      </c>
      <c r="Q105" s="161"/>
      <c r="R105" s="161"/>
      <c r="S105" s="161"/>
    </row>
    <row r="106" spans="1:19" ht="17.25" thickBot="1">
      <c r="A106" s="109" t="s">
        <v>149</v>
      </c>
      <c r="B106" s="110">
        <v>348</v>
      </c>
      <c r="C106" s="70">
        <v>2.8818443999999999E-3</v>
      </c>
      <c r="D106" s="15">
        <v>342</v>
      </c>
      <c r="E106" s="32">
        <f t="shared" si="50"/>
        <v>-1.7241379310344827E-2</v>
      </c>
      <c r="F106" s="18">
        <f>IF(ISNUMBER(D106), $B118 * E106, "")</f>
        <v>-2586.2068965517242</v>
      </c>
      <c r="G106" s="31">
        <v>342</v>
      </c>
      <c r="H106" s="32">
        <f t="shared" si="51"/>
        <v>-1.7241379310344827E-2</v>
      </c>
      <c r="I106" s="91">
        <f>IF(ISNUMBER(G106), $B118 * H106, "")</f>
        <v>-2586.2068965517242</v>
      </c>
      <c r="J106" s="15">
        <v>343</v>
      </c>
      <c r="K106" s="32">
        <f t="shared" si="52"/>
        <v>-1.4367816091954023E-2</v>
      </c>
      <c r="L106" s="18">
        <f>IF(ISNUMBER(J106), $B118 * K106, "")</f>
        <v>-2155.1724137931033</v>
      </c>
      <c r="M106" s="31">
        <v>343</v>
      </c>
      <c r="N106" s="32">
        <f t="shared" si="53"/>
        <v>-1.4367816091954023E-2</v>
      </c>
      <c r="O106" s="18">
        <f>IF(ISNUMBER(M106), $B118 * N106, "")</f>
        <v>-2155.1724137931033</v>
      </c>
      <c r="Q106" s="33"/>
      <c r="R106" s="33"/>
    </row>
    <row r="107" spans="1:19" ht="17.25" thickBot="1">
      <c r="A107" s="114" t="s">
        <v>75</v>
      </c>
      <c r="B107" s="115">
        <v>7910</v>
      </c>
      <c r="C107" s="72">
        <v>1.8999367000000001E-3</v>
      </c>
      <c r="D107" s="24">
        <v>7945</v>
      </c>
      <c r="E107" s="25">
        <f t="shared" si="50"/>
        <v>4.4247787610619468E-3</v>
      </c>
      <c r="F107" s="94">
        <f>IF(ISNUMBER(D107), $B118 * E107, "")</f>
        <v>663.71681415929197</v>
      </c>
      <c r="G107" s="92">
        <v>7945</v>
      </c>
      <c r="H107" s="25">
        <f t="shared" si="51"/>
        <v>4.4247787610619468E-3</v>
      </c>
      <c r="I107" s="93">
        <f>IF(ISNUMBER(G107), $B118 * H107, "")</f>
        <v>663.71681415929197</v>
      </c>
      <c r="J107" s="24">
        <v>7950</v>
      </c>
      <c r="K107" s="25">
        <f t="shared" si="52"/>
        <v>5.0568900126422255E-3</v>
      </c>
      <c r="L107" s="94">
        <f>IF(ISNUMBER(J107), $B118 * K107, "")</f>
        <v>758.53350189633386</v>
      </c>
      <c r="M107" s="92">
        <v>7880</v>
      </c>
      <c r="N107" s="25">
        <f t="shared" si="53"/>
        <v>-3.7926675094816687E-3</v>
      </c>
      <c r="O107" s="94">
        <f>IF(ISNUMBER(M107), $B118 * N107, "")</f>
        <v>-568.90012642225031</v>
      </c>
      <c r="Q107" s="170"/>
      <c r="R107" s="171"/>
      <c r="S107" s="172"/>
    </row>
    <row r="108" spans="1:19">
      <c r="A108" s="107" t="s">
        <v>344</v>
      </c>
      <c r="B108" s="108">
        <v>5385</v>
      </c>
      <c r="C108" s="69">
        <v>1.8604651E-3</v>
      </c>
      <c r="D108" s="13">
        <v>5085</v>
      </c>
      <c r="E108" s="14">
        <f>IF(ISNUMBER(D108), (D108 - $B108) / $B108, "")</f>
        <v>-5.5710306406685235E-2</v>
      </c>
      <c r="F108" s="16">
        <f>IF(ISNUMBER(D108), $B118 * E108, "")</f>
        <v>-8356.5459610027847</v>
      </c>
      <c r="G108" s="29">
        <v>5085</v>
      </c>
      <c r="H108" s="14">
        <f>IF(ISNUMBER(G108), (G108 - $B108) / $B108, "")</f>
        <v>-5.5710306406685235E-2</v>
      </c>
      <c r="I108" s="90">
        <f>IF(ISNUMBER(G108), $B118 * H108, "")</f>
        <v>-8356.5459610027847</v>
      </c>
      <c r="J108" s="13">
        <v>5095</v>
      </c>
      <c r="K108" s="14">
        <f>IF(ISNUMBER(J108), (J108 - $B108) / $B108, "")</f>
        <v>-5.3853296193129063E-2</v>
      </c>
      <c r="L108" s="16">
        <f>IF(ISNUMBER(J108), $B118 * K108, "")</f>
        <v>-8077.9944289693594</v>
      </c>
      <c r="M108" s="29">
        <v>5045</v>
      </c>
      <c r="N108" s="14">
        <f>IF(ISNUMBER(M108), (M108 - $B108) / $B108, "")</f>
        <v>-6.313834726090993E-2</v>
      </c>
      <c r="O108" s="16">
        <f>IF(ISNUMBER(M108), $B118 * N108, "")</f>
        <v>-9470.7520891364893</v>
      </c>
      <c r="Q108" s="173"/>
      <c r="R108" s="174"/>
      <c r="S108" s="175"/>
    </row>
    <row r="109" spans="1:19" ht="17.25" thickBot="1">
      <c r="A109" s="109" t="s">
        <v>136</v>
      </c>
      <c r="B109" s="110">
        <v>2775</v>
      </c>
      <c r="C109" s="70">
        <v>0</v>
      </c>
      <c r="D109" s="15">
        <v>2790</v>
      </c>
      <c r="E109" s="32">
        <f t="shared" ref="E109:E112" si="54">IF(ISNUMBER(D109), (D109 - $B109) / $B109, "")</f>
        <v>5.4054054054054057E-3</v>
      </c>
      <c r="F109" s="18">
        <f>IF(ISNUMBER(D109), $B118 * E109, "")</f>
        <v>810.81081081081084</v>
      </c>
      <c r="G109" s="31">
        <v>2790</v>
      </c>
      <c r="H109" s="32">
        <f t="shared" ref="H109:H112" si="55">IF(ISNUMBER(G109), (G109 - $B109) / $B109, "")</f>
        <v>5.4054054054054057E-3</v>
      </c>
      <c r="I109" s="91">
        <f>IF(ISNUMBER(G109), $B118 * H109, "")</f>
        <v>810.81081081081084</v>
      </c>
      <c r="J109" s="15">
        <v>2785</v>
      </c>
      <c r="K109" s="32">
        <f t="shared" ref="K109:K112" si="56">IF(ISNUMBER(J109), (J109 - $B109) / $B109, "")</f>
        <v>3.6036036036036037E-3</v>
      </c>
      <c r="L109" s="18">
        <f>IF(ISNUMBER(J109), $B118 * K109, "")</f>
        <v>540.54054054054052</v>
      </c>
      <c r="M109" s="31">
        <v>2775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176"/>
      <c r="R109" s="177"/>
      <c r="S109" s="178"/>
    </row>
    <row r="110" spans="1:19" ht="17.25" thickBot="1">
      <c r="A110" s="109" t="s">
        <v>97</v>
      </c>
      <c r="B110" s="110">
        <v>8.0000000000000004E-4</v>
      </c>
      <c r="C110" s="70">
        <v>0</v>
      </c>
      <c r="D110" s="15">
        <v>8.0000000000000004E-4</v>
      </c>
      <c r="E110" s="32">
        <f t="shared" si="54"/>
        <v>0</v>
      </c>
      <c r="F110" s="18">
        <f>IF(ISNUMBER(D110), $B118 * E110, "")</f>
        <v>0</v>
      </c>
      <c r="G110" s="31">
        <v>8.0000000000000004E-4</v>
      </c>
      <c r="H110" s="32">
        <f t="shared" si="55"/>
        <v>0</v>
      </c>
      <c r="I110" s="91">
        <f>IF(ISNUMBER(G110), $B118 * H110, "")</f>
        <v>0</v>
      </c>
      <c r="J110" s="15">
        <v>8.0000000000000004E-4</v>
      </c>
      <c r="K110" s="32">
        <f t="shared" si="56"/>
        <v>0</v>
      </c>
      <c r="L110" s="18">
        <f>IF(ISNUMBER(J110), $B118 * K110, "")</f>
        <v>0</v>
      </c>
      <c r="M110" s="31">
        <v>8.0000000000000004E-4</v>
      </c>
      <c r="N110" s="32">
        <f t="shared" si="57"/>
        <v>0</v>
      </c>
      <c r="O110" s="18">
        <f>IF(ISNUMBER(M110), $B118 * N110, "")</f>
        <v>0</v>
      </c>
      <c r="Q110" s="161"/>
      <c r="R110" s="161"/>
      <c r="S110" s="161"/>
    </row>
    <row r="111" spans="1:19" ht="17.25" thickBot="1">
      <c r="A111" s="109" t="s">
        <v>109</v>
      </c>
      <c r="B111" s="110">
        <v>995</v>
      </c>
      <c r="C111" s="70">
        <v>-1.0040161E-3</v>
      </c>
      <c r="D111" s="15">
        <v>1000</v>
      </c>
      <c r="E111" s="32">
        <f t="shared" si="54"/>
        <v>5.0251256281407036E-3</v>
      </c>
      <c r="F111" s="18">
        <f>IF(ISNUMBER(D111), $B118 * E111, "")</f>
        <v>753.7688442211055</v>
      </c>
      <c r="G111" s="31">
        <v>1000</v>
      </c>
      <c r="H111" s="32">
        <f t="shared" si="55"/>
        <v>5.0251256281407036E-3</v>
      </c>
      <c r="I111" s="91">
        <f>IF(ISNUMBER(G111), $B118 * H111, "")</f>
        <v>753.7688442211055</v>
      </c>
      <c r="J111" s="15">
        <v>1005</v>
      </c>
      <c r="K111" s="32">
        <f t="shared" si="56"/>
        <v>1.0050251256281407E-2</v>
      </c>
      <c r="L111" s="18">
        <f>IF(ISNUMBER(J111), $B118 * K111, "")</f>
        <v>1507.537688442211</v>
      </c>
      <c r="M111" s="31">
        <v>1000</v>
      </c>
      <c r="N111" s="32">
        <f t="shared" si="57"/>
        <v>5.0251256281407036E-3</v>
      </c>
      <c r="O111" s="18">
        <f>IF(ISNUMBER(M111), $B118 * N111, "")</f>
        <v>753.7688442211055</v>
      </c>
      <c r="Q111" s="156"/>
      <c r="R111" s="156"/>
      <c r="S111" s="156"/>
    </row>
    <row r="112" spans="1:19" ht="17.25" thickBot="1">
      <c r="A112" s="111" t="s">
        <v>145</v>
      </c>
      <c r="B112" s="112">
        <v>71.2</v>
      </c>
      <c r="C112" s="71">
        <v>-1.4025245E-3</v>
      </c>
      <c r="D112" s="20">
        <v>71</v>
      </c>
      <c r="E112" s="21">
        <f t="shared" si="54"/>
        <v>-2.8089887640449836E-3</v>
      </c>
      <c r="F112" s="22">
        <f>IF(ISNUMBER(D112), $B118 * E112, "")</f>
        <v>-421.34831460674752</v>
      </c>
      <c r="G112" s="30">
        <v>71</v>
      </c>
      <c r="H112" s="21">
        <f t="shared" si="55"/>
        <v>-2.8089887640449836E-3</v>
      </c>
      <c r="I112" s="95">
        <f>IF(ISNUMBER(G112), $B118 * H112, "")</f>
        <v>-421.34831460674752</v>
      </c>
      <c r="J112" s="20">
        <v>71</v>
      </c>
      <c r="K112" s="21">
        <f t="shared" si="56"/>
        <v>-2.8089887640449836E-3</v>
      </c>
      <c r="L112" s="22">
        <f>IF(ISNUMBER(J112), $B118 * K112, "")</f>
        <v>-421.34831460674752</v>
      </c>
      <c r="M112" s="30">
        <v>70.900000000000006</v>
      </c>
      <c r="N112" s="21">
        <f t="shared" si="57"/>
        <v>-4.2134831460673757E-3</v>
      </c>
      <c r="O112" s="22">
        <f>IF(ISNUMBER(M112), $B118 * N112, "")</f>
        <v>-632.02247191010633</v>
      </c>
      <c r="Q112" s="156"/>
      <c r="R112" s="156"/>
      <c r="S112" s="156"/>
    </row>
    <row r="113" spans="1:19" ht="17.25" thickBot="1">
      <c r="A113" s="109" t="s">
        <v>236</v>
      </c>
      <c r="B113" s="113">
        <v>2835</v>
      </c>
      <c r="C113" s="73">
        <v>-1.7605634000000001E-3</v>
      </c>
      <c r="D113" s="96">
        <v>2935</v>
      </c>
      <c r="E113" s="97">
        <f>IF(ISNUMBER(D113), (D113 - $B113) / $B113, "")</f>
        <v>3.5273368606701938E-2</v>
      </c>
      <c r="F113" s="98">
        <f>IF(ISNUMBER(D113), $B118 * E113, "")</f>
        <v>5291.0052910052909</v>
      </c>
      <c r="G113" s="99">
        <v>2935</v>
      </c>
      <c r="H113" s="97">
        <f>IF(ISNUMBER(G113), (G113 - $B113) / $B113, "")</f>
        <v>3.5273368606701938E-2</v>
      </c>
      <c r="I113" s="100">
        <f>IF(ISNUMBER(G113), $B118 * H113, "")</f>
        <v>5291.0052910052909</v>
      </c>
      <c r="J113" s="96">
        <v>2935</v>
      </c>
      <c r="K113" s="97">
        <f>IF(ISNUMBER(J113), (J113 - $B113) / $B113, "")</f>
        <v>3.5273368606701938E-2</v>
      </c>
      <c r="L113" s="98">
        <f>IF(ISNUMBER(J113), $B118 * K113, "")</f>
        <v>5291.0052910052909</v>
      </c>
      <c r="M113" s="99">
        <v>2925</v>
      </c>
      <c r="N113" s="97">
        <f>IF(ISNUMBER(M113), (M113 - $B113) / $B113, "")</f>
        <v>3.1746031746031744E-2</v>
      </c>
      <c r="O113" s="98">
        <f>IF(ISNUMBER(M113), $B118 * N113, "")</f>
        <v>4761.9047619047615</v>
      </c>
      <c r="Q113" s="161"/>
      <c r="R113" s="161"/>
      <c r="S113" s="161"/>
    </row>
    <row r="114" spans="1:19" ht="17.25" thickBot="1">
      <c r="A114" s="109" t="s">
        <v>322</v>
      </c>
      <c r="B114" s="110">
        <v>73710</v>
      </c>
      <c r="C114" s="70">
        <v>-2.3010286999999999E-3</v>
      </c>
      <c r="D114" s="15">
        <v>73170</v>
      </c>
      <c r="E114" s="32">
        <f t="shared" ref="E114:E117" si="58">IF(ISNUMBER(D114), (D114 - $B114) / $B114, "")</f>
        <v>-7.326007326007326E-3</v>
      </c>
      <c r="F114" s="18">
        <f>IF(ISNUMBER(D114), $B118 * E114, "")</f>
        <v>-1098.901098901099</v>
      </c>
      <c r="G114" s="31">
        <v>73170</v>
      </c>
      <c r="H114" s="32">
        <f t="shared" ref="H114:H117" si="59">IF(ISNUMBER(G114), (G114 - $B114) / $B114, "")</f>
        <v>-7.326007326007326E-3</v>
      </c>
      <c r="I114" s="91">
        <f>IF(ISNUMBER(G114), $B118 * H114, "")</f>
        <v>-1098.901098901099</v>
      </c>
      <c r="J114" s="15">
        <v>73170</v>
      </c>
      <c r="K114" s="32">
        <f t="shared" ref="K114:K117" si="60">IF(ISNUMBER(J114), (J114 - $B114) / $B114, "")</f>
        <v>-7.326007326007326E-3</v>
      </c>
      <c r="L114" s="18">
        <f>IF(ISNUMBER(J114), $B118 * K114, "")</f>
        <v>-1098.901098901099</v>
      </c>
      <c r="M114" s="31">
        <v>72280</v>
      </c>
      <c r="N114" s="32">
        <f t="shared" ref="N114:N117" si="61">IF(ISNUMBER(M114), (M114 - $B114) / $B114, "")</f>
        <v>-1.9400352733686066E-2</v>
      </c>
      <c r="O114" s="18">
        <f>IF(ISNUMBER(M114), $B118 * N114, "")</f>
        <v>-2910.0529100529097</v>
      </c>
      <c r="Q114" s="161"/>
      <c r="R114" s="161"/>
      <c r="S114" s="161"/>
    </row>
    <row r="115" spans="1:19" ht="17.25" thickBot="1">
      <c r="A115" s="109" t="s">
        <v>60</v>
      </c>
      <c r="B115" s="110">
        <v>431</v>
      </c>
      <c r="C115" s="70">
        <v>-2.3148147999999999E-3</v>
      </c>
      <c r="D115" s="15">
        <v>411</v>
      </c>
      <c r="E115" s="32">
        <f t="shared" si="58"/>
        <v>-4.6403712296983757E-2</v>
      </c>
      <c r="F115" s="18">
        <f>IF(ISNUMBER(D115), $B118 * E115, "")</f>
        <v>-6960.5568445475637</v>
      </c>
      <c r="G115" s="31">
        <v>411</v>
      </c>
      <c r="H115" s="32">
        <f t="shared" si="59"/>
        <v>-4.6403712296983757E-2</v>
      </c>
      <c r="I115" s="91">
        <f>IF(ISNUMBER(G115), $B118 * H115, "")</f>
        <v>-6960.5568445475637</v>
      </c>
      <c r="J115" s="15">
        <v>412</v>
      </c>
      <c r="K115" s="32">
        <f t="shared" si="60"/>
        <v>-4.4083526682134569E-2</v>
      </c>
      <c r="L115" s="18">
        <f>IF(ISNUMBER(J115), $B118 * K115, "")</f>
        <v>-6612.5290023201851</v>
      </c>
      <c r="M115" s="31">
        <v>409</v>
      </c>
      <c r="N115" s="32">
        <f t="shared" si="61"/>
        <v>-5.1044083526682132E-2</v>
      </c>
      <c r="O115" s="18">
        <f>IF(ISNUMBER(M115), $B118 * N115, "")</f>
        <v>-7656.6125290023201</v>
      </c>
      <c r="Q115" s="161"/>
      <c r="R115" s="161"/>
      <c r="S115" s="161"/>
    </row>
    <row r="116" spans="1:19">
      <c r="A116" s="109" t="s">
        <v>73</v>
      </c>
      <c r="B116" s="110">
        <v>11710</v>
      </c>
      <c r="C116" s="70">
        <v>-2.5553663E-3</v>
      </c>
      <c r="D116" s="15">
        <v>11680</v>
      </c>
      <c r="E116" s="32">
        <f t="shared" si="58"/>
        <v>-2.5619128949615714E-3</v>
      </c>
      <c r="F116" s="18">
        <f>IF(ISNUMBER(D116), $B118 * E116, "")</f>
        <v>-384.28693424423568</v>
      </c>
      <c r="G116" s="31">
        <v>11680</v>
      </c>
      <c r="H116" s="32">
        <f t="shared" si="59"/>
        <v>-2.5619128949615714E-3</v>
      </c>
      <c r="I116" s="91">
        <f>IF(ISNUMBER(G116), $B118 * H116, "")</f>
        <v>-384.28693424423568</v>
      </c>
      <c r="J116" s="15">
        <v>11680</v>
      </c>
      <c r="K116" s="32">
        <f t="shared" si="60"/>
        <v>-2.5619128949615714E-3</v>
      </c>
      <c r="L116" s="18">
        <f>IF(ISNUMBER(J116), $B118 * K116, "")</f>
        <v>-384.28693424423568</v>
      </c>
      <c r="M116" s="31">
        <v>11600</v>
      </c>
      <c r="N116" s="32">
        <f t="shared" si="61"/>
        <v>-9.3936806148590939E-3</v>
      </c>
      <c r="O116" s="18">
        <f>IF(ISNUMBER(M116), $B118 * N116, "")</f>
        <v>-1409.052092228864</v>
      </c>
      <c r="Q116" s="183"/>
      <c r="R116" s="184"/>
      <c r="S116" s="185"/>
    </row>
    <row r="117" spans="1:19" ht="17.25" thickBot="1">
      <c r="A117" s="114" t="s">
        <v>130</v>
      </c>
      <c r="B117" s="115">
        <v>703</v>
      </c>
      <c r="C117" s="72">
        <v>-2.8368794000000002E-3</v>
      </c>
      <c r="D117" s="24">
        <v>701</v>
      </c>
      <c r="E117" s="25">
        <f t="shared" si="58"/>
        <v>-2.8449502133712661E-3</v>
      </c>
      <c r="F117" s="94">
        <f>IF(ISNUMBER(D117), $B118 * E117, "")</f>
        <v>-426.7425320056899</v>
      </c>
      <c r="G117" s="92">
        <v>701</v>
      </c>
      <c r="H117" s="25">
        <f t="shared" si="59"/>
        <v>-2.8449502133712661E-3</v>
      </c>
      <c r="I117" s="93">
        <f>IF(ISNUMBER(G117), $B118 * H117, "")</f>
        <v>-426.7425320056899</v>
      </c>
      <c r="J117" s="24">
        <v>702</v>
      </c>
      <c r="K117" s="25">
        <f t="shared" si="60"/>
        <v>-1.4224751066856331E-3</v>
      </c>
      <c r="L117" s="94">
        <f>IF(ISNUMBER(J117), $B118 * K117, "")</f>
        <v>-213.37126600284495</v>
      </c>
      <c r="M117" s="92">
        <v>692</v>
      </c>
      <c r="N117" s="25">
        <f t="shared" si="61"/>
        <v>-1.5647226173541962E-2</v>
      </c>
      <c r="O117" s="94">
        <f>IF(ISNUMBER(M117), $B118 * N117, "")</f>
        <v>-2347.0839260312941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-1.4831635120074061E-2</v>
      </c>
      <c r="F118" s="28">
        <f>SUM(F98:F117)</f>
        <v>-44494.905360222161</v>
      </c>
      <c r="G118" s="26" t="s">
        <v>261</v>
      </c>
      <c r="H118" s="27">
        <f>IF(COUNT(H98:H117), SUM(H98:H117) / COUNT(H98:H117), 0)</f>
        <v>-1.4831635120074061E-2</v>
      </c>
      <c r="I118" s="28">
        <f>SUM(I98:I117)</f>
        <v>-44494.905360222161</v>
      </c>
      <c r="J118" s="26" t="s">
        <v>261</v>
      </c>
      <c r="K118" s="27">
        <f>IF(COUNT(K98:K117), SUM(K98:K117) / COUNT(K98:K117), 0)</f>
        <v>-1.3587003888330357E-2</v>
      </c>
      <c r="L118" s="28">
        <f>SUM(L98:L117)</f>
        <v>-40761.011664991063</v>
      </c>
      <c r="M118" s="26" t="s">
        <v>261</v>
      </c>
      <c r="N118" s="27">
        <f>IF(COUNT(N98:N117), SUM(N98:N117) / COUNT(N98:N117), 0)</f>
        <v>-2.07140157558201E-2</v>
      </c>
      <c r="O118" s="28">
        <f>SUM(O98:O117)</f>
        <v>-62142.047267460308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2022-12-20(화) 오전 00:00</v>
      </c>
      <c r="C123" s="199"/>
      <c r="D123" s="158" t="str">
        <f>TEXT($G$1, "[$-ko-KR]yyyy-mm-dd(ddd) ") &amp; "오후 14:00"</f>
        <v>2022-12-20(화) 오후 14:00</v>
      </c>
      <c r="E123" s="159"/>
      <c r="F123" s="160"/>
      <c r="G123" s="158" t="str">
        <f>TEXT($G$1, "[$-ko-KR]yyyy-mm-dd(ddd) ") &amp; "오후 19:00"</f>
        <v>2022-12-20(화) 오후 19:00</v>
      </c>
      <c r="H123" s="159"/>
      <c r="I123" s="160"/>
      <c r="J123" s="158" t="str">
        <f>TEXT($G$1, "[$-ko-KR]yyyy-mm-dd(ddd) ") &amp; "오후 21:00"</f>
        <v>2022-12-20(화) 오후 21:00</v>
      </c>
      <c r="K123" s="159"/>
      <c r="L123" s="160"/>
      <c r="M123" s="158" t="str">
        <f>TEXT($G$1+1, "[$-ko-KR]yyyy-mm-dd(ddd) ") &amp; "오전 00:00"</f>
        <v>2022-12-21(수)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124</v>
      </c>
      <c r="B125" s="108">
        <v>28.9</v>
      </c>
      <c r="C125" s="69">
        <v>-2.3648648599999999E-2</v>
      </c>
      <c r="D125" s="13">
        <v>29.3</v>
      </c>
      <c r="E125" s="14">
        <f>IF(ISNUMBER(D125), (D125 - $B125) / $B125, "")</f>
        <v>1.3840830449827065E-2</v>
      </c>
      <c r="F125" s="16">
        <f>IF(ISNUMBER(D125), $B145 * E125, "")</f>
        <v>2076.1245674740599</v>
      </c>
      <c r="G125" s="29">
        <v>29.3</v>
      </c>
      <c r="H125" s="14">
        <f>IF(ISNUMBER(G125), (G125 - $B125) / $B125, "")</f>
        <v>1.3840830449827065E-2</v>
      </c>
      <c r="I125" s="90">
        <f>IF(ISNUMBER(G125), $B145 * H125, "")</f>
        <v>2076.1245674740599</v>
      </c>
      <c r="J125" s="13">
        <v>29.4</v>
      </c>
      <c r="K125" s="14">
        <f>IF(ISNUMBER(J125), (J125 - $B125) / $B125, "")</f>
        <v>1.7301038062283738E-2</v>
      </c>
      <c r="L125" s="16">
        <f>IF(ISNUMBER(J125), $B145 * K125, "")</f>
        <v>2595.1557093425608</v>
      </c>
      <c r="M125" s="29">
        <v>29.2</v>
      </c>
      <c r="N125" s="14">
        <f>IF(ISNUMBER(M125), (M125 - $B125) / $B125, "")</f>
        <v>1.0380622837370268E-2</v>
      </c>
      <c r="O125" s="16">
        <f>IF(ISNUMBER(M125), $B145 * N125, "")</f>
        <v>1557.0934256055402</v>
      </c>
      <c r="Q125" s="156"/>
      <c r="R125" s="156"/>
      <c r="S125" s="156"/>
    </row>
    <row r="126" spans="1:19" ht="17.25" thickBot="1">
      <c r="A126" s="109" t="s">
        <v>335</v>
      </c>
      <c r="B126" s="110">
        <v>3.2199999999999999E-2</v>
      </c>
      <c r="C126" s="70">
        <v>-2.4242424200000001E-2</v>
      </c>
      <c r="D126" s="15">
        <v>3.15E-2</v>
      </c>
      <c r="E126" s="32">
        <f t="shared" ref="E126:E129" si="62">IF(ISNUMBER(D126), (D126 - $B126) / $B126, "")</f>
        <v>-2.1739130434782584E-2</v>
      </c>
      <c r="F126" s="18">
        <f>IF(ISNUMBER(D126), $B145 * E126, "")</f>
        <v>-3260.8695652173874</v>
      </c>
      <c r="G126" s="31">
        <v>3.15E-2</v>
      </c>
      <c r="H126" s="32">
        <f t="shared" ref="H126:H129" si="63">IF(ISNUMBER(G126), (G126 - $B126) / $B126, "")</f>
        <v>-2.1739130434782584E-2</v>
      </c>
      <c r="I126" s="91">
        <f>IF(ISNUMBER(G126), $B145 * H126, "")</f>
        <v>-3260.8695652173874</v>
      </c>
      <c r="J126" s="15">
        <v>3.1300000000000001E-2</v>
      </c>
      <c r="K126" s="32">
        <f t="shared" ref="K126:K129" si="64">IF(ISNUMBER(J126), (J126 - $B126) / $B126, "")</f>
        <v>-2.7950310559006149E-2</v>
      </c>
      <c r="L126" s="18">
        <f>IF(ISNUMBER(J126), $B145 * K126, "")</f>
        <v>-4192.5465838509226</v>
      </c>
      <c r="M126" s="31">
        <v>3.1300000000000001E-2</v>
      </c>
      <c r="N126" s="32">
        <f t="shared" ref="N126:N129" si="65">IF(ISNUMBER(M126), (M126 - $B126) / $B126, "")</f>
        <v>-2.7950310559006149E-2</v>
      </c>
      <c r="O126" s="18">
        <f>IF(ISNUMBER(M126), $B145 * N126, "")</f>
        <v>-4192.5465838509226</v>
      </c>
      <c r="Q126" s="156"/>
      <c r="R126" s="156"/>
      <c r="S126" s="156"/>
    </row>
    <row r="127" spans="1:19" ht="17.25" thickBot="1">
      <c r="A127" s="109" t="s">
        <v>230</v>
      </c>
      <c r="B127" s="110">
        <v>35.9</v>
      </c>
      <c r="C127" s="70">
        <v>-2.4456521700000001E-2</v>
      </c>
      <c r="D127" s="15">
        <v>35.700000000000003</v>
      </c>
      <c r="E127" s="32">
        <f t="shared" si="62"/>
        <v>-5.5710306406684049E-3</v>
      </c>
      <c r="F127" s="18">
        <f>IF(ISNUMBER(D127), $B145 * E127, "")</f>
        <v>-835.65459610026073</v>
      </c>
      <c r="G127" s="31">
        <v>35.700000000000003</v>
      </c>
      <c r="H127" s="32">
        <f t="shared" si="63"/>
        <v>-5.5710306406684049E-3</v>
      </c>
      <c r="I127" s="91">
        <f>IF(ISNUMBER(G127), $B145 * H127, "")</f>
        <v>-835.65459610026073</v>
      </c>
      <c r="J127" s="15">
        <v>35.700000000000003</v>
      </c>
      <c r="K127" s="32">
        <f t="shared" si="64"/>
        <v>-5.5710306406684049E-3</v>
      </c>
      <c r="L127" s="18">
        <f>IF(ISNUMBER(J127), $B145 * K127, "")</f>
        <v>-835.65459610026073</v>
      </c>
      <c r="M127" s="31">
        <v>35.6</v>
      </c>
      <c r="N127" s="32">
        <f t="shared" si="65"/>
        <v>-8.3565459610027062E-3</v>
      </c>
      <c r="O127" s="18">
        <f>IF(ISNUMBER(M127), $B145 * N127, "")</f>
        <v>-1253.4818941504059</v>
      </c>
      <c r="Q127" s="161"/>
      <c r="R127" s="161"/>
      <c r="S127" s="161"/>
    </row>
    <row r="128" spans="1:19" ht="17.25" thickBot="1">
      <c r="A128" s="109" t="s">
        <v>141</v>
      </c>
      <c r="B128" s="110">
        <v>3.15</v>
      </c>
      <c r="C128" s="70">
        <v>-2.4767801900000001E-2</v>
      </c>
      <c r="D128" s="15">
        <v>3.19</v>
      </c>
      <c r="E128" s="32">
        <f t="shared" si="62"/>
        <v>1.2698412698412711E-2</v>
      </c>
      <c r="F128" s="18">
        <f>IF(ISNUMBER(D128), $B145 * E128, "")</f>
        <v>1904.7619047619066</v>
      </c>
      <c r="G128" s="31">
        <v>3.19</v>
      </c>
      <c r="H128" s="32">
        <f t="shared" si="63"/>
        <v>1.2698412698412711E-2</v>
      </c>
      <c r="I128" s="91">
        <f>IF(ISNUMBER(G128), $B145 * H128, "")</f>
        <v>1904.7619047619066</v>
      </c>
      <c r="J128" s="15">
        <v>3.18</v>
      </c>
      <c r="K128" s="32">
        <f t="shared" si="64"/>
        <v>9.5238095238096027E-3</v>
      </c>
      <c r="L128" s="18">
        <f>IF(ISNUMBER(J128), $B145 * K128, "")</f>
        <v>1428.5714285714405</v>
      </c>
      <c r="M128" s="31">
        <v>3.12</v>
      </c>
      <c r="N128" s="32">
        <f t="shared" si="65"/>
        <v>-9.5238095238094622E-3</v>
      </c>
      <c r="O128" s="18">
        <f>IF(ISNUMBER(M128), $B145 * N128, "")</f>
        <v>-1428.5714285714193</v>
      </c>
      <c r="Q128" s="161"/>
      <c r="R128" s="161"/>
      <c r="S128" s="161"/>
    </row>
    <row r="129" spans="1:19" ht="17.25" thickBot="1">
      <c r="A129" s="111" t="s">
        <v>224</v>
      </c>
      <c r="B129" s="112">
        <v>18.399999999999999</v>
      </c>
      <c r="C129" s="71">
        <v>-2.6455026499999999E-2</v>
      </c>
      <c r="D129" s="20">
        <v>18.5</v>
      </c>
      <c r="E129" s="21">
        <f t="shared" si="62"/>
        <v>5.4347826086957301E-3</v>
      </c>
      <c r="F129" s="22">
        <f>IF(ISNUMBER(D129), $B145 * E129, "")</f>
        <v>815.21739130435947</v>
      </c>
      <c r="G129" s="30">
        <v>18.5</v>
      </c>
      <c r="H129" s="21">
        <f t="shared" si="63"/>
        <v>5.4347826086957301E-3</v>
      </c>
      <c r="I129" s="95">
        <f>IF(ISNUMBER(G129), $B145 * H129, "")</f>
        <v>815.21739130435947</v>
      </c>
      <c r="J129" s="20">
        <v>18.5</v>
      </c>
      <c r="K129" s="21">
        <f t="shared" si="64"/>
        <v>5.4347826086957301E-3</v>
      </c>
      <c r="L129" s="22">
        <f>IF(ISNUMBER(J129), $B145 * K129, "")</f>
        <v>815.21739130435947</v>
      </c>
      <c r="M129" s="30">
        <v>18.5</v>
      </c>
      <c r="N129" s="21">
        <f t="shared" si="65"/>
        <v>5.4347826086957301E-3</v>
      </c>
      <c r="O129" s="22">
        <f>IF(ISNUMBER(M129), $B145 * N129, "")</f>
        <v>815.21739130435947</v>
      </c>
      <c r="Q129" s="161"/>
      <c r="R129" s="161"/>
      <c r="S129" s="161"/>
    </row>
    <row r="130" spans="1:19" ht="17.25" thickBot="1">
      <c r="A130" s="109" t="s">
        <v>193</v>
      </c>
      <c r="B130" s="113">
        <v>17.399999999999999</v>
      </c>
      <c r="C130" s="73">
        <v>-2.7932960900000001E-2</v>
      </c>
      <c r="D130" s="96">
        <v>17.2</v>
      </c>
      <c r="E130" s="97">
        <f>IF(ISNUMBER(D130), (D130 - $B130) / $B130, "")</f>
        <v>-1.1494252873563178E-2</v>
      </c>
      <c r="F130" s="98">
        <f>IF(ISNUMBER(D130), $B145 * E130, "")</f>
        <v>-1724.1379310344767</v>
      </c>
      <c r="G130" s="99">
        <v>17.2</v>
      </c>
      <c r="H130" s="97">
        <f>IF(ISNUMBER(G130), (G130 - $B130) / $B130, "")</f>
        <v>-1.1494252873563178E-2</v>
      </c>
      <c r="I130" s="100">
        <f>IF(ISNUMBER(G130), $B145 * H130, "")</f>
        <v>-1724.1379310344767</v>
      </c>
      <c r="J130" s="96">
        <v>17.2</v>
      </c>
      <c r="K130" s="97">
        <f>IF(ISNUMBER(J130), (J130 - $B130) / $B130, "")</f>
        <v>-1.1494252873563178E-2</v>
      </c>
      <c r="L130" s="98">
        <f>IF(ISNUMBER(J130), $B145 * K130, "")</f>
        <v>-1724.1379310344767</v>
      </c>
      <c r="M130" s="99">
        <v>17</v>
      </c>
      <c r="N130" s="97">
        <f>IF(ISNUMBER(M130), (M130 - $B130) / $B130, "")</f>
        <v>-2.2988505747126357E-2</v>
      </c>
      <c r="O130" s="98">
        <f>IF(ISNUMBER(M130), $B145 * N130, "")</f>
        <v>-3448.2758620689533</v>
      </c>
      <c r="Q130" s="161"/>
      <c r="R130" s="161"/>
      <c r="S130" s="161"/>
    </row>
    <row r="131" spans="1:19" ht="17.25" thickBot="1">
      <c r="A131" s="109" t="s">
        <v>212</v>
      </c>
      <c r="B131" s="110">
        <v>75.099999999999994</v>
      </c>
      <c r="C131" s="70">
        <v>-2.8460543299999998E-2</v>
      </c>
      <c r="D131" s="15">
        <v>74.900000000000006</v>
      </c>
      <c r="E131" s="32">
        <f t="shared" ref="E131:E134" si="66">IF(ISNUMBER(D131), (D131 - $B131) / $B131, "")</f>
        <v>-2.6631158455391298E-3</v>
      </c>
      <c r="F131" s="18">
        <f>IF(ISNUMBER(D131), $B145 * E131, "")</f>
        <v>-399.46737683086945</v>
      </c>
      <c r="G131" s="31">
        <v>74.900000000000006</v>
      </c>
      <c r="H131" s="32">
        <f t="shared" ref="H131:H134" si="67">IF(ISNUMBER(G131), (G131 - $B131) / $B131, "")</f>
        <v>-2.6631158455391298E-3</v>
      </c>
      <c r="I131" s="91">
        <f>IF(ISNUMBER(G131), $B145 * H131, "")</f>
        <v>-399.46737683086945</v>
      </c>
      <c r="J131" s="15">
        <v>75.400000000000006</v>
      </c>
      <c r="K131" s="32">
        <f t="shared" ref="K131:K134" si="68">IF(ISNUMBER(J131), (J131 - $B131) / $B131, "")</f>
        <v>3.9946737683090733E-3</v>
      </c>
      <c r="L131" s="18">
        <f>IF(ISNUMBER(J131), $B145 * K131, "")</f>
        <v>599.20106524636094</v>
      </c>
      <c r="M131" s="31">
        <v>74.8</v>
      </c>
      <c r="N131" s="32">
        <f t="shared" ref="N131:N134" si="69">IF(ISNUMBER(M131), (M131 - $B131) / $B131, "")</f>
        <v>-3.9946737683088842E-3</v>
      </c>
      <c r="O131" s="18">
        <f>IF(ISNUMBER(M131), $B145 * N131, "")</f>
        <v>-599.20106524633263</v>
      </c>
      <c r="Q131" s="161"/>
      <c r="R131" s="161"/>
      <c r="S131" s="161"/>
    </row>
    <row r="132" spans="1:19" ht="17.25" thickBot="1">
      <c r="A132" s="109" t="s">
        <v>185</v>
      </c>
      <c r="B132" s="110">
        <v>27</v>
      </c>
      <c r="C132" s="70">
        <v>-2.87769784E-2</v>
      </c>
      <c r="D132" s="15">
        <v>26.8</v>
      </c>
      <c r="E132" s="32">
        <f t="shared" si="66"/>
        <v>-7.4074074074073808E-3</v>
      </c>
      <c r="F132" s="18">
        <f>IF(ISNUMBER(D132), $B145 * E132, "")</f>
        <v>-1111.1111111111072</v>
      </c>
      <c r="G132" s="31">
        <v>26.8</v>
      </c>
      <c r="H132" s="32">
        <f t="shared" si="67"/>
        <v>-7.4074074074073808E-3</v>
      </c>
      <c r="I132" s="91">
        <f>IF(ISNUMBER(G132), $B145 * H132, "")</f>
        <v>-1111.1111111111072</v>
      </c>
      <c r="J132" s="15">
        <v>26.7</v>
      </c>
      <c r="K132" s="32">
        <f t="shared" si="68"/>
        <v>-1.1111111111111138E-2</v>
      </c>
      <c r="L132" s="18">
        <f>IF(ISNUMBER(J132), $B145 * K132, "")</f>
        <v>-1666.6666666666706</v>
      </c>
      <c r="M132" s="31">
        <v>26.7</v>
      </c>
      <c r="N132" s="32">
        <f t="shared" si="69"/>
        <v>-1.1111111111111138E-2</v>
      </c>
      <c r="O132" s="18">
        <f>IF(ISNUMBER(M132), $B145 * N132, "")</f>
        <v>-1666.6666666666706</v>
      </c>
      <c r="Q132" s="161"/>
      <c r="R132" s="161"/>
      <c r="S132" s="161"/>
    </row>
    <row r="133" spans="1:19" ht="17.25" thickBot="1">
      <c r="A133" s="109" t="s">
        <v>118</v>
      </c>
      <c r="B133" s="110">
        <v>5.37</v>
      </c>
      <c r="C133" s="70">
        <v>-2.89330922E-2</v>
      </c>
      <c r="D133" s="15">
        <v>5.4</v>
      </c>
      <c r="E133" s="32">
        <f t="shared" si="66"/>
        <v>5.5865921787709959E-3</v>
      </c>
      <c r="F133" s="18">
        <f>IF(ISNUMBER(D133), $B145 * E133, "")</f>
        <v>837.98882681564942</v>
      </c>
      <c r="G133" s="31">
        <v>5.4</v>
      </c>
      <c r="H133" s="32">
        <f t="shared" si="67"/>
        <v>5.5865921787709959E-3</v>
      </c>
      <c r="I133" s="91">
        <f>IF(ISNUMBER(G133), $B145 * H133, "")</f>
        <v>837.98882681564942</v>
      </c>
      <c r="J133" s="15">
        <v>5.39</v>
      </c>
      <c r="K133" s="32">
        <f t="shared" si="68"/>
        <v>3.7243947858472204E-3</v>
      </c>
      <c r="L133" s="18">
        <f>IF(ISNUMBER(J133), $B145 * K133, "")</f>
        <v>558.65921787708305</v>
      </c>
      <c r="M133" s="31">
        <v>5.37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14" t="s">
        <v>191</v>
      </c>
      <c r="B134" s="115">
        <v>50.8</v>
      </c>
      <c r="C134" s="72">
        <v>-3.2380952400000003E-2</v>
      </c>
      <c r="D134" s="24">
        <v>52.1</v>
      </c>
      <c r="E134" s="25">
        <f t="shared" si="66"/>
        <v>2.5590551181102449E-2</v>
      </c>
      <c r="F134" s="94">
        <f>IF(ISNUMBER(D134), $B145 * E134, "")</f>
        <v>3838.5826771653674</v>
      </c>
      <c r="G134" s="92">
        <v>52.1</v>
      </c>
      <c r="H134" s="25">
        <f t="shared" si="67"/>
        <v>2.5590551181102449E-2</v>
      </c>
      <c r="I134" s="93">
        <f>IF(ISNUMBER(G134), $B145 * H134, "")</f>
        <v>3838.5826771653674</v>
      </c>
      <c r="J134" s="24">
        <v>52.1</v>
      </c>
      <c r="K134" s="25">
        <f t="shared" si="68"/>
        <v>2.5590551181102449E-2</v>
      </c>
      <c r="L134" s="94">
        <f>IF(ISNUMBER(J134), $B145 * K134, "")</f>
        <v>3838.5826771653674</v>
      </c>
      <c r="M134" s="92">
        <v>51.6</v>
      </c>
      <c r="N134" s="25">
        <f t="shared" si="69"/>
        <v>1.5748031496063079E-2</v>
      </c>
      <c r="O134" s="94">
        <f>IF(ISNUMBER(M134), $B145 * N134, "")</f>
        <v>2362.204724409462</v>
      </c>
      <c r="Q134" s="170"/>
      <c r="R134" s="171"/>
      <c r="S134" s="172"/>
    </row>
    <row r="135" spans="1:19">
      <c r="A135" s="107" t="s">
        <v>155</v>
      </c>
      <c r="B135" s="108">
        <v>26.7</v>
      </c>
      <c r="C135" s="69">
        <v>-3.2608695700000002E-2</v>
      </c>
      <c r="D135" s="13">
        <v>27</v>
      </c>
      <c r="E135" s="14">
        <f>IF(ISNUMBER(D135), (D135 - $B135) / $B135, "")</f>
        <v>1.1235955056179803E-2</v>
      </c>
      <c r="F135" s="16">
        <f>IF(ISNUMBER(D135), $B145 * E135, "")</f>
        <v>1685.3932584269703</v>
      </c>
      <c r="G135" s="29">
        <v>27</v>
      </c>
      <c r="H135" s="14">
        <f>IF(ISNUMBER(G135), (G135 - $B135) / $B135, "")</f>
        <v>1.1235955056179803E-2</v>
      </c>
      <c r="I135" s="90">
        <f>IF(ISNUMBER(G135), $B145 * H135, "")</f>
        <v>1685.3932584269703</v>
      </c>
      <c r="J135" s="13">
        <v>27.1</v>
      </c>
      <c r="K135" s="14">
        <f>IF(ISNUMBER(J135), (J135 - $B135) / $B135, "")</f>
        <v>1.498127340823978E-2</v>
      </c>
      <c r="L135" s="16">
        <f>IF(ISNUMBER(J135), $B145 * K135, "")</f>
        <v>2247.1910112359669</v>
      </c>
      <c r="M135" s="29">
        <v>26.9</v>
      </c>
      <c r="N135" s="14">
        <f>IF(ISNUMBER(M135), (M135 - $B135) / $B135, "")</f>
        <v>7.4906367041198234E-3</v>
      </c>
      <c r="O135" s="16">
        <f>IF(ISNUMBER(M135), $B145 * N135, "")</f>
        <v>1123.5955056179735</v>
      </c>
      <c r="Q135" s="173"/>
      <c r="R135" s="174"/>
      <c r="S135" s="175"/>
    </row>
    <row r="136" spans="1:19" ht="17.25" thickBot="1">
      <c r="A136" s="109" t="s">
        <v>132</v>
      </c>
      <c r="B136" s="110">
        <v>46.8</v>
      </c>
      <c r="C136" s="70">
        <v>-3.3057851200000002E-2</v>
      </c>
      <c r="D136" s="15">
        <v>47.2</v>
      </c>
      <c r="E136" s="32">
        <f t="shared" ref="E136:E139" si="70">IF(ISNUMBER(D136), (D136 - $B136) / $B136, "")</f>
        <v>8.5470085470086693E-3</v>
      </c>
      <c r="F136" s="18">
        <f>IF(ISNUMBER(D136), $B145 * E136, "")</f>
        <v>1282.0512820513004</v>
      </c>
      <c r="G136" s="31">
        <v>47.2</v>
      </c>
      <c r="H136" s="32">
        <f t="shared" ref="H136:H139" si="71">IF(ISNUMBER(G136), (G136 - $B136) / $B136, "")</f>
        <v>8.5470085470086693E-3</v>
      </c>
      <c r="I136" s="91">
        <f>IF(ISNUMBER(G136), $B145 * H136, "")</f>
        <v>1282.0512820513004</v>
      </c>
      <c r="J136" s="15">
        <v>47.3</v>
      </c>
      <c r="K136" s="32">
        <f t="shared" ref="K136:K139" si="72">IF(ISNUMBER(J136), (J136 - $B136) / $B136, "")</f>
        <v>1.0683760683760684E-2</v>
      </c>
      <c r="L136" s="18">
        <f>IF(ISNUMBER(J136), $B145 * K136, "")</f>
        <v>1602.5641025641025</v>
      </c>
      <c r="M136" s="31">
        <v>46.6</v>
      </c>
      <c r="N136" s="32">
        <f t="shared" ref="N136:N139" si="73">IF(ISNUMBER(M136), (M136 - $B136) / $B136, "")</f>
        <v>-4.2735042735041829E-3</v>
      </c>
      <c r="O136" s="18">
        <f>IF(ISNUMBER(M136), $B145 * N136, "")</f>
        <v>-641.02564102562746</v>
      </c>
      <c r="Q136" s="176"/>
      <c r="R136" s="177"/>
      <c r="S136" s="178"/>
    </row>
    <row r="137" spans="1:19" ht="17.25" thickBot="1">
      <c r="A137" s="109" t="s">
        <v>326</v>
      </c>
      <c r="B137" s="110">
        <v>20.399999999999999</v>
      </c>
      <c r="C137" s="70">
        <v>-3.3175355500000003E-2</v>
      </c>
      <c r="D137" s="15">
        <v>21.1</v>
      </c>
      <c r="E137" s="32">
        <f t="shared" si="70"/>
        <v>3.431372549019622E-2</v>
      </c>
      <c r="F137" s="18">
        <f>IF(ISNUMBER(D137), $B145 * E137, "")</f>
        <v>5147.0588235294326</v>
      </c>
      <c r="G137" s="31">
        <v>21.1</v>
      </c>
      <c r="H137" s="32">
        <f t="shared" si="71"/>
        <v>3.431372549019622E-2</v>
      </c>
      <c r="I137" s="91">
        <f>IF(ISNUMBER(G137), $B145 * H137, "")</f>
        <v>5147.0588235294326</v>
      </c>
      <c r="J137" s="15">
        <v>21.3</v>
      </c>
      <c r="K137" s="32">
        <f t="shared" si="72"/>
        <v>4.4117647058823636E-2</v>
      </c>
      <c r="L137" s="18">
        <f>IF(ISNUMBER(J137), $B145 * K137, "")</f>
        <v>6617.6470588235452</v>
      </c>
      <c r="M137" s="31">
        <v>21.2</v>
      </c>
      <c r="N137" s="32">
        <f t="shared" si="73"/>
        <v>3.9215686274509838E-2</v>
      </c>
      <c r="O137" s="18">
        <f>IF(ISNUMBER(M137), $B145 * N137, "")</f>
        <v>5882.3529411764757</v>
      </c>
      <c r="Q137" s="161"/>
      <c r="R137" s="161"/>
      <c r="S137" s="161"/>
    </row>
    <row r="138" spans="1:19" ht="17.25" thickBot="1">
      <c r="A138" s="109" t="s">
        <v>206</v>
      </c>
      <c r="B138" s="110">
        <v>3.19</v>
      </c>
      <c r="C138" s="70">
        <v>-3.3333333299999997E-2</v>
      </c>
      <c r="D138" s="15">
        <v>3.2</v>
      </c>
      <c r="E138" s="32">
        <f t="shared" si="70"/>
        <v>3.1347962382445864E-3</v>
      </c>
      <c r="F138" s="18">
        <f>IF(ISNUMBER(D138), $B145 * E138, "")</f>
        <v>470.21943573668796</v>
      </c>
      <c r="G138" s="31">
        <v>3.2</v>
      </c>
      <c r="H138" s="32">
        <f t="shared" si="71"/>
        <v>3.1347962382445864E-3</v>
      </c>
      <c r="I138" s="91">
        <f>IF(ISNUMBER(G138), $B145 * H138, "")</f>
        <v>470.21943573668796</v>
      </c>
      <c r="J138" s="15">
        <v>3.21</v>
      </c>
      <c r="K138" s="32">
        <f t="shared" si="72"/>
        <v>6.269592476489034E-3</v>
      </c>
      <c r="L138" s="18">
        <f>IF(ISNUMBER(J138), $B145 * K138, "")</f>
        <v>940.43887147335511</v>
      </c>
      <c r="M138" s="31">
        <v>3.19</v>
      </c>
      <c r="N138" s="32">
        <f t="shared" si="73"/>
        <v>0</v>
      </c>
      <c r="O138" s="18">
        <f>IF(ISNUMBER(M138), $B145 * N138, "")</f>
        <v>0</v>
      </c>
      <c r="Q138" s="156"/>
      <c r="R138" s="156"/>
      <c r="S138" s="156"/>
    </row>
    <row r="139" spans="1:19" ht="17.25" thickBot="1">
      <c r="A139" s="111" t="s">
        <v>220</v>
      </c>
      <c r="B139" s="112">
        <v>62.8</v>
      </c>
      <c r="C139" s="71">
        <v>-3.3846153800000001E-2</v>
      </c>
      <c r="D139" s="20">
        <v>61.9</v>
      </c>
      <c r="E139" s="21">
        <f t="shared" si="70"/>
        <v>-1.433121019108278E-2</v>
      </c>
      <c r="F139" s="22">
        <f>IF(ISNUMBER(D139), $B145 * E139, "")</f>
        <v>-2149.6815286624169</v>
      </c>
      <c r="G139" s="30">
        <v>61.9</v>
      </c>
      <c r="H139" s="21">
        <f t="shared" si="71"/>
        <v>-1.433121019108278E-2</v>
      </c>
      <c r="I139" s="95">
        <f>IF(ISNUMBER(G139), $B145 * H139, "")</f>
        <v>-2149.6815286624169</v>
      </c>
      <c r="J139" s="20">
        <v>61.9</v>
      </c>
      <c r="K139" s="21">
        <f t="shared" si="72"/>
        <v>-1.433121019108278E-2</v>
      </c>
      <c r="L139" s="22">
        <f>IF(ISNUMBER(J139), $B145 * K139, "")</f>
        <v>-2149.6815286624169</v>
      </c>
      <c r="M139" s="30">
        <v>61.7</v>
      </c>
      <c r="N139" s="21">
        <f t="shared" si="73"/>
        <v>-1.751592356687889E-2</v>
      </c>
      <c r="O139" s="22">
        <f>IF(ISNUMBER(M139), $B145 * N139, "")</f>
        <v>-2627.3885350318337</v>
      </c>
      <c r="Q139" s="156"/>
      <c r="R139" s="156"/>
      <c r="S139" s="156"/>
    </row>
    <row r="140" spans="1:19" ht="17.25" thickBot="1">
      <c r="A140" s="109" t="s">
        <v>107</v>
      </c>
      <c r="B140" s="113">
        <v>36.1</v>
      </c>
      <c r="C140" s="73">
        <v>-3.4759358300000001E-2</v>
      </c>
      <c r="D140" s="96">
        <v>35.5</v>
      </c>
      <c r="E140" s="97">
        <f>IF(ISNUMBER(D140), (D140 - $B140) / $B140, "")</f>
        <v>-1.6620498614958488E-2</v>
      </c>
      <c r="F140" s="98">
        <f>IF(ISNUMBER(D140), $B145 * E140, "")</f>
        <v>-2493.0747922437731</v>
      </c>
      <c r="G140" s="99">
        <v>35.5</v>
      </c>
      <c r="H140" s="97">
        <f>IF(ISNUMBER(G140), (G140 - $B140) / $B140, "")</f>
        <v>-1.6620498614958488E-2</v>
      </c>
      <c r="I140" s="100">
        <f>IF(ISNUMBER(G140), $B145 * H140, "")</f>
        <v>-2493.0747922437731</v>
      </c>
      <c r="J140" s="96">
        <v>35.700000000000003</v>
      </c>
      <c r="K140" s="97">
        <f>IF(ISNUMBER(J140), (J140 - $B140) / $B140, "")</f>
        <v>-1.1080332409972259E-2</v>
      </c>
      <c r="L140" s="98">
        <f>IF(ISNUMBER(J140), $B145 * K140, "")</f>
        <v>-1662.049861495839</v>
      </c>
      <c r="M140" s="99">
        <v>35.5</v>
      </c>
      <c r="N140" s="97">
        <f>IF(ISNUMBER(M140), (M140 - $B140) / $B140, "")</f>
        <v>-1.6620498614958488E-2</v>
      </c>
      <c r="O140" s="98">
        <f>IF(ISNUMBER(M140), $B145 * N140, "")</f>
        <v>-2493.0747922437731</v>
      </c>
      <c r="Q140" s="161"/>
      <c r="R140" s="161"/>
      <c r="S140" s="161"/>
    </row>
    <row r="141" spans="1:19" ht="17.25" thickBot="1">
      <c r="A141" s="109" t="s">
        <v>208</v>
      </c>
      <c r="B141" s="110">
        <v>90.6</v>
      </c>
      <c r="C141" s="70">
        <v>-3.7194473999999998E-2</v>
      </c>
      <c r="D141" s="15">
        <v>101</v>
      </c>
      <c r="E141" s="32">
        <f t="shared" ref="E141:E144" si="74">IF(ISNUMBER(D141), (D141 - $B141) / $B141, "")</f>
        <v>0.11479028697571751</v>
      </c>
      <c r="F141" s="18">
        <f>IF(ISNUMBER(D141), $B145 * E141, "")</f>
        <v>17218.543046357627</v>
      </c>
      <c r="G141" s="31">
        <v>101</v>
      </c>
      <c r="H141" s="32">
        <f t="shared" ref="H141:H144" si="75">IF(ISNUMBER(G141), (G141 - $B141) / $B141, "")</f>
        <v>0.11479028697571751</v>
      </c>
      <c r="I141" s="91">
        <f>IF(ISNUMBER(G141), $B145 * H141, "")</f>
        <v>17218.543046357627</v>
      </c>
      <c r="J141" s="15">
        <v>98</v>
      </c>
      <c r="K141" s="32">
        <f t="shared" ref="K141:K144" si="76">IF(ISNUMBER(J141), (J141 - $B141) / $B141, "")</f>
        <v>8.1677704194260556E-2</v>
      </c>
      <c r="L141" s="18">
        <f>IF(ISNUMBER(J141), $B145 * K141, "")</f>
        <v>12251.655629139083</v>
      </c>
      <c r="M141" s="31">
        <v>96.8</v>
      </c>
      <c r="N141" s="32">
        <f t="shared" ref="N141:N144" si="77">IF(ISNUMBER(M141), (M141 - $B141) / $B141, "")</f>
        <v>6.8432671081677734E-2</v>
      </c>
      <c r="O141" s="18">
        <f>IF(ISNUMBER(M141), $B145 * N141, "")</f>
        <v>10264.900662251661</v>
      </c>
      <c r="Q141" s="161"/>
      <c r="R141" s="161"/>
      <c r="S141" s="161"/>
    </row>
    <row r="142" spans="1:19" ht="17.25" thickBot="1">
      <c r="A142" s="109" t="s">
        <v>143</v>
      </c>
      <c r="B142" s="110">
        <v>3.5</v>
      </c>
      <c r="C142" s="70">
        <v>-4.1095890400000001E-2</v>
      </c>
      <c r="D142" s="15">
        <v>3.52</v>
      </c>
      <c r="E142" s="32">
        <f t="shared" si="74"/>
        <v>5.7142857142857195E-3</v>
      </c>
      <c r="F142" s="18">
        <f>IF(ISNUMBER(D142), $B145 * E142, "")</f>
        <v>857.14285714285791</v>
      </c>
      <c r="G142" s="31">
        <v>3.52</v>
      </c>
      <c r="H142" s="32">
        <f t="shared" si="75"/>
        <v>5.7142857142857195E-3</v>
      </c>
      <c r="I142" s="91">
        <f>IF(ISNUMBER(G142), $B145 * H142, "")</f>
        <v>857.14285714285791</v>
      </c>
      <c r="J142" s="15">
        <v>3.54</v>
      </c>
      <c r="K142" s="32">
        <f t="shared" si="76"/>
        <v>1.1428571428571439E-2</v>
      </c>
      <c r="L142" s="18">
        <f>IF(ISNUMBER(J142), $B145 * K142, "")</f>
        <v>1714.2857142857158</v>
      </c>
      <c r="M142" s="31">
        <v>3.54</v>
      </c>
      <c r="N142" s="32">
        <f t="shared" si="77"/>
        <v>1.1428571428571439E-2</v>
      </c>
      <c r="O142" s="18">
        <f>IF(ISNUMBER(M142), $B145 * N142, "")</f>
        <v>1714.2857142857158</v>
      </c>
      <c r="Q142" s="161"/>
      <c r="R142" s="161"/>
      <c r="S142" s="161"/>
    </row>
    <row r="143" spans="1:19">
      <c r="A143" s="109" t="s">
        <v>198</v>
      </c>
      <c r="B143" s="110">
        <v>6.78</v>
      </c>
      <c r="C143" s="70">
        <v>-4.9088358999999998E-2</v>
      </c>
      <c r="D143" s="15">
        <v>7.05</v>
      </c>
      <c r="E143" s="32">
        <f t="shared" si="74"/>
        <v>3.9823008849557459E-2</v>
      </c>
      <c r="F143" s="18">
        <f>IF(ISNUMBER(D143), $B145 * E143, "")</f>
        <v>5973.4513274336186</v>
      </c>
      <c r="G143" s="31">
        <v>7.05</v>
      </c>
      <c r="H143" s="32">
        <f t="shared" si="75"/>
        <v>3.9823008849557459E-2</v>
      </c>
      <c r="I143" s="91">
        <f>IF(ISNUMBER(G143), $B145 * H143, "")</f>
        <v>5973.4513274336186</v>
      </c>
      <c r="J143" s="15">
        <v>7</v>
      </c>
      <c r="K143" s="32">
        <f t="shared" si="76"/>
        <v>3.2448377581120909E-2</v>
      </c>
      <c r="L143" s="18">
        <f>IF(ISNUMBER(J143), $B145 * K143, "")</f>
        <v>4867.256637168136</v>
      </c>
      <c r="M143" s="31">
        <v>6.75</v>
      </c>
      <c r="N143" s="32">
        <f t="shared" si="77"/>
        <v>-4.4247787610619833E-3</v>
      </c>
      <c r="O143" s="18">
        <f>IF(ISNUMBER(M143), $B145 * N143, "")</f>
        <v>-663.71681415929754</v>
      </c>
      <c r="Q143" s="183"/>
      <c r="R143" s="184"/>
      <c r="S143" s="185"/>
    </row>
    <row r="144" spans="1:19" ht="17.25" thickBot="1">
      <c r="A144" s="114" t="s">
        <v>350</v>
      </c>
      <c r="B144" s="115">
        <v>6.21</v>
      </c>
      <c r="C144" s="72">
        <v>-5.4794520499999999E-2</v>
      </c>
      <c r="D144" s="24">
        <v>6.55</v>
      </c>
      <c r="E144" s="25">
        <f t="shared" si="74"/>
        <v>5.4750402576489512E-2</v>
      </c>
      <c r="F144" s="94">
        <f>IF(ISNUMBER(D144), $B145 * E144, "")</f>
        <v>8212.5603864734276</v>
      </c>
      <c r="G144" s="92">
        <v>6.55</v>
      </c>
      <c r="H144" s="25">
        <f t="shared" si="75"/>
        <v>5.4750402576489512E-2</v>
      </c>
      <c r="I144" s="93">
        <f>IF(ISNUMBER(G144), $B145 * H144, "")</f>
        <v>8212.5603864734276</v>
      </c>
      <c r="J144" s="24">
        <v>6.7</v>
      </c>
      <c r="K144" s="25">
        <f t="shared" si="76"/>
        <v>7.8904991948470241E-2</v>
      </c>
      <c r="L144" s="94">
        <f>IF(ISNUMBER(J144), $B145 * K144, "")</f>
        <v>11835.748792270537</v>
      </c>
      <c r="M144" s="92">
        <v>6.44</v>
      </c>
      <c r="N144" s="25">
        <f t="shared" si="77"/>
        <v>3.7037037037037104E-2</v>
      </c>
      <c r="O144" s="94">
        <f>IF(ISNUMBER(M144), $B145 * N144, "")</f>
        <v>5555.5555555555657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1.2781699627824324E-2</v>
      </c>
      <c r="F145" s="28">
        <f>SUM(F125:F144)</f>
        <v>38345.098883472972</v>
      </c>
      <c r="G145" s="26" t="s">
        <v>261</v>
      </c>
      <c r="H145" s="27">
        <f>IF(COUNT(H125:H144), SUM(H125:H144) / COUNT(H125:H144), 0)</f>
        <v>1.2781699627824324E-2</v>
      </c>
      <c r="I145" s="28">
        <f>SUM(I125:I144)</f>
        <v>38345.098883472972</v>
      </c>
      <c r="J145" s="26" t="s">
        <v>261</v>
      </c>
      <c r="K145" s="27">
        <f>IF(COUNT(K125:K144), SUM(K125:K144) / COUNT(K125:K144), 0)</f>
        <v>1.3227146046219006E-2</v>
      </c>
      <c r="L145" s="28">
        <f>SUM(L125:L144)</f>
        <v>39681.438138657031</v>
      </c>
      <c r="M145" s="26" t="s">
        <v>261</v>
      </c>
      <c r="N145" s="27">
        <f>IF(COUNT(N125:N144), SUM(N125:N144) / COUNT(N125:N144), 0)</f>
        <v>3.4204188790638392E-3</v>
      </c>
      <c r="O145" s="28">
        <f>SUM(O125:O144)</f>
        <v>10261.256637191516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2022-12-20(화) 오전 00:00</v>
      </c>
      <c r="C150" s="199"/>
      <c r="D150" s="158" t="str">
        <f>TEXT($G$1, "[$-ko-KR]yyyy-mm-dd(ddd) ") &amp; "오후 14:00"</f>
        <v>2022-12-20(화) 오후 14:00</v>
      </c>
      <c r="E150" s="159"/>
      <c r="F150" s="160"/>
      <c r="G150" s="158" t="str">
        <f>TEXT($G$1, "[$-ko-KR]yyyy-mm-dd(ddd) ") &amp; "오후 19:00"</f>
        <v>2022-12-20(화) 오후 19:00</v>
      </c>
      <c r="H150" s="159"/>
      <c r="I150" s="160"/>
      <c r="J150" s="158" t="str">
        <f>TEXT($G$1, "[$-ko-KR]yyyy-mm-dd(ddd) ") &amp; "오후 21:00"</f>
        <v>2022-12-20(화) 오후 21:00</v>
      </c>
      <c r="K150" s="159"/>
      <c r="L150" s="160"/>
      <c r="M150" s="158" t="str">
        <f>TEXT($G$1+1, "[$-ko-KR]yyyy-mm-dd(ddd) ") &amp; "오전 00:00"</f>
        <v>2022-12-21(수)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169</v>
      </c>
      <c r="B152" s="108">
        <v>219</v>
      </c>
      <c r="C152" s="69">
        <v>-2.2321428599999998E-2</v>
      </c>
      <c r="D152" s="13">
        <v>216</v>
      </c>
      <c r="E152" s="14">
        <f>IF(ISNUMBER(D152), (D152 - $B152) / $B152, "")</f>
        <v>-1.3698630136986301E-2</v>
      </c>
      <c r="F152" s="16">
        <f>IF(ISNUMBER(D152), $B172 * E152, "")</f>
        <v>-2054.794520547945</v>
      </c>
      <c r="G152" s="29">
        <v>216</v>
      </c>
      <c r="H152" s="14">
        <f>IF(ISNUMBER(G152), (G152 - $B152) / $B152, "")</f>
        <v>-1.3698630136986301E-2</v>
      </c>
      <c r="I152" s="90">
        <f>IF(ISNUMBER(G152), $B172 * H152, "")</f>
        <v>-2054.794520547945</v>
      </c>
      <c r="J152" s="13">
        <v>216</v>
      </c>
      <c r="K152" s="14">
        <f>IF(ISNUMBER(J152), (J152 - $B152) / $B152, "")</f>
        <v>-1.3698630136986301E-2</v>
      </c>
      <c r="L152" s="16">
        <f>IF(ISNUMBER(J152), $B172 * K152, "")</f>
        <v>-2054.794520547945</v>
      </c>
      <c r="M152" s="29">
        <v>215</v>
      </c>
      <c r="N152" s="14">
        <f>IF(ISNUMBER(M152), (M152 - $B152) / $B152, "")</f>
        <v>-1.8264840182648401E-2</v>
      </c>
      <c r="O152" s="16">
        <f>IF(ISNUMBER(M152), $B172 * N152, "")</f>
        <v>-2739.7260273972602</v>
      </c>
      <c r="Q152" s="156"/>
      <c r="R152" s="156"/>
      <c r="S152" s="156"/>
    </row>
    <row r="153" spans="1:19" ht="17.25" thickBot="1">
      <c r="A153" s="109" t="s">
        <v>157</v>
      </c>
      <c r="B153" s="110">
        <v>164</v>
      </c>
      <c r="C153" s="70">
        <v>-2.3809523799999999E-2</v>
      </c>
      <c r="D153" s="15">
        <v>171</v>
      </c>
      <c r="E153" s="32">
        <f t="shared" ref="E153:E156" si="78">IF(ISNUMBER(D153), (D153 - $B153) / $B153, "")</f>
        <v>4.2682926829268296E-2</v>
      </c>
      <c r="F153" s="18">
        <f>IF(ISNUMBER(D153), $B172 * E153, "")</f>
        <v>6402.4390243902444</v>
      </c>
      <c r="G153" s="31">
        <v>171</v>
      </c>
      <c r="H153" s="32">
        <f t="shared" ref="H153:H156" si="79">IF(ISNUMBER(G153), (G153 - $B153) / $B153, "")</f>
        <v>4.2682926829268296E-2</v>
      </c>
      <c r="I153" s="91">
        <f>IF(ISNUMBER(G153), $B172 * H153, "")</f>
        <v>6402.4390243902444</v>
      </c>
      <c r="J153" s="15">
        <v>173</v>
      </c>
      <c r="K153" s="32">
        <f t="shared" ref="K153:K156" si="80">IF(ISNUMBER(J153), (J153 - $B153) / $B153, "")</f>
        <v>5.4878048780487805E-2</v>
      </c>
      <c r="L153" s="18">
        <f>IF(ISNUMBER(J153), $B172 * K153, "")</f>
        <v>8231.707317073171</v>
      </c>
      <c r="M153" s="31">
        <v>172</v>
      </c>
      <c r="N153" s="32">
        <f t="shared" ref="N153:N156" si="81">IF(ISNUMBER(M153), (M153 - $B153) / $B153, "")</f>
        <v>4.878048780487805E-2</v>
      </c>
      <c r="O153" s="18">
        <f>IF(ISNUMBER(M153), $B172 * N153, "")</f>
        <v>7317.0731707317073</v>
      </c>
      <c r="Q153" s="156"/>
      <c r="R153" s="156"/>
      <c r="S153" s="156"/>
    </row>
    <row r="154" spans="1:19" ht="17.25" thickBot="1">
      <c r="A154" s="109" t="s">
        <v>159</v>
      </c>
      <c r="B154" s="110">
        <v>157</v>
      </c>
      <c r="C154" s="70">
        <v>-2.48447205E-2</v>
      </c>
      <c r="D154" s="15">
        <v>154</v>
      </c>
      <c r="E154" s="32">
        <f t="shared" si="78"/>
        <v>-1.9108280254777069E-2</v>
      </c>
      <c r="F154" s="18">
        <f>IF(ISNUMBER(D154), $B172 * E154, "")</f>
        <v>-2866.2420382165606</v>
      </c>
      <c r="G154" s="31">
        <v>154</v>
      </c>
      <c r="H154" s="32">
        <f t="shared" si="79"/>
        <v>-1.9108280254777069E-2</v>
      </c>
      <c r="I154" s="91">
        <f>IF(ISNUMBER(G154), $B172 * H154, "")</f>
        <v>-2866.2420382165606</v>
      </c>
      <c r="J154" s="15">
        <v>154</v>
      </c>
      <c r="K154" s="32">
        <f t="shared" si="80"/>
        <v>-1.9108280254777069E-2</v>
      </c>
      <c r="L154" s="18">
        <f>IF(ISNUMBER(J154), $B172 * K154, "")</f>
        <v>-2866.2420382165606</v>
      </c>
      <c r="M154" s="31">
        <v>153</v>
      </c>
      <c r="N154" s="32">
        <f t="shared" si="81"/>
        <v>-2.5477707006369428E-2</v>
      </c>
      <c r="O154" s="18">
        <f>IF(ISNUMBER(M154), $B172 * N154, "")</f>
        <v>-3821.6560509554142</v>
      </c>
      <c r="Q154" s="161"/>
      <c r="R154" s="161"/>
      <c r="S154" s="161"/>
    </row>
    <row r="155" spans="1:19" ht="17.25" thickBot="1">
      <c r="A155" s="109" t="s">
        <v>218</v>
      </c>
      <c r="B155" s="110">
        <v>306</v>
      </c>
      <c r="C155" s="70">
        <v>-2.5477706999999999E-2</v>
      </c>
      <c r="D155" s="15">
        <v>304</v>
      </c>
      <c r="E155" s="32">
        <f t="shared" si="78"/>
        <v>-6.5359477124183009E-3</v>
      </c>
      <c r="F155" s="18">
        <f>IF(ISNUMBER(D155), $B172 * E155, "")</f>
        <v>-980.39215686274508</v>
      </c>
      <c r="G155" s="31">
        <v>304</v>
      </c>
      <c r="H155" s="32">
        <f t="shared" si="79"/>
        <v>-6.5359477124183009E-3</v>
      </c>
      <c r="I155" s="91">
        <f>IF(ISNUMBER(G155), $B172 * H155, "")</f>
        <v>-980.39215686274508</v>
      </c>
      <c r="J155" s="15">
        <v>304</v>
      </c>
      <c r="K155" s="32">
        <f t="shared" si="80"/>
        <v>-6.5359477124183009E-3</v>
      </c>
      <c r="L155" s="18">
        <f>IF(ISNUMBER(J155), $B172 * K155, "")</f>
        <v>-980.39215686274508</v>
      </c>
      <c r="M155" s="31">
        <v>304</v>
      </c>
      <c r="N155" s="32">
        <f t="shared" si="81"/>
        <v>-6.5359477124183009E-3</v>
      </c>
      <c r="O155" s="18">
        <f>IF(ISNUMBER(M155), $B172 * N155, "")</f>
        <v>-980.39215686274508</v>
      </c>
      <c r="Q155" s="161"/>
      <c r="R155" s="161"/>
      <c r="S155" s="161"/>
    </row>
    <row r="156" spans="1:19" ht="17.25" thickBot="1">
      <c r="A156" s="111" t="s">
        <v>116</v>
      </c>
      <c r="B156" s="112">
        <v>953</v>
      </c>
      <c r="C156" s="71">
        <v>-2.7551020400000001E-2</v>
      </c>
      <c r="D156" s="20">
        <v>964</v>
      </c>
      <c r="E156" s="21">
        <f t="shared" si="78"/>
        <v>1.1542497376705142E-2</v>
      </c>
      <c r="F156" s="22">
        <f>IF(ISNUMBER(D156), $B172 * E156, "")</f>
        <v>1731.3746065057712</v>
      </c>
      <c r="G156" s="30">
        <v>964</v>
      </c>
      <c r="H156" s="21">
        <f t="shared" si="79"/>
        <v>1.1542497376705142E-2</v>
      </c>
      <c r="I156" s="95">
        <f>IF(ISNUMBER(G156), $B172 * H156, "")</f>
        <v>1731.3746065057712</v>
      </c>
      <c r="J156" s="20">
        <v>974</v>
      </c>
      <c r="K156" s="21">
        <f t="shared" si="80"/>
        <v>2.2035676810073453E-2</v>
      </c>
      <c r="L156" s="22">
        <f>IF(ISNUMBER(J156), $B172 * K156, "")</f>
        <v>3305.3515215110178</v>
      </c>
      <c r="M156" s="30">
        <v>964</v>
      </c>
      <c r="N156" s="21">
        <f t="shared" si="81"/>
        <v>1.1542497376705142E-2</v>
      </c>
      <c r="O156" s="22">
        <f>IF(ISNUMBER(M156), $B172 * N156, "")</f>
        <v>1731.3746065057712</v>
      </c>
      <c r="Q156" s="161"/>
      <c r="R156" s="161"/>
      <c r="S156" s="161"/>
    </row>
    <row r="157" spans="1:19" ht="17.25" thickBot="1">
      <c r="A157" s="109" t="s">
        <v>167</v>
      </c>
      <c r="B157" s="113">
        <v>169</v>
      </c>
      <c r="C157" s="73">
        <v>-2.87356322E-2</v>
      </c>
      <c r="D157" s="96">
        <v>170</v>
      </c>
      <c r="E157" s="97">
        <f>IF(ISNUMBER(D157), (D157 - $B157) / $B157, "")</f>
        <v>5.9171597633136093E-3</v>
      </c>
      <c r="F157" s="98">
        <f>IF(ISNUMBER(D157), $B172 * E157, "")</f>
        <v>887.5739644970414</v>
      </c>
      <c r="G157" s="99">
        <v>170</v>
      </c>
      <c r="H157" s="97">
        <f>IF(ISNUMBER(G157), (G157 - $B157) / $B157, "")</f>
        <v>5.9171597633136093E-3</v>
      </c>
      <c r="I157" s="100">
        <f>IF(ISNUMBER(G157), $B172 * H157, "")</f>
        <v>887.5739644970414</v>
      </c>
      <c r="J157" s="96">
        <v>172</v>
      </c>
      <c r="K157" s="97">
        <f>IF(ISNUMBER(J157), (J157 - $B157) / $B157, "")</f>
        <v>1.7751479289940829E-2</v>
      </c>
      <c r="L157" s="98">
        <f>IF(ISNUMBER(J157), $B172 * K157, "")</f>
        <v>2662.7218934911243</v>
      </c>
      <c r="M157" s="99">
        <v>169</v>
      </c>
      <c r="N157" s="97">
        <f>IF(ISNUMBER(M157), (M157 - $B157) / $B157, "")</f>
        <v>0</v>
      </c>
      <c r="O157" s="98">
        <f>IF(ISNUMBER(M157), $B172 * N157, "")</f>
        <v>0</v>
      </c>
      <c r="Q157" s="161"/>
      <c r="R157" s="161"/>
      <c r="S157" s="161"/>
    </row>
    <row r="158" spans="1:19" ht="17.25" thickBot="1">
      <c r="A158" s="109" t="s">
        <v>187</v>
      </c>
      <c r="B158" s="110">
        <v>791</v>
      </c>
      <c r="C158" s="70">
        <v>-2.94478528E-2</v>
      </c>
      <c r="D158" s="15">
        <v>803</v>
      </c>
      <c r="E158" s="32">
        <f t="shared" ref="E158:E161" si="82">IF(ISNUMBER(D158), (D158 - $B158) / $B158, "")</f>
        <v>1.5170670037926675E-2</v>
      </c>
      <c r="F158" s="18">
        <f>IF(ISNUMBER(D158), $B172 * E158, "")</f>
        <v>2275.6005056890012</v>
      </c>
      <c r="G158" s="31">
        <v>803</v>
      </c>
      <c r="H158" s="32">
        <f t="shared" ref="H158:H161" si="83">IF(ISNUMBER(G158), (G158 - $B158) / $B158, "")</f>
        <v>1.5170670037926675E-2</v>
      </c>
      <c r="I158" s="91">
        <f>IF(ISNUMBER(G158), $B172 * H158, "")</f>
        <v>2275.6005056890012</v>
      </c>
      <c r="J158" s="15">
        <v>800</v>
      </c>
      <c r="K158" s="32">
        <f t="shared" ref="K158:K161" si="84">IF(ISNUMBER(J158), (J158 - $B158) / $B158, "")</f>
        <v>1.1378002528445006E-2</v>
      </c>
      <c r="L158" s="18">
        <f>IF(ISNUMBER(J158), $B172 * K158, "")</f>
        <v>1706.700379266751</v>
      </c>
      <c r="M158" s="31">
        <v>799</v>
      </c>
      <c r="N158" s="32">
        <f t="shared" ref="N158:N161" si="85">IF(ISNUMBER(M158), (M158 - $B158) / $B158, "")</f>
        <v>1.0113780025284451E-2</v>
      </c>
      <c r="O158" s="18">
        <f>IF(ISNUMBER(M158), $B172 * N158, "")</f>
        <v>1517.0670037926677</v>
      </c>
      <c r="Q158" s="161"/>
      <c r="R158" s="161"/>
      <c r="S158" s="161"/>
    </row>
    <row r="159" spans="1:19" ht="17.25" thickBot="1">
      <c r="A159" s="109" t="s">
        <v>85</v>
      </c>
      <c r="B159" s="110">
        <v>152</v>
      </c>
      <c r="C159" s="70">
        <v>-3.1847133800000003E-2</v>
      </c>
      <c r="D159" s="15">
        <v>145</v>
      </c>
      <c r="E159" s="32">
        <f t="shared" si="82"/>
        <v>-4.6052631578947366E-2</v>
      </c>
      <c r="F159" s="18">
        <f>IF(ISNUMBER(D159), $B172 * E159, "")</f>
        <v>-6907.894736842105</v>
      </c>
      <c r="G159" s="31">
        <v>145</v>
      </c>
      <c r="H159" s="32">
        <f t="shared" si="83"/>
        <v>-4.6052631578947366E-2</v>
      </c>
      <c r="I159" s="91">
        <f>IF(ISNUMBER(G159), $B172 * H159, "")</f>
        <v>-6907.894736842105</v>
      </c>
      <c r="J159" s="15">
        <v>145</v>
      </c>
      <c r="K159" s="32">
        <f t="shared" si="84"/>
        <v>-4.6052631578947366E-2</v>
      </c>
      <c r="L159" s="18">
        <f>IF(ISNUMBER(J159), $B172 * K159, "")</f>
        <v>-6907.894736842105</v>
      </c>
      <c r="M159" s="31">
        <v>147</v>
      </c>
      <c r="N159" s="32">
        <f t="shared" si="85"/>
        <v>-3.2894736842105261E-2</v>
      </c>
      <c r="O159" s="18">
        <f>IF(ISNUMBER(M159), $B172 * N159, "")</f>
        <v>-4934.2105263157891</v>
      </c>
      <c r="Q159" s="161"/>
      <c r="R159" s="161"/>
      <c r="S159" s="161"/>
    </row>
    <row r="160" spans="1:19" ht="17.25" thickBot="1">
      <c r="A160" s="109" t="s">
        <v>111</v>
      </c>
      <c r="B160" s="110">
        <v>605</v>
      </c>
      <c r="C160" s="70">
        <v>-3.2000000000000001E-2</v>
      </c>
      <c r="D160" s="15">
        <v>585</v>
      </c>
      <c r="E160" s="32">
        <f t="shared" si="82"/>
        <v>-3.3057851239669422E-2</v>
      </c>
      <c r="F160" s="18">
        <f>IF(ISNUMBER(D160), $B172 * E160, "")</f>
        <v>-4958.6776859504134</v>
      </c>
      <c r="G160" s="31">
        <v>585</v>
      </c>
      <c r="H160" s="32">
        <f t="shared" si="83"/>
        <v>-3.3057851239669422E-2</v>
      </c>
      <c r="I160" s="91">
        <f>IF(ISNUMBER(G160), $B172 * H160, "")</f>
        <v>-4958.6776859504134</v>
      </c>
      <c r="J160" s="15">
        <v>587</v>
      </c>
      <c r="K160" s="32">
        <f t="shared" si="84"/>
        <v>-2.9752066115702479E-2</v>
      </c>
      <c r="L160" s="18">
        <f>IF(ISNUMBER(J160), $B172 * K160, "")</f>
        <v>-4462.8099173553719</v>
      </c>
      <c r="M160" s="31">
        <v>582</v>
      </c>
      <c r="N160" s="32">
        <f t="shared" si="85"/>
        <v>-3.8016528925619832E-2</v>
      </c>
      <c r="O160" s="18">
        <f>IF(ISNUMBER(M160), $B172 * N160, "")</f>
        <v>-5702.4793388429744</v>
      </c>
      <c r="Q160" s="33"/>
      <c r="R160" s="33"/>
    </row>
    <row r="161" spans="1:19" ht="17.25" thickBot="1">
      <c r="A161" s="114" t="s">
        <v>89</v>
      </c>
      <c r="B161" s="115">
        <v>450</v>
      </c>
      <c r="C161" s="72">
        <v>-3.2258064500000003E-2</v>
      </c>
      <c r="D161" s="24">
        <v>450</v>
      </c>
      <c r="E161" s="25">
        <f t="shared" si="82"/>
        <v>0</v>
      </c>
      <c r="F161" s="94">
        <f>IF(ISNUMBER(D161), $B172 * E161, "")</f>
        <v>0</v>
      </c>
      <c r="G161" s="92">
        <v>450</v>
      </c>
      <c r="H161" s="25">
        <f t="shared" si="83"/>
        <v>0</v>
      </c>
      <c r="I161" s="93">
        <f>IF(ISNUMBER(G161), $B172 * H161, "")</f>
        <v>0</v>
      </c>
      <c r="J161" s="24">
        <v>451</v>
      </c>
      <c r="K161" s="25">
        <f t="shared" si="84"/>
        <v>2.2222222222222222E-3</v>
      </c>
      <c r="L161" s="94">
        <f>IF(ISNUMBER(J161), $B172 * K161, "")</f>
        <v>333.33333333333331</v>
      </c>
      <c r="M161" s="92">
        <v>451</v>
      </c>
      <c r="N161" s="25">
        <f t="shared" si="85"/>
        <v>2.2222222222222222E-3</v>
      </c>
      <c r="O161" s="94">
        <f>IF(ISNUMBER(M161), $B172 * N161, "")</f>
        <v>333.33333333333331</v>
      </c>
      <c r="Q161" s="170"/>
      <c r="R161" s="171"/>
      <c r="S161" s="172"/>
    </row>
    <row r="162" spans="1:19">
      <c r="A162" s="107" t="s">
        <v>238</v>
      </c>
      <c r="B162" s="108">
        <v>553</v>
      </c>
      <c r="C162" s="69">
        <v>-3.3216783200000002E-2</v>
      </c>
      <c r="D162" s="13">
        <v>567</v>
      </c>
      <c r="E162" s="14">
        <f>IF(ISNUMBER(D162), (D162 - $B162) / $B162, "")</f>
        <v>2.5316455696202531E-2</v>
      </c>
      <c r="F162" s="16">
        <f>IF(ISNUMBER(D162), $B172 * E162, "")</f>
        <v>3797.4683544303798</v>
      </c>
      <c r="G162" s="29">
        <v>567</v>
      </c>
      <c r="H162" s="14">
        <f>IF(ISNUMBER(G162), (G162 - $B162) / $B162, "")</f>
        <v>2.5316455696202531E-2</v>
      </c>
      <c r="I162" s="90">
        <f>IF(ISNUMBER(G162), $B172 * H162, "")</f>
        <v>3797.4683544303798</v>
      </c>
      <c r="J162" s="13">
        <v>569</v>
      </c>
      <c r="K162" s="14">
        <f>IF(ISNUMBER(J162), (J162 - $B162) / $B162, "")</f>
        <v>2.8933092224231464E-2</v>
      </c>
      <c r="L162" s="16">
        <f>IF(ISNUMBER(J162), $B172 * K162, "")</f>
        <v>4339.9638336347198</v>
      </c>
      <c r="M162" s="29">
        <v>556</v>
      </c>
      <c r="N162" s="14">
        <f>IF(ISNUMBER(M162), (M162 - $B162) / $B162, "")</f>
        <v>5.4249547920433997E-3</v>
      </c>
      <c r="O162" s="16">
        <f>IF(ISNUMBER(M162), $B172 * N162, "")</f>
        <v>813.74321880650996</v>
      </c>
      <c r="Q162" s="173"/>
      <c r="R162" s="174"/>
      <c r="S162" s="175"/>
    </row>
    <row r="163" spans="1:19" ht="17.25" thickBot="1">
      <c r="A163" s="109" t="s">
        <v>161</v>
      </c>
      <c r="B163" s="110">
        <v>302</v>
      </c>
      <c r="C163" s="70">
        <v>-3.5143769999999998E-2</v>
      </c>
      <c r="D163" s="15">
        <v>304</v>
      </c>
      <c r="E163" s="32">
        <f t="shared" ref="E163:E166" si="86">IF(ISNUMBER(D163), (D163 - $B163) / $B163, "")</f>
        <v>6.6225165562913907E-3</v>
      </c>
      <c r="F163" s="18">
        <f>IF(ISNUMBER(D163), $B172 * E163, "")</f>
        <v>993.37748344370857</v>
      </c>
      <c r="G163" s="31">
        <v>304</v>
      </c>
      <c r="H163" s="32">
        <f t="shared" ref="H163:H166" si="87">IF(ISNUMBER(G163), (G163 - $B163) / $B163, "")</f>
        <v>6.6225165562913907E-3</v>
      </c>
      <c r="I163" s="91">
        <f>IF(ISNUMBER(G163), $B172 * H163, "")</f>
        <v>993.37748344370857</v>
      </c>
      <c r="J163" s="15">
        <v>304</v>
      </c>
      <c r="K163" s="32">
        <f t="shared" ref="K163:K166" si="88">IF(ISNUMBER(J163), (J163 - $B163) / $B163, "")</f>
        <v>6.6225165562913907E-3</v>
      </c>
      <c r="L163" s="18">
        <f>IF(ISNUMBER(J163), $B172 * K163, "")</f>
        <v>993.37748344370857</v>
      </c>
      <c r="M163" s="31">
        <v>296</v>
      </c>
      <c r="N163" s="32">
        <f t="shared" ref="N163:N166" si="89">IF(ISNUMBER(M163), (M163 - $B163) / $B163, "")</f>
        <v>-1.9867549668874173E-2</v>
      </c>
      <c r="O163" s="18">
        <f>IF(ISNUMBER(M163), $B172 * N163, "")</f>
        <v>-2980.1324503311262</v>
      </c>
      <c r="Q163" s="176"/>
      <c r="R163" s="177"/>
      <c r="S163" s="178"/>
    </row>
    <row r="164" spans="1:19" ht="17.25" thickBot="1">
      <c r="A164" s="109" t="s">
        <v>202</v>
      </c>
      <c r="B164" s="110">
        <v>300</v>
      </c>
      <c r="C164" s="70">
        <v>-3.5369774899999998E-2</v>
      </c>
      <c r="D164" s="15">
        <v>300</v>
      </c>
      <c r="E164" s="32">
        <f t="shared" si="86"/>
        <v>0</v>
      </c>
      <c r="F164" s="18">
        <f>IF(ISNUMBER(D164), $B172 * E164, "")</f>
        <v>0</v>
      </c>
      <c r="G164" s="31">
        <v>300</v>
      </c>
      <c r="H164" s="32">
        <f t="shared" si="87"/>
        <v>0</v>
      </c>
      <c r="I164" s="91">
        <f>IF(ISNUMBER(G164), $B172 * H164, "")</f>
        <v>0</v>
      </c>
      <c r="J164" s="15">
        <v>302</v>
      </c>
      <c r="K164" s="32">
        <f t="shared" si="88"/>
        <v>6.6666666666666671E-3</v>
      </c>
      <c r="L164" s="18">
        <f>IF(ISNUMBER(J164), $B172 * K164, "")</f>
        <v>1000.0000000000001</v>
      </c>
      <c r="M164" s="31">
        <v>299</v>
      </c>
      <c r="N164" s="32">
        <f t="shared" si="89"/>
        <v>-3.3333333333333335E-3</v>
      </c>
      <c r="O164" s="18">
        <f>IF(ISNUMBER(M164), $B172 * N164, "")</f>
        <v>-500.00000000000006</v>
      </c>
      <c r="Q164" s="161"/>
      <c r="R164" s="161"/>
      <c r="S164" s="161"/>
    </row>
    <row r="165" spans="1:19" ht="17.25" thickBot="1">
      <c r="A165" s="109" t="s">
        <v>176</v>
      </c>
      <c r="B165" s="110">
        <v>297</v>
      </c>
      <c r="C165" s="70">
        <v>-3.5714285700000001E-2</v>
      </c>
      <c r="D165" s="15">
        <v>302</v>
      </c>
      <c r="E165" s="32">
        <f t="shared" si="86"/>
        <v>1.6835016835016835E-2</v>
      </c>
      <c r="F165" s="18">
        <f>IF(ISNUMBER(D165), $B172 * E165, "")</f>
        <v>2525.2525252525252</v>
      </c>
      <c r="G165" s="31">
        <v>302</v>
      </c>
      <c r="H165" s="32">
        <f t="shared" si="87"/>
        <v>1.6835016835016835E-2</v>
      </c>
      <c r="I165" s="91">
        <f>IF(ISNUMBER(G165), $B172 * H165, "")</f>
        <v>2525.2525252525252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303</v>
      </c>
      <c r="N165" s="32">
        <f t="shared" si="89"/>
        <v>2.0202020202020204E-2</v>
      </c>
      <c r="O165" s="18">
        <f>IF(ISNUMBER(M165), $B172 * N165, "")</f>
        <v>3030.3030303030305</v>
      </c>
      <c r="Q165" s="156"/>
      <c r="R165" s="156"/>
      <c r="S165" s="156"/>
    </row>
    <row r="166" spans="1:19" ht="17.25" thickBot="1">
      <c r="A166" s="111" t="s">
        <v>68</v>
      </c>
      <c r="B166" s="112">
        <v>264</v>
      </c>
      <c r="C166" s="71">
        <v>-0.04</v>
      </c>
      <c r="D166" s="20">
        <v>256</v>
      </c>
      <c r="E166" s="21">
        <f t="shared" si="86"/>
        <v>-3.0303030303030304E-2</v>
      </c>
      <c r="F166" s="22">
        <f>IF(ISNUMBER(D166), $B172 * E166, "")</f>
        <v>-4545.454545454546</v>
      </c>
      <c r="G166" s="30">
        <v>256</v>
      </c>
      <c r="H166" s="21">
        <f t="shared" si="87"/>
        <v>-3.0303030303030304E-2</v>
      </c>
      <c r="I166" s="95">
        <f>IF(ISNUMBER(G166), $B172 * H166, "")</f>
        <v>-4545.454545454546</v>
      </c>
      <c r="J166" s="20">
        <v>256</v>
      </c>
      <c r="K166" s="21">
        <f t="shared" si="88"/>
        <v>-3.0303030303030304E-2</v>
      </c>
      <c r="L166" s="22">
        <f>IF(ISNUMBER(J166), $B172 * K166, "")</f>
        <v>-4545.454545454546</v>
      </c>
      <c r="M166" s="30">
        <v>254</v>
      </c>
      <c r="N166" s="21">
        <f t="shared" si="89"/>
        <v>-3.787878787878788E-2</v>
      </c>
      <c r="O166" s="22">
        <f>IF(ISNUMBER(M166), $B172 * N166, "")</f>
        <v>-5681.818181818182</v>
      </c>
      <c r="Q166" s="156"/>
      <c r="R166" s="156"/>
      <c r="S166" s="156"/>
    </row>
    <row r="167" spans="1:19" ht="17.25" thickBot="1">
      <c r="A167" s="109" t="s">
        <v>120</v>
      </c>
      <c r="B167" s="113">
        <v>113</v>
      </c>
      <c r="C167" s="73">
        <v>-4.23728814E-2</v>
      </c>
      <c r="D167" s="96">
        <v>112</v>
      </c>
      <c r="E167" s="97">
        <f>IF(ISNUMBER(D167), (D167 - $B167) / $B167, "")</f>
        <v>-8.8495575221238937E-3</v>
      </c>
      <c r="F167" s="98">
        <f>IF(ISNUMBER(D167), $B172 * E167, "")</f>
        <v>-1327.4336283185839</v>
      </c>
      <c r="G167" s="99">
        <v>112</v>
      </c>
      <c r="H167" s="97">
        <f>IF(ISNUMBER(G167), (G167 - $B167) / $B167, "")</f>
        <v>-8.8495575221238937E-3</v>
      </c>
      <c r="I167" s="100">
        <f>IF(ISNUMBER(G167), $B172 * H167, "")</f>
        <v>-1327.4336283185839</v>
      </c>
      <c r="J167" s="96">
        <v>112</v>
      </c>
      <c r="K167" s="97">
        <f>IF(ISNUMBER(J167), (J167 - $B167) / $B167, "")</f>
        <v>-8.8495575221238937E-3</v>
      </c>
      <c r="L167" s="98">
        <f>IF(ISNUMBER(J167), $B172 * K167, "")</f>
        <v>-1327.4336283185839</v>
      </c>
      <c r="M167" s="99">
        <v>112</v>
      </c>
      <c r="N167" s="97">
        <f>IF(ISNUMBER(M167), (M167 - $B167) / $B167, "")</f>
        <v>-8.8495575221238937E-3</v>
      </c>
      <c r="O167" s="98">
        <f>IF(ISNUMBER(M167), $B172 * N167, "")</f>
        <v>-1327.4336283185839</v>
      </c>
      <c r="Q167" s="161"/>
      <c r="R167" s="161"/>
      <c r="S167" s="161"/>
    </row>
    <row r="168" spans="1:19" ht="17.25" thickBot="1">
      <c r="A168" s="109" t="s">
        <v>204</v>
      </c>
      <c r="B168" s="110">
        <v>215</v>
      </c>
      <c r="C168" s="70">
        <v>-4.4444444399999998E-2</v>
      </c>
      <c r="D168" s="15">
        <v>214</v>
      </c>
      <c r="E168" s="32">
        <f t="shared" ref="E168:E171" si="90">IF(ISNUMBER(D168), (D168 - $B168) / $B168, "")</f>
        <v>-4.6511627906976744E-3</v>
      </c>
      <c r="F168" s="18">
        <f>IF(ISNUMBER(D168), $B172 * E168, "")</f>
        <v>-697.67441860465112</v>
      </c>
      <c r="G168" s="31">
        <v>214</v>
      </c>
      <c r="H168" s="32">
        <f t="shared" ref="H168:H171" si="91">IF(ISNUMBER(G168), (G168 - $B168) / $B168, "")</f>
        <v>-4.6511627906976744E-3</v>
      </c>
      <c r="I168" s="91">
        <f>IF(ISNUMBER(G168), $B172 * H168, "")</f>
        <v>-697.67441860465112</v>
      </c>
      <c r="J168" s="15">
        <v>214</v>
      </c>
      <c r="K168" s="32">
        <f t="shared" ref="K168:K171" si="92">IF(ISNUMBER(J168), (J168 - $B168) / $B168, "")</f>
        <v>-4.6511627906976744E-3</v>
      </c>
      <c r="L168" s="18">
        <f>IF(ISNUMBER(J168), $B172 * K168, "")</f>
        <v>-697.67441860465112</v>
      </c>
      <c r="M168" s="31">
        <v>212</v>
      </c>
      <c r="N168" s="32">
        <f t="shared" ref="N168:N171" si="93">IF(ISNUMBER(M168), (M168 - $B168) / $B168, "")</f>
        <v>-1.3953488372093023E-2</v>
      </c>
      <c r="O168" s="18">
        <f>IF(ISNUMBER(M168), $B172 * N168, "")</f>
        <v>-2093.0232558139533</v>
      </c>
      <c r="Q168" s="161"/>
      <c r="R168" s="161"/>
      <c r="S168" s="161"/>
    </row>
    <row r="169" spans="1:19" ht="17.25" thickBot="1">
      <c r="A169" s="109" t="s">
        <v>342</v>
      </c>
      <c r="B169" s="110">
        <v>117</v>
      </c>
      <c r="C169" s="70">
        <v>-4.8780487800000001E-2</v>
      </c>
      <c r="D169" s="15">
        <v>119</v>
      </c>
      <c r="E169" s="32">
        <f t="shared" si="90"/>
        <v>1.7094017094017096E-2</v>
      </c>
      <c r="F169" s="18">
        <f>IF(ISNUMBER(D169), $B172 * E169, "")</f>
        <v>2564.1025641025644</v>
      </c>
      <c r="G169" s="31">
        <v>119</v>
      </c>
      <c r="H169" s="32">
        <f t="shared" si="91"/>
        <v>1.7094017094017096E-2</v>
      </c>
      <c r="I169" s="91">
        <f>IF(ISNUMBER(G169), $B172 * H169, "")</f>
        <v>2564.1025641025644</v>
      </c>
      <c r="J169" s="15">
        <v>118</v>
      </c>
      <c r="K169" s="32">
        <f t="shared" si="92"/>
        <v>8.5470085470085479E-3</v>
      </c>
      <c r="L169" s="18">
        <f>IF(ISNUMBER(J169), $B172 * K169, "")</f>
        <v>1282.0512820512822</v>
      </c>
      <c r="M169" s="31">
        <v>119</v>
      </c>
      <c r="N169" s="32">
        <f t="shared" si="93"/>
        <v>1.7094017094017096E-2</v>
      </c>
      <c r="O169" s="18">
        <f>IF(ISNUMBER(M169), $B172 * N169, "")</f>
        <v>2564.1025641025644</v>
      </c>
      <c r="Q169" s="161"/>
      <c r="R169" s="161"/>
      <c r="S169" s="161"/>
    </row>
    <row r="170" spans="1:19">
      <c r="A170" s="109" t="s">
        <v>234</v>
      </c>
      <c r="B170" s="110">
        <v>346</v>
      </c>
      <c r="C170" s="70">
        <v>-4.9450549500000003E-2</v>
      </c>
      <c r="D170" s="15">
        <v>344</v>
      </c>
      <c r="E170" s="32">
        <f t="shared" si="90"/>
        <v>-5.7803468208092483E-3</v>
      </c>
      <c r="F170" s="18">
        <f>IF(ISNUMBER(D170), $B172 * E170, "")</f>
        <v>-867.05202312138726</v>
      </c>
      <c r="G170" s="31">
        <v>344</v>
      </c>
      <c r="H170" s="32">
        <f t="shared" si="91"/>
        <v>-5.7803468208092483E-3</v>
      </c>
      <c r="I170" s="91">
        <f>IF(ISNUMBER(G170), $B172 * H170, "")</f>
        <v>-867.05202312138726</v>
      </c>
      <c r="J170" s="15">
        <v>346</v>
      </c>
      <c r="K170" s="32">
        <f t="shared" si="92"/>
        <v>0</v>
      </c>
      <c r="L170" s="18">
        <f>IF(ISNUMBER(J170), $B172 * K170, "")</f>
        <v>0</v>
      </c>
      <c r="M170" s="31">
        <v>339</v>
      </c>
      <c r="N170" s="32">
        <f t="shared" si="93"/>
        <v>-2.023121387283237E-2</v>
      </c>
      <c r="O170" s="18">
        <f>IF(ISNUMBER(M170), $B172 * N170, "")</f>
        <v>-3034.6820809248557</v>
      </c>
      <c r="Q170" s="183"/>
      <c r="R170" s="184"/>
      <c r="S170" s="185"/>
    </row>
    <row r="171" spans="1:19" ht="17.25" thickBot="1">
      <c r="A171" s="114" t="s">
        <v>352</v>
      </c>
      <c r="B171" s="115">
        <v>187</v>
      </c>
      <c r="C171" s="72">
        <v>-5.0761421299999998E-2</v>
      </c>
      <c r="D171" s="24">
        <v>184</v>
      </c>
      <c r="E171" s="25">
        <f t="shared" si="90"/>
        <v>-1.6042780748663103E-2</v>
      </c>
      <c r="F171" s="94">
        <f>IF(ISNUMBER(D171), $B172 * E171, "")</f>
        <v>-2406.4171122994653</v>
      </c>
      <c r="G171" s="92">
        <v>184</v>
      </c>
      <c r="H171" s="25">
        <f t="shared" si="91"/>
        <v>-1.6042780748663103E-2</v>
      </c>
      <c r="I171" s="93">
        <f>IF(ISNUMBER(G171), $B172 * H171, "")</f>
        <v>-2406.4171122994653</v>
      </c>
      <c r="J171" s="24">
        <v>185</v>
      </c>
      <c r="K171" s="25">
        <f t="shared" si="92"/>
        <v>-1.06951871657754E-2</v>
      </c>
      <c r="L171" s="94">
        <f>IF(ISNUMBER(J171), $B172 * K171, "")</f>
        <v>-1604.2780748663101</v>
      </c>
      <c r="M171" s="92">
        <v>183</v>
      </c>
      <c r="N171" s="25">
        <f t="shared" si="93"/>
        <v>-2.1390374331550801E-2</v>
      </c>
      <c r="O171" s="94">
        <f>IF(ISNUMBER(M171), $B172 * N171, "")</f>
        <v>-3208.5561497326203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-2.1449479459690556E-3</v>
      </c>
      <c r="F172" s="28">
        <f>SUM(F152:F171)</f>
        <v>-6434.8438379071667</v>
      </c>
      <c r="G172" s="26" t="s">
        <v>261</v>
      </c>
      <c r="H172" s="27">
        <f>IF(COUNT(H152:H171), SUM(H152:H171) / COUNT(H152:H171), 0)</f>
        <v>-2.1449479459690556E-3</v>
      </c>
      <c r="I172" s="28">
        <f>SUM(I152:I171)</f>
        <v>-6434.8438379071667</v>
      </c>
      <c r="J172" s="26" t="s">
        <v>261</v>
      </c>
      <c r="K172" s="27">
        <f>IF(COUNT(K152:K171), SUM(K152:K171) / COUNT(K152:K171), 0)</f>
        <v>1.4281167564610285E-4</v>
      </c>
      <c r="L172" s="28">
        <f>SUM(L152:L171)</f>
        <v>428.43502693830783</v>
      </c>
      <c r="M172" s="26" t="s">
        <v>261</v>
      </c>
      <c r="N172" s="27">
        <f>IF(COUNT(N152:N171), SUM(N152:N171) / COUNT(N152:N171), 0)</f>
        <v>-6.5657043065793065E-3</v>
      </c>
      <c r="O172" s="28">
        <f>SUM(O152:O171)</f>
        <v>-19697.11291973792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2022-12-20(화) 오전 00:00</v>
      </c>
      <c r="C177" s="199"/>
      <c r="D177" s="158" t="str">
        <f>TEXT($G$1, "[$-ko-KR]yyyy-mm-dd(ddd) ") &amp; "오후 14:00"</f>
        <v>2022-12-20(화) 오후 14:00</v>
      </c>
      <c r="E177" s="159"/>
      <c r="F177" s="160"/>
      <c r="G177" s="158" t="str">
        <f>TEXT($G$1, "[$-ko-KR]yyyy-mm-dd(ddd) ") &amp; "오후 19:00"</f>
        <v>2022-12-20(화) 오후 19:00</v>
      </c>
      <c r="H177" s="159"/>
      <c r="I177" s="160"/>
      <c r="J177" s="158" t="str">
        <f>TEXT($G$1, "[$-ko-KR]yyyy-mm-dd(ddd) ") &amp; "오후 21:00"</f>
        <v>2022-12-20(화) 오후 21:00</v>
      </c>
      <c r="K177" s="159"/>
      <c r="L177" s="160"/>
      <c r="M177" s="158" t="str">
        <f>TEXT($G$1+1, "[$-ko-KR]yyyy-mm-dd(ddd) ") &amp; "오전 00:00"</f>
        <v>2022-12-21(수)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326</v>
      </c>
      <c r="B179" s="108">
        <v>20.399999999999999</v>
      </c>
      <c r="C179" s="69">
        <v>-3.3175355500000003E-2</v>
      </c>
      <c r="D179" s="13">
        <v>21.1</v>
      </c>
      <c r="E179" s="14">
        <f>IF(ISNUMBER(D179), (D179 - $B179) / $B179, "")</f>
        <v>3.431372549019622E-2</v>
      </c>
      <c r="F179" s="16">
        <f>IF(ISNUMBER(D179), $B199 * E179, "")</f>
        <v>5147.0588235294326</v>
      </c>
      <c r="G179" s="29">
        <v>21.1</v>
      </c>
      <c r="H179" s="14">
        <f>IF(ISNUMBER(G179), (G179 - $B179) / $B179, "")</f>
        <v>3.431372549019622E-2</v>
      </c>
      <c r="I179" s="90">
        <f>IF(ISNUMBER(G179), $B199 * H179, "")</f>
        <v>5147.0588235294326</v>
      </c>
      <c r="J179" s="13">
        <v>21.3</v>
      </c>
      <c r="K179" s="14">
        <f>IF(ISNUMBER(J179), (J179 - $B179) / $B179, "")</f>
        <v>4.4117647058823636E-2</v>
      </c>
      <c r="L179" s="16">
        <f>IF(ISNUMBER(J179), $B199 * K179, "")</f>
        <v>6617.6470588235452</v>
      </c>
      <c r="M179" s="29">
        <v>21.2</v>
      </c>
      <c r="N179" s="14">
        <f>IF(ISNUMBER(M179), (M179 - $B179) / $B179, "")</f>
        <v>3.9215686274509838E-2</v>
      </c>
      <c r="O179" s="16">
        <f>IF(ISNUMBER(M179), $B199 * N179, "")</f>
        <v>5882.3529411764757</v>
      </c>
      <c r="Q179" s="156"/>
      <c r="R179" s="156"/>
      <c r="S179" s="156"/>
    </row>
    <row r="180" spans="1:19" ht="17.25" thickBot="1">
      <c r="A180" s="109" t="s">
        <v>238</v>
      </c>
      <c r="B180" s="110">
        <v>553</v>
      </c>
      <c r="C180" s="70">
        <v>-3.3216783200000002E-2</v>
      </c>
      <c r="D180" s="15">
        <v>567</v>
      </c>
      <c r="E180" s="32">
        <f t="shared" ref="E180:E183" si="94">IF(ISNUMBER(D180), (D180 - $B180) / $B180, "")</f>
        <v>2.5316455696202531E-2</v>
      </c>
      <c r="F180" s="18">
        <f>IF(ISNUMBER(D180), $B199 * E180, "")</f>
        <v>3797.4683544303798</v>
      </c>
      <c r="G180" s="31">
        <v>567</v>
      </c>
      <c r="H180" s="32">
        <f t="shared" ref="H180:H183" si="95">IF(ISNUMBER(G180), (G180 - $B180) / $B180, "")</f>
        <v>2.5316455696202531E-2</v>
      </c>
      <c r="I180" s="91">
        <f>IF(ISNUMBER(G180), $B199 * H180, "")</f>
        <v>3797.4683544303798</v>
      </c>
      <c r="J180" s="15">
        <v>569</v>
      </c>
      <c r="K180" s="32">
        <f t="shared" ref="K180:K183" si="96">IF(ISNUMBER(J180), (J180 - $B180) / $B180, "")</f>
        <v>2.8933092224231464E-2</v>
      </c>
      <c r="L180" s="18">
        <f>IF(ISNUMBER(J180), $B199 * K180, "")</f>
        <v>4339.9638336347198</v>
      </c>
      <c r="M180" s="31">
        <v>556</v>
      </c>
      <c r="N180" s="32">
        <f t="shared" ref="N180:N183" si="97">IF(ISNUMBER(M180), (M180 - $B180) / $B180, "")</f>
        <v>5.4249547920433997E-3</v>
      </c>
      <c r="O180" s="18">
        <f>IF(ISNUMBER(M180), $B199 * N180, "")</f>
        <v>813.74321880650996</v>
      </c>
      <c r="Q180" s="156"/>
      <c r="R180" s="156"/>
      <c r="S180" s="156"/>
    </row>
    <row r="181" spans="1:19" ht="17.25" thickBot="1">
      <c r="A181" s="109" t="s">
        <v>206</v>
      </c>
      <c r="B181" s="110">
        <v>3.19</v>
      </c>
      <c r="C181" s="70">
        <v>-3.3333333299999997E-2</v>
      </c>
      <c r="D181" s="15">
        <v>3.2</v>
      </c>
      <c r="E181" s="32">
        <f t="shared" si="94"/>
        <v>3.1347962382445864E-3</v>
      </c>
      <c r="F181" s="18">
        <f>IF(ISNUMBER(D181), $B199 * E181, "")</f>
        <v>470.21943573668796</v>
      </c>
      <c r="G181" s="31">
        <v>3.2</v>
      </c>
      <c r="H181" s="32">
        <f t="shared" si="95"/>
        <v>3.1347962382445864E-3</v>
      </c>
      <c r="I181" s="91">
        <f>IF(ISNUMBER(G181), $B199 * H181, "")</f>
        <v>470.21943573668796</v>
      </c>
      <c r="J181" s="15">
        <v>3.21</v>
      </c>
      <c r="K181" s="32">
        <f t="shared" si="96"/>
        <v>6.269592476489034E-3</v>
      </c>
      <c r="L181" s="18">
        <f>IF(ISNUMBER(J181), $B199 * K181, "")</f>
        <v>940.43887147335511</v>
      </c>
      <c r="M181" s="31">
        <v>3.19</v>
      </c>
      <c r="N181" s="32">
        <f t="shared" si="97"/>
        <v>0</v>
      </c>
      <c r="O181" s="18">
        <f>IF(ISNUMBER(M181), $B199 * N181, "")</f>
        <v>0</v>
      </c>
      <c r="Q181" s="161"/>
      <c r="R181" s="161"/>
      <c r="S181" s="161"/>
    </row>
    <row r="182" spans="1:19" ht="17.25" thickBot="1">
      <c r="A182" s="109" t="s">
        <v>91</v>
      </c>
      <c r="B182" s="110">
        <v>17610</v>
      </c>
      <c r="C182" s="70">
        <v>-3.3479692599999999E-2</v>
      </c>
      <c r="D182" s="15">
        <v>17370</v>
      </c>
      <c r="E182" s="32">
        <f t="shared" si="94"/>
        <v>-1.3628620102214651E-2</v>
      </c>
      <c r="F182" s="18">
        <f>IF(ISNUMBER(D182), $B199 * E182, "")</f>
        <v>-2044.2930153321977</v>
      </c>
      <c r="G182" s="31">
        <v>17370</v>
      </c>
      <c r="H182" s="32">
        <f t="shared" si="95"/>
        <v>-1.3628620102214651E-2</v>
      </c>
      <c r="I182" s="91">
        <f>IF(ISNUMBER(G182), $B199 * H182, "")</f>
        <v>-2044.2930153321977</v>
      </c>
      <c r="J182" s="15">
        <v>17430</v>
      </c>
      <c r="K182" s="32">
        <f t="shared" si="96"/>
        <v>-1.0221465076660987E-2</v>
      </c>
      <c r="L182" s="18">
        <f>IF(ISNUMBER(J182), $B199 * K182, "")</f>
        <v>-1533.219761499148</v>
      </c>
      <c r="M182" s="31">
        <v>17360</v>
      </c>
      <c r="N182" s="32">
        <f t="shared" si="97"/>
        <v>-1.4196479273140262E-2</v>
      </c>
      <c r="O182" s="18">
        <f>IF(ISNUMBER(M182), $B199 * N182, "")</f>
        <v>-2129.4718909710391</v>
      </c>
      <c r="Q182" s="161"/>
      <c r="R182" s="161"/>
      <c r="S182" s="161"/>
    </row>
    <row r="183" spans="1:19" ht="17.25" thickBot="1">
      <c r="A183" s="111" t="s">
        <v>220</v>
      </c>
      <c r="B183" s="112">
        <v>62.8</v>
      </c>
      <c r="C183" s="71">
        <v>-3.3846153800000001E-2</v>
      </c>
      <c r="D183" s="20">
        <v>61.9</v>
      </c>
      <c r="E183" s="21">
        <f t="shared" si="94"/>
        <v>-1.433121019108278E-2</v>
      </c>
      <c r="F183" s="22">
        <f>IF(ISNUMBER(D183), $B199 * E183, "")</f>
        <v>-2149.6815286624169</v>
      </c>
      <c r="G183" s="30">
        <v>61.9</v>
      </c>
      <c r="H183" s="21">
        <f t="shared" si="95"/>
        <v>-1.433121019108278E-2</v>
      </c>
      <c r="I183" s="95">
        <f>IF(ISNUMBER(G183), $B199 * H183, "")</f>
        <v>-2149.6815286624169</v>
      </c>
      <c r="J183" s="20">
        <v>61.9</v>
      </c>
      <c r="K183" s="21">
        <f t="shared" si="96"/>
        <v>-1.433121019108278E-2</v>
      </c>
      <c r="L183" s="22">
        <f>IF(ISNUMBER(J183), $B199 * K183, "")</f>
        <v>-2149.6815286624169</v>
      </c>
      <c r="M183" s="30">
        <v>61.7</v>
      </c>
      <c r="N183" s="21">
        <f t="shared" si="97"/>
        <v>-1.751592356687889E-2</v>
      </c>
      <c r="O183" s="22">
        <f>IF(ISNUMBER(M183), $B199 * N183, "")</f>
        <v>-2627.3885350318337</v>
      </c>
      <c r="Q183" s="161"/>
      <c r="R183" s="161"/>
      <c r="S183" s="161"/>
    </row>
    <row r="184" spans="1:19" ht="17.25" thickBot="1">
      <c r="A184" s="109" t="s">
        <v>107</v>
      </c>
      <c r="B184" s="113">
        <v>36.1</v>
      </c>
      <c r="C184" s="73">
        <v>-3.4759358300000001E-2</v>
      </c>
      <c r="D184" s="96">
        <v>35.5</v>
      </c>
      <c r="E184" s="97">
        <f>IF(ISNUMBER(D184), (D184 - $B184) / $B184, "")</f>
        <v>-1.6620498614958488E-2</v>
      </c>
      <c r="F184" s="98">
        <f>IF(ISNUMBER(D184), $B199 * E184, "")</f>
        <v>-2493.0747922437731</v>
      </c>
      <c r="G184" s="99">
        <v>35.5</v>
      </c>
      <c r="H184" s="97">
        <f>IF(ISNUMBER(G184), (G184 - $B184) / $B184, "")</f>
        <v>-1.6620498614958488E-2</v>
      </c>
      <c r="I184" s="100">
        <f>IF(ISNUMBER(G184), $B199 * H184, "")</f>
        <v>-2493.0747922437731</v>
      </c>
      <c r="J184" s="96">
        <v>35.700000000000003</v>
      </c>
      <c r="K184" s="97">
        <f>IF(ISNUMBER(J184), (J184 - $B184) / $B184, "")</f>
        <v>-1.1080332409972259E-2</v>
      </c>
      <c r="L184" s="98">
        <f>IF(ISNUMBER(J184), $B199 * K184, "")</f>
        <v>-1662.049861495839</v>
      </c>
      <c r="M184" s="99">
        <v>35.5</v>
      </c>
      <c r="N184" s="97">
        <f>IF(ISNUMBER(M184), (M184 - $B184) / $B184, "")</f>
        <v>-1.6620498614958488E-2</v>
      </c>
      <c r="O184" s="98">
        <f>IF(ISNUMBER(M184), $B199 * N184, "")</f>
        <v>-2493.0747922437731</v>
      </c>
      <c r="Q184" s="161"/>
      <c r="R184" s="161"/>
      <c r="S184" s="161"/>
    </row>
    <row r="185" spans="1:19" ht="17.25" thickBot="1">
      <c r="A185" s="109" t="s">
        <v>161</v>
      </c>
      <c r="B185" s="110">
        <v>302</v>
      </c>
      <c r="C185" s="70">
        <v>-3.5143769999999998E-2</v>
      </c>
      <c r="D185" s="15">
        <v>304</v>
      </c>
      <c r="E185" s="32">
        <f t="shared" ref="E185:E188" si="98">IF(ISNUMBER(D185), (D185 - $B185) / $B185, "")</f>
        <v>6.6225165562913907E-3</v>
      </c>
      <c r="F185" s="18">
        <f>IF(ISNUMBER(D185), $B199 * E185, "")</f>
        <v>993.37748344370857</v>
      </c>
      <c r="G185" s="31">
        <v>304</v>
      </c>
      <c r="H185" s="32">
        <f t="shared" ref="H185:H188" si="99">IF(ISNUMBER(G185), (G185 - $B185) / $B185, "")</f>
        <v>6.6225165562913907E-3</v>
      </c>
      <c r="I185" s="91">
        <f>IF(ISNUMBER(G185), $B199 * H185, "")</f>
        <v>993.37748344370857</v>
      </c>
      <c r="J185" s="15">
        <v>304</v>
      </c>
      <c r="K185" s="32">
        <f t="shared" ref="K185:K188" si="100">IF(ISNUMBER(J185), (J185 - $B185) / $B185, "")</f>
        <v>6.6225165562913907E-3</v>
      </c>
      <c r="L185" s="18">
        <f>IF(ISNUMBER(J185), $B199 * K185, "")</f>
        <v>993.37748344370857</v>
      </c>
      <c r="M185" s="31">
        <v>296</v>
      </c>
      <c r="N185" s="32">
        <f t="shared" ref="N185:N188" si="101">IF(ISNUMBER(M185), (M185 - $B185) / $B185, "")</f>
        <v>-1.9867549668874173E-2</v>
      </c>
      <c r="O185" s="18">
        <f>IF(ISNUMBER(M185), $B199 * N185, "")</f>
        <v>-2980.1324503311262</v>
      </c>
      <c r="Q185" s="161"/>
      <c r="R185" s="161"/>
      <c r="S185" s="161"/>
    </row>
    <row r="186" spans="1:19" ht="17.25" thickBot="1">
      <c r="A186" s="109" t="s">
        <v>202</v>
      </c>
      <c r="B186" s="110">
        <v>300</v>
      </c>
      <c r="C186" s="70">
        <v>-3.5369774899999998E-2</v>
      </c>
      <c r="D186" s="15">
        <v>300</v>
      </c>
      <c r="E186" s="32">
        <f t="shared" si="98"/>
        <v>0</v>
      </c>
      <c r="F186" s="18">
        <f>IF(ISNUMBER(D186), $B199 * E186, "")</f>
        <v>0</v>
      </c>
      <c r="G186" s="31">
        <v>300</v>
      </c>
      <c r="H186" s="32">
        <f t="shared" si="99"/>
        <v>0</v>
      </c>
      <c r="I186" s="91">
        <f>IF(ISNUMBER(G186), $B199 * H186, "")</f>
        <v>0</v>
      </c>
      <c r="J186" s="15">
        <v>302</v>
      </c>
      <c r="K186" s="32">
        <f t="shared" si="100"/>
        <v>6.6666666666666671E-3</v>
      </c>
      <c r="L186" s="18">
        <f>IF(ISNUMBER(J186), $B199 * K186, "")</f>
        <v>1000.0000000000001</v>
      </c>
      <c r="M186" s="31">
        <v>299</v>
      </c>
      <c r="N186" s="32">
        <f t="shared" si="101"/>
        <v>-3.3333333333333335E-3</v>
      </c>
      <c r="O186" s="18">
        <f>IF(ISNUMBER(M186), $B199 * N186, "")</f>
        <v>-500.00000000000006</v>
      </c>
      <c r="Q186" s="161"/>
      <c r="R186" s="161"/>
      <c r="S186" s="161"/>
    </row>
    <row r="187" spans="1:19" ht="17.25" thickBot="1">
      <c r="A187" s="109" t="s">
        <v>176</v>
      </c>
      <c r="B187" s="110">
        <v>297</v>
      </c>
      <c r="C187" s="70">
        <v>-3.5714285700000001E-2</v>
      </c>
      <c r="D187" s="15">
        <v>302</v>
      </c>
      <c r="E187" s="32">
        <f t="shared" si="98"/>
        <v>1.6835016835016835E-2</v>
      </c>
      <c r="F187" s="18">
        <f>IF(ISNUMBER(D187), $B199 * E187, "")</f>
        <v>2525.2525252525252</v>
      </c>
      <c r="G187" s="31">
        <v>302</v>
      </c>
      <c r="H187" s="32">
        <f t="shared" si="99"/>
        <v>1.6835016835016835E-2</v>
      </c>
      <c r="I187" s="91">
        <f>IF(ISNUMBER(G187), $B199 * H187, "")</f>
        <v>2525.2525252525252</v>
      </c>
      <c r="J187" s="15">
        <v>301</v>
      </c>
      <c r="K187" s="32">
        <f t="shared" si="100"/>
        <v>1.3468013468013467E-2</v>
      </c>
      <c r="L187" s="18">
        <f>IF(ISNUMBER(J187), $B199 * K187, "")</f>
        <v>2020.2020202020201</v>
      </c>
      <c r="M187" s="31">
        <v>303</v>
      </c>
      <c r="N187" s="32">
        <f t="shared" si="101"/>
        <v>2.0202020202020204E-2</v>
      </c>
      <c r="O187" s="18">
        <f>IF(ISNUMBER(M187), $B199 * N187, "")</f>
        <v>3030.3030303030305</v>
      </c>
      <c r="Q187" s="33"/>
      <c r="R187" s="33"/>
    </row>
    <row r="188" spans="1:19" ht="17.25" thickBot="1">
      <c r="A188" s="114" t="s">
        <v>208</v>
      </c>
      <c r="B188" s="115">
        <v>90.6</v>
      </c>
      <c r="C188" s="72">
        <v>-3.7194473999999998E-2</v>
      </c>
      <c r="D188" s="24">
        <v>101</v>
      </c>
      <c r="E188" s="25">
        <f t="shared" si="98"/>
        <v>0.11479028697571751</v>
      </c>
      <c r="F188" s="94">
        <f>IF(ISNUMBER(D188), $B199 * E188, "")</f>
        <v>17218.543046357627</v>
      </c>
      <c r="G188" s="92">
        <v>101</v>
      </c>
      <c r="H188" s="25">
        <f t="shared" si="99"/>
        <v>0.11479028697571751</v>
      </c>
      <c r="I188" s="93">
        <f>IF(ISNUMBER(G188), $B199 * H188, "")</f>
        <v>17218.543046357627</v>
      </c>
      <c r="J188" s="24">
        <v>98</v>
      </c>
      <c r="K188" s="25">
        <f t="shared" si="100"/>
        <v>8.1677704194260556E-2</v>
      </c>
      <c r="L188" s="94">
        <f>IF(ISNUMBER(J188), $B199 * K188, "")</f>
        <v>12251.655629139083</v>
      </c>
      <c r="M188" s="92">
        <v>96.8</v>
      </c>
      <c r="N188" s="25">
        <f t="shared" si="101"/>
        <v>6.8432671081677734E-2</v>
      </c>
      <c r="O188" s="94">
        <f>IF(ISNUMBER(M188), $B199 * N188, "")</f>
        <v>10264.900662251661</v>
      </c>
      <c r="Q188" s="170"/>
      <c r="R188" s="171"/>
      <c r="S188" s="172"/>
    </row>
    <row r="189" spans="1:19">
      <c r="A189" s="107" t="s">
        <v>68</v>
      </c>
      <c r="B189" s="108">
        <v>264</v>
      </c>
      <c r="C189" s="69">
        <v>-0.04</v>
      </c>
      <c r="D189" s="13">
        <v>256</v>
      </c>
      <c r="E189" s="14">
        <f>IF(ISNUMBER(D189), (D189 - $B189) / $B189, "")</f>
        <v>-3.0303030303030304E-2</v>
      </c>
      <c r="F189" s="16">
        <f>IF(ISNUMBER(D189), $B199 * E189, "")</f>
        <v>-4545.454545454546</v>
      </c>
      <c r="G189" s="29">
        <v>256</v>
      </c>
      <c r="H189" s="14">
        <f>IF(ISNUMBER(G189), (G189 - $B189) / $B189, "")</f>
        <v>-3.0303030303030304E-2</v>
      </c>
      <c r="I189" s="90">
        <f>IF(ISNUMBER(G189), $B199 * H189, "")</f>
        <v>-4545.454545454546</v>
      </c>
      <c r="J189" s="13">
        <v>256</v>
      </c>
      <c r="K189" s="14">
        <f>IF(ISNUMBER(J189), (J189 - $B189) / $B189, "")</f>
        <v>-3.0303030303030304E-2</v>
      </c>
      <c r="L189" s="16">
        <f>IF(ISNUMBER(J189), $B199 * K189, "")</f>
        <v>-4545.454545454546</v>
      </c>
      <c r="M189" s="29">
        <v>254</v>
      </c>
      <c r="N189" s="14">
        <f>IF(ISNUMBER(M189), (M189 - $B189) / $B189, "")</f>
        <v>-3.787878787878788E-2</v>
      </c>
      <c r="O189" s="16">
        <f>IF(ISNUMBER(M189), $B199 * N189, "")</f>
        <v>-5681.818181818182</v>
      </c>
      <c r="Q189" s="173"/>
      <c r="R189" s="174"/>
      <c r="S189" s="175"/>
    </row>
    <row r="190" spans="1:19" ht="17.25" thickBot="1">
      <c r="A190" s="109" t="s">
        <v>143</v>
      </c>
      <c r="B190" s="110">
        <v>3.5</v>
      </c>
      <c r="C190" s="70">
        <v>-4.1095890400000001E-2</v>
      </c>
      <c r="D190" s="15">
        <v>3.52</v>
      </c>
      <c r="E190" s="32">
        <f t="shared" ref="E190:E193" si="102">IF(ISNUMBER(D190), (D190 - $B190) / $B190, "")</f>
        <v>5.7142857142857195E-3</v>
      </c>
      <c r="F190" s="18">
        <f>IF(ISNUMBER(D190), $B199 * E190, "")</f>
        <v>857.14285714285791</v>
      </c>
      <c r="G190" s="31">
        <v>3.52</v>
      </c>
      <c r="H190" s="32">
        <f t="shared" ref="H190:H193" si="103">IF(ISNUMBER(G190), (G190 - $B190) / $B190, "")</f>
        <v>5.7142857142857195E-3</v>
      </c>
      <c r="I190" s="91">
        <f>IF(ISNUMBER(G190), $B199 * H190, "")</f>
        <v>857.14285714285791</v>
      </c>
      <c r="J190" s="15">
        <v>3.54</v>
      </c>
      <c r="K190" s="32">
        <f t="shared" ref="K190:K193" si="104">IF(ISNUMBER(J190), (J190 - $B190) / $B190, "")</f>
        <v>1.1428571428571439E-2</v>
      </c>
      <c r="L190" s="18">
        <f>IF(ISNUMBER(J190), $B199 * K190, "")</f>
        <v>1714.2857142857158</v>
      </c>
      <c r="M190" s="31">
        <v>3.54</v>
      </c>
      <c r="N190" s="32">
        <f t="shared" ref="N190:N193" si="105">IF(ISNUMBER(M190), (M190 - $B190) / $B190, "")</f>
        <v>1.1428571428571439E-2</v>
      </c>
      <c r="O190" s="18">
        <f>IF(ISNUMBER(M190), $B199 * N190, "")</f>
        <v>1714.2857142857158</v>
      </c>
      <c r="Q190" s="176"/>
      <c r="R190" s="177"/>
      <c r="S190" s="178"/>
    </row>
    <row r="191" spans="1:19" ht="17.25" thickBot="1">
      <c r="A191" s="109" t="s">
        <v>120</v>
      </c>
      <c r="B191" s="110">
        <v>113</v>
      </c>
      <c r="C191" s="70">
        <v>-4.23728814E-2</v>
      </c>
      <c r="D191" s="15">
        <v>112</v>
      </c>
      <c r="E191" s="32">
        <f t="shared" si="102"/>
        <v>-8.8495575221238937E-3</v>
      </c>
      <c r="F191" s="18">
        <f>IF(ISNUMBER(D191), $B199 * E191, "")</f>
        <v>-1327.4336283185839</v>
      </c>
      <c r="G191" s="31">
        <v>112</v>
      </c>
      <c r="H191" s="32">
        <f t="shared" si="103"/>
        <v>-8.8495575221238937E-3</v>
      </c>
      <c r="I191" s="91">
        <f>IF(ISNUMBER(G191), $B199 * H191, "")</f>
        <v>-1327.4336283185839</v>
      </c>
      <c r="J191" s="15">
        <v>112</v>
      </c>
      <c r="K191" s="32">
        <f t="shared" si="104"/>
        <v>-8.8495575221238937E-3</v>
      </c>
      <c r="L191" s="18">
        <f>IF(ISNUMBER(J191), $B199 * K191, "")</f>
        <v>-1327.4336283185839</v>
      </c>
      <c r="M191" s="31">
        <v>112</v>
      </c>
      <c r="N191" s="32">
        <f t="shared" si="105"/>
        <v>-8.8495575221238937E-3</v>
      </c>
      <c r="O191" s="18">
        <f>IF(ISNUMBER(M191), $B199 * N191, "")</f>
        <v>-1327.4336283185839</v>
      </c>
      <c r="Q191" s="161"/>
      <c r="R191" s="161"/>
      <c r="S191" s="161"/>
    </row>
    <row r="192" spans="1:19" ht="17.25" thickBot="1">
      <c r="A192" s="109" t="s">
        <v>204</v>
      </c>
      <c r="B192" s="110">
        <v>215</v>
      </c>
      <c r="C192" s="70">
        <v>-4.4444444399999998E-2</v>
      </c>
      <c r="D192" s="15">
        <v>214</v>
      </c>
      <c r="E192" s="32">
        <f t="shared" si="102"/>
        <v>-4.6511627906976744E-3</v>
      </c>
      <c r="F192" s="18">
        <f>IF(ISNUMBER(D192), $B199 * E192, "")</f>
        <v>-697.67441860465112</v>
      </c>
      <c r="G192" s="31">
        <v>214</v>
      </c>
      <c r="H192" s="32">
        <f t="shared" si="103"/>
        <v>-4.6511627906976744E-3</v>
      </c>
      <c r="I192" s="91">
        <f>IF(ISNUMBER(G192), $B199 * H192, "")</f>
        <v>-697.67441860465112</v>
      </c>
      <c r="J192" s="15">
        <v>214</v>
      </c>
      <c r="K192" s="32">
        <f t="shared" si="104"/>
        <v>-4.6511627906976744E-3</v>
      </c>
      <c r="L192" s="18">
        <f>IF(ISNUMBER(J192), $B199 * K192, "")</f>
        <v>-697.67441860465112</v>
      </c>
      <c r="M192" s="31">
        <v>212</v>
      </c>
      <c r="N192" s="32">
        <f t="shared" si="105"/>
        <v>-1.3953488372093023E-2</v>
      </c>
      <c r="O192" s="18">
        <f>IF(ISNUMBER(M192), $B199 * N192, "")</f>
        <v>-2093.0232558139533</v>
      </c>
      <c r="Q192" s="156"/>
      <c r="R192" s="156"/>
      <c r="S192" s="156"/>
    </row>
    <row r="193" spans="1:19" ht="17.25" thickBot="1">
      <c r="A193" s="111" t="s">
        <v>342</v>
      </c>
      <c r="B193" s="112">
        <v>117</v>
      </c>
      <c r="C193" s="71">
        <v>-4.8780487800000001E-2</v>
      </c>
      <c r="D193" s="20">
        <v>119</v>
      </c>
      <c r="E193" s="21">
        <f t="shared" si="102"/>
        <v>1.7094017094017096E-2</v>
      </c>
      <c r="F193" s="22">
        <f>IF(ISNUMBER(D193), $B199 * E193, "")</f>
        <v>2564.1025641025644</v>
      </c>
      <c r="G193" s="30">
        <v>119</v>
      </c>
      <c r="H193" s="21">
        <f t="shared" si="103"/>
        <v>1.7094017094017096E-2</v>
      </c>
      <c r="I193" s="95">
        <f>IF(ISNUMBER(G193), $B199 * H193, "")</f>
        <v>2564.1025641025644</v>
      </c>
      <c r="J193" s="20">
        <v>118</v>
      </c>
      <c r="K193" s="21">
        <f t="shared" si="104"/>
        <v>8.5470085470085479E-3</v>
      </c>
      <c r="L193" s="22">
        <f>IF(ISNUMBER(J193), $B199 * K193, "")</f>
        <v>1282.0512820512822</v>
      </c>
      <c r="M193" s="30">
        <v>119</v>
      </c>
      <c r="N193" s="21">
        <f t="shared" si="105"/>
        <v>1.7094017094017096E-2</v>
      </c>
      <c r="O193" s="22">
        <f>IF(ISNUMBER(M193), $B199 * N193, "")</f>
        <v>2564.1025641025644</v>
      </c>
      <c r="Q193" s="156"/>
      <c r="R193" s="156"/>
      <c r="S193" s="156"/>
    </row>
    <row r="194" spans="1:19" ht="17.25" thickBot="1">
      <c r="A194" s="109" t="s">
        <v>198</v>
      </c>
      <c r="B194" s="113">
        <v>6.78</v>
      </c>
      <c r="C194" s="73">
        <v>-4.9088358999999998E-2</v>
      </c>
      <c r="D194" s="96">
        <v>7.05</v>
      </c>
      <c r="E194" s="97">
        <f>IF(ISNUMBER(D194), (D194 - $B194) / $B194, "")</f>
        <v>3.9823008849557459E-2</v>
      </c>
      <c r="F194" s="98">
        <f>IF(ISNUMBER(D194), $B199 * E194, "")</f>
        <v>5973.4513274336186</v>
      </c>
      <c r="G194" s="99">
        <v>7.05</v>
      </c>
      <c r="H194" s="97">
        <f>IF(ISNUMBER(G194), (G194 - $B194) / $B194, "")</f>
        <v>3.9823008849557459E-2</v>
      </c>
      <c r="I194" s="100">
        <f>IF(ISNUMBER(G194), $B199 * H194, "")</f>
        <v>5973.4513274336186</v>
      </c>
      <c r="J194" s="96">
        <v>7</v>
      </c>
      <c r="K194" s="97">
        <f>IF(ISNUMBER(J194), (J194 - $B194) / $B194, "")</f>
        <v>3.2448377581120909E-2</v>
      </c>
      <c r="L194" s="98">
        <f>IF(ISNUMBER(J194), $B199 * K194, "")</f>
        <v>4867.256637168136</v>
      </c>
      <c r="M194" s="99">
        <v>6.75</v>
      </c>
      <c r="N194" s="97">
        <f>IF(ISNUMBER(M194), (M194 - $B194) / $B194, "")</f>
        <v>-4.4247787610619833E-3</v>
      </c>
      <c r="O194" s="98">
        <f>IF(ISNUMBER(M194), $B199 * N194, "")</f>
        <v>-663.71681415929754</v>
      </c>
      <c r="Q194" s="161"/>
      <c r="R194" s="161"/>
      <c r="S194" s="161"/>
    </row>
    <row r="195" spans="1:19" ht="17.25" thickBot="1">
      <c r="A195" s="109" t="s">
        <v>234</v>
      </c>
      <c r="B195" s="110">
        <v>346</v>
      </c>
      <c r="C195" s="70">
        <v>-4.9450549500000003E-2</v>
      </c>
      <c r="D195" s="15">
        <v>344</v>
      </c>
      <c r="E195" s="32">
        <f t="shared" ref="E195:E198" si="106">IF(ISNUMBER(D195), (D195 - $B195) / $B195, "")</f>
        <v>-5.7803468208092483E-3</v>
      </c>
      <c r="F195" s="18">
        <f>IF(ISNUMBER(D195), $B199 * E195, "")</f>
        <v>-867.05202312138726</v>
      </c>
      <c r="G195" s="31">
        <v>344</v>
      </c>
      <c r="H195" s="32">
        <f t="shared" ref="H195:H198" si="107">IF(ISNUMBER(G195), (G195 - $B195) / $B195, "")</f>
        <v>-5.7803468208092483E-3</v>
      </c>
      <c r="I195" s="91">
        <f>IF(ISNUMBER(G195), $B199 * H195, "")</f>
        <v>-867.05202312138726</v>
      </c>
      <c r="J195" s="15">
        <v>346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339</v>
      </c>
      <c r="N195" s="32">
        <f t="shared" ref="N195:N198" si="109">IF(ISNUMBER(M195), (M195 - $B195) / $B195, "")</f>
        <v>-2.023121387283237E-2</v>
      </c>
      <c r="O195" s="18">
        <f>IF(ISNUMBER(M195), $B199 * N195, "")</f>
        <v>-3034.6820809248557</v>
      </c>
      <c r="Q195" s="161"/>
      <c r="R195" s="161"/>
      <c r="S195" s="161"/>
    </row>
    <row r="196" spans="1:19" ht="17.25" thickBot="1">
      <c r="A196" s="109" t="s">
        <v>352</v>
      </c>
      <c r="B196" s="110">
        <v>187</v>
      </c>
      <c r="C196" s="70">
        <v>-5.0761421299999998E-2</v>
      </c>
      <c r="D196" s="15">
        <v>184</v>
      </c>
      <c r="E196" s="32">
        <f t="shared" si="106"/>
        <v>-1.6042780748663103E-2</v>
      </c>
      <c r="F196" s="18">
        <f>IF(ISNUMBER(D196), $B199 * E196, "")</f>
        <v>-2406.4171122994653</v>
      </c>
      <c r="G196" s="31">
        <v>184</v>
      </c>
      <c r="H196" s="32">
        <f t="shared" si="107"/>
        <v>-1.6042780748663103E-2</v>
      </c>
      <c r="I196" s="91">
        <f>IF(ISNUMBER(G196), $B199 * H196, "")</f>
        <v>-2406.4171122994653</v>
      </c>
      <c r="J196" s="15">
        <v>185</v>
      </c>
      <c r="K196" s="32">
        <f t="shared" si="108"/>
        <v>-1.06951871657754E-2</v>
      </c>
      <c r="L196" s="18">
        <f>IF(ISNUMBER(J196), $B199 * K196, "")</f>
        <v>-1604.2780748663101</v>
      </c>
      <c r="M196" s="31">
        <v>183</v>
      </c>
      <c r="N196" s="32">
        <f t="shared" si="109"/>
        <v>-2.1390374331550801E-2</v>
      </c>
      <c r="O196" s="18">
        <f>IF(ISNUMBER(M196), $B199 * N196, "")</f>
        <v>-3208.5561497326203</v>
      </c>
      <c r="Q196" s="161"/>
      <c r="R196" s="161"/>
      <c r="S196" s="161"/>
    </row>
    <row r="197" spans="1:19">
      <c r="A197" s="109" t="s">
        <v>174</v>
      </c>
      <c r="B197" s="110">
        <v>13250</v>
      </c>
      <c r="C197" s="70">
        <v>-5.2217453499999997E-2</v>
      </c>
      <c r="D197" s="15">
        <v>13200</v>
      </c>
      <c r="E197" s="32">
        <f t="shared" si="106"/>
        <v>-3.7735849056603774E-3</v>
      </c>
      <c r="F197" s="18">
        <f>IF(ISNUMBER(D197), $B199 * E197, "")</f>
        <v>-566.03773584905662</v>
      </c>
      <c r="G197" s="31">
        <v>13200</v>
      </c>
      <c r="H197" s="32">
        <f t="shared" si="107"/>
        <v>-3.7735849056603774E-3</v>
      </c>
      <c r="I197" s="91">
        <f>IF(ISNUMBER(G197), $B199 * H197, "")</f>
        <v>-566.03773584905662</v>
      </c>
      <c r="J197" s="15">
        <v>13150</v>
      </c>
      <c r="K197" s="32">
        <f t="shared" si="108"/>
        <v>-7.5471698113207548E-3</v>
      </c>
      <c r="L197" s="18">
        <f>IF(ISNUMBER(J197), $B199 * K197, "")</f>
        <v>-1132.0754716981132</v>
      </c>
      <c r="M197" s="31">
        <v>13050</v>
      </c>
      <c r="N197" s="32">
        <f t="shared" si="109"/>
        <v>-1.509433962264151E-2</v>
      </c>
      <c r="O197" s="18">
        <f>IF(ISNUMBER(M197), $B199 * N197, "")</f>
        <v>-2264.1509433962265</v>
      </c>
      <c r="Q197" s="183"/>
      <c r="R197" s="184"/>
      <c r="S197" s="185"/>
    </row>
    <row r="198" spans="1:19" ht="17.25" thickBot="1">
      <c r="A198" s="114" t="s">
        <v>350</v>
      </c>
      <c r="B198" s="115">
        <v>6.21</v>
      </c>
      <c r="C198" s="72">
        <v>-5.4794520499999999E-2</v>
      </c>
      <c r="D198" s="24">
        <v>6.55</v>
      </c>
      <c r="E198" s="25">
        <f t="shared" si="106"/>
        <v>5.4750402576489512E-2</v>
      </c>
      <c r="F198" s="94">
        <f>IF(ISNUMBER(D198), $B199 * E198, "")</f>
        <v>8212.5603864734276</v>
      </c>
      <c r="G198" s="92">
        <v>6.55</v>
      </c>
      <c r="H198" s="25">
        <f t="shared" si="107"/>
        <v>5.4750402576489512E-2</v>
      </c>
      <c r="I198" s="93">
        <f>IF(ISNUMBER(G198), $B199 * H198, "")</f>
        <v>8212.5603864734276</v>
      </c>
      <c r="J198" s="24">
        <v>6.7</v>
      </c>
      <c r="K198" s="25">
        <f t="shared" si="108"/>
        <v>7.8904991948470241E-2</v>
      </c>
      <c r="L198" s="94">
        <f>IF(ISNUMBER(J198), $B199 * K198, "")</f>
        <v>11835.748792270537</v>
      </c>
      <c r="M198" s="92">
        <v>6.44</v>
      </c>
      <c r="N198" s="25">
        <f t="shared" si="109"/>
        <v>3.7037037037037104E-2</v>
      </c>
      <c r="O198" s="94">
        <f>IF(ISNUMBER(M198), $B199 * N198, "")</f>
        <v>5555.5555555555657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1.0220686001338916E-2</v>
      </c>
      <c r="F199" s="28">
        <f>SUM(F179:F198)</f>
        <v>30662.058004016748</v>
      </c>
      <c r="G199" s="26" t="s">
        <v>261</v>
      </c>
      <c r="H199" s="27">
        <f>IF(COUNT(H179:H198), SUM(H179:H198) / COUNT(H179:H198), 0)</f>
        <v>1.0220686001338916E-2</v>
      </c>
      <c r="I199" s="28">
        <f>SUM(I179:I198)</f>
        <v>30662.058004016748</v>
      </c>
      <c r="J199" s="26" t="s">
        <v>261</v>
      </c>
      <c r="K199" s="27">
        <f>IF(COUNT(K179:K198), SUM(K179:K198) / COUNT(K179:K198), 0)</f>
        <v>1.1070253343964165E-2</v>
      </c>
      <c r="L199" s="28">
        <f>SUM(L179:L198)</f>
        <v>33210.760031892496</v>
      </c>
      <c r="M199" s="26" t="s">
        <v>261</v>
      </c>
      <c r="N199" s="27">
        <f>IF(COUNT(N179:N198), SUM(N179:N198) / COUNT(N179:N198), 0)</f>
        <v>2.7393165458001052E-4</v>
      </c>
      <c r="O199" s="28">
        <f>SUM(O179:O198)</f>
        <v>821.79496374003247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4AA7D-934C-4968-BB92-C07A624BEF51}">
  <sheetPr codeName="Sheet27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44916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-17,119 KRW (-0.57%)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38,596 KRW (1.29%)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11,514 KRW (0.38%)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2,897 KRW (0.10%)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2022-12-21(수) 오전 00:00</v>
      </c>
      <c r="C15" s="202"/>
      <c r="D15" s="158" t="str">
        <f>TEXT($G$1, "[$-ko-KR]yyyy-mm-dd(ddd) ") &amp; "오후 14:00"</f>
        <v>2022-12-21(수) 오후 14:00</v>
      </c>
      <c r="E15" s="159"/>
      <c r="F15" s="160"/>
      <c r="G15" s="158" t="str">
        <f>TEXT($G$1, "[$-ko-KR]yyyy-mm-dd(ddd) ") &amp; "오후 19:00"</f>
        <v>2022-12-21(수) 오후 19:00</v>
      </c>
      <c r="H15" s="159"/>
      <c r="I15" s="160"/>
      <c r="J15" s="158" t="str">
        <f>TEXT($G$1, "[$-ko-KR]yyyy-mm-dd(ddd) ") &amp; "오후 21:00"</f>
        <v>2022-12-21(수) 오후 21:00</v>
      </c>
      <c r="K15" s="159"/>
      <c r="L15" s="160"/>
      <c r="M15" s="158" t="str">
        <f>TEXT($G$1+1, "[$-ko-KR]yyyy-mm-dd(ddd) ") &amp; "오전 00:00"</f>
        <v>2022-12-22(목)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2022-12-21(수) 오전 00:00</v>
      </c>
      <c r="C42" s="199"/>
      <c r="D42" s="158" t="str">
        <f>TEXT($G$1, "[$-ko-KR]yyyy-mm-dd(ddd) ") &amp; "오후 14:00"</f>
        <v>2022-12-21(수) 오후 14:00</v>
      </c>
      <c r="E42" s="159"/>
      <c r="F42" s="160"/>
      <c r="G42" s="158" t="str">
        <f>TEXT($G$1, "[$-ko-KR]yyyy-mm-dd(ddd) ") &amp; "오후 19:00"</f>
        <v>2022-12-21(수) 오후 19:00</v>
      </c>
      <c r="H42" s="159"/>
      <c r="I42" s="160"/>
      <c r="J42" s="158" t="str">
        <f>TEXT($G$1, "[$-ko-KR]yyyy-mm-dd(ddd) ") &amp; "오후 21:00"</f>
        <v>2022-12-21(수) 오후 21:00</v>
      </c>
      <c r="K42" s="159"/>
      <c r="L42" s="160"/>
      <c r="M42" s="158" t="str">
        <f>TEXT($G$1+1, "[$-ko-KR]yyyy-mm-dd(ddd) ") &amp; "오전 00:00"</f>
        <v>2022-12-22(목)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208</v>
      </c>
      <c r="B44" s="108">
        <v>96.8</v>
      </c>
      <c r="C44" s="69">
        <v>0.10250569480000001</v>
      </c>
      <c r="D44" s="13">
        <v>94.9</v>
      </c>
      <c r="E44" s="14">
        <f>IF(ISNUMBER(D44), (D44 - $B44) / $B44, "")</f>
        <v>-1.9628099173553633E-2</v>
      </c>
      <c r="F44" s="16">
        <f>IF(ISNUMBER(D44), $B64 * E44, "")</f>
        <v>-2944.2148760330451</v>
      </c>
      <c r="G44" s="29">
        <v>95.1</v>
      </c>
      <c r="H44" s="14">
        <f>IF(ISNUMBER(G44), (G44 - $B44) / $B44, "")</f>
        <v>-1.7561983471074408E-2</v>
      </c>
      <c r="I44" s="90">
        <f>IF(ISNUMBER(G44), $B64 * H44, "")</f>
        <v>-2634.2975206611613</v>
      </c>
      <c r="J44" s="13">
        <v>95.1</v>
      </c>
      <c r="K44" s="14">
        <f>IF(ISNUMBER(J44), (J44 - $B44) / $B44, "")</f>
        <v>-1.7561983471074408E-2</v>
      </c>
      <c r="L44" s="16">
        <f>IF(ISNUMBER(J44), $B64 * K44, "")</f>
        <v>-2634.2975206611613</v>
      </c>
      <c r="M44" s="29">
        <v>94</v>
      </c>
      <c r="N44" s="14">
        <f>IF(ISNUMBER(M44), (M44 - $B44) / $B44, "")</f>
        <v>-2.8925619834710717E-2</v>
      </c>
      <c r="O44" s="16">
        <f>IF(ISNUMBER(M44), $B64 * N44, "")</f>
        <v>-4338.8429752066077</v>
      </c>
      <c r="Q44" s="156"/>
      <c r="R44" s="156"/>
      <c r="S44" s="156"/>
    </row>
    <row r="45" spans="1:19" ht="17.25" customHeight="1" thickBot="1">
      <c r="A45" s="109" t="s">
        <v>350</v>
      </c>
      <c r="B45" s="110">
        <v>6.44</v>
      </c>
      <c r="C45" s="70">
        <v>8.0536912799999999E-2</v>
      </c>
      <c r="D45" s="15">
        <v>6.64</v>
      </c>
      <c r="E45" s="32">
        <f t="shared" ref="E45:E48" si="14">IF(ISNUMBER(D45), (D45 - $B45) / $B45, "")</f>
        <v>3.1055900621117901E-2</v>
      </c>
      <c r="F45" s="18">
        <f>IF(ISNUMBER(D45), $B64 * E45, "")</f>
        <v>4658.3850931676852</v>
      </c>
      <c r="G45" s="31">
        <v>6.52</v>
      </c>
      <c r="H45" s="32">
        <f t="shared" ref="H45:H48" si="15">IF(ISNUMBER(G45), (G45 - $B45) / $B45, "")</f>
        <v>1.2422360248447077E-2</v>
      </c>
      <c r="I45" s="91">
        <f>IF(ISNUMBER(G45), $B64 * H45, "")</f>
        <v>1863.3540372670616</v>
      </c>
      <c r="J45" s="15">
        <v>6.52</v>
      </c>
      <c r="K45" s="32">
        <f t="shared" ref="K45:K48" si="16">IF(ISNUMBER(J45), (J45 - $B45) / $B45, "")</f>
        <v>1.2422360248447077E-2</v>
      </c>
      <c r="L45" s="18">
        <f>IF(ISNUMBER(J45), $B64 * K45, "")</f>
        <v>1863.3540372670616</v>
      </c>
      <c r="M45" s="31">
        <v>6.39</v>
      </c>
      <c r="N45" s="32">
        <f t="shared" ref="N45:N48" si="17">IF(ISNUMBER(M45), (M45 - $B45) / $B45, "")</f>
        <v>-7.7639751552796132E-3</v>
      </c>
      <c r="O45" s="18">
        <f>IF(ISNUMBER(M45), $B64 * N45, "")</f>
        <v>-1164.596273291942</v>
      </c>
      <c r="Q45" s="156"/>
      <c r="R45" s="156"/>
      <c r="S45" s="156"/>
    </row>
    <row r="46" spans="1:19" ht="17.25" customHeight="1" thickBot="1">
      <c r="A46" s="109" t="s">
        <v>326</v>
      </c>
      <c r="B46" s="110">
        <v>21.2</v>
      </c>
      <c r="C46" s="70">
        <v>6.5326633199999998E-2</v>
      </c>
      <c r="D46" s="15">
        <v>20.9</v>
      </c>
      <c r="E46" s="32">
        <f t="shared" si="14"/>
        <v>-1.4150943396226448E-2</v>
      </c>
      <c r="F46" s="18">
        <f>IF(ISNUMBER(D46), $B64 * E46, "")</f>
        <v>-2122.6415094339673</v>
      </c>
      <c r="G46" s="31">
        <v>21.3</v>
      </c>
      <c r="H46" s="32">
        <f t="shared" si="15"/>
        <v>4.7169811320755392E-3</v>
      </c>
      <c r="I46" s="91">
        <f>IF(ISNUMBER(G46), $B64 * H46, "")</f>
        <v>707.54716981133083</v>
      </c>
      <c r="J46" s="15">
        <v>21.3</v>
      </c>
      <c r="K46" s="32">
        <f t="shared" si="16"/>
        <v>4.7169811320755392E-3</v>
      </c>
      <c r="L46" s="18">
        <f>IF(ISNUMBER(J46), $B64 * K46, "")</f>
        <v>707.54716981133083</v>
      </c>
      <c r="M46" s="31">
        <v>21.2</v>
      </c>
      <c r="N46" s="32">
        <f t="shared" si="17"/>
        <v>0</v>
      </c>
      <c r="O46" s="18">
        <f>IF(ISNUMBER(M46), $B64 * N46, "")</f>
        <v>0</v>
      </c>
      <c r="Q46" s="161"/>
      <c r="R46" s="161"/>
      <c r="S46" s="161"/>
    </row>
    <row r="47" spans="1:19" ht="17.25" customHeight="1" thickBot="1">
      <c r="A47" s="109" t="s">
        <v>191</v>
      </c>
      <c r="B47" s="110">
        <v>51.6</v>
      </c>
      <c r="C47" s="70">
        <v>6.17283951E-2</v>
      </c>
      <c r="D47" s="15">
        <v>51.9</v>
      </c>
      <c r="E47" s="32">
        <f t="shared" si="14"/>
        <v>5.8139534883720374E-3</v>
      </c>
      <c r="F47" s="18">
        <f>IF(ISNUMBER(D47), $B64 * E47, "")</f>
        <v>872.09302325580563</v>
      </c>
      <c r="G47" s="31">
        <v>52.1</v>
      </c>
      <c r="H47" s="32">
        <f t="shared" si="15"/>
        <v>9.6899224806201549E-3</v>
      </c>
      <c r="I47" s="91">
        <f>IF(ISNUMBER(G47), $B64 * H47, "")</f>
        <v>1453.4883720930231</v>
      </c>
      <c r="J47" s="15">
        <v>52.1</v>
      </c>
      <c r="K47" s="32">
        <f t="shared" si="16"/>
        <v>9.6899224806201549E-3</v>
      </c>
      <c r="L47" s="18">
        <f>IF(ISNUMBER(J47), $B64 * K47, "")</f>
        <v>1453.4883720930231</v>
      </c>
      <c r="M47" s="31">
        <v>51.2</v>
      </c>
      <c r="N47" s="32">
        <f t="shared" si="17"/>
        <v>-7.7519379844960962E-3</v>
      </c>
      <c r="O47" s="18">
        <f>IF(ISNUMBER(M47), $B64 * N47, "")</f>
        <v>-1162.7906976744143</v>
      </c>
      <c r="Q47" s="161"/>
      <c r="R47" s="161"/>
      <c r="S47" s="161"/>
    </row>
    <row r="48" spans="1:19" ht="17.25" customHeight="1" thickBot="1">
      <c r="A48" s="111" t="s">
        <v>71</v>
      </c>
      <c r="B48" s="112">
        <v>10.3</v>
      </c>
      <c r="C48" s="71">
        <v>5.9670781899999997E-2</v>
      </c>
      <c r="D48" s="20">
        <v>10.1</v>
      </c>
      <c r="E48" s="21">
        <f t="shared" si="14"/>
        <v>-1.9417475728155442E-2</v>
      </c>
      <c r="F48" s="22">
        <f>IF(ISNUMBER(D48), $B64 * E48, "")</f>
        <v>-2912.6213592233162</v>
      </c>
      <c r="G48" s="30">
        <v>10.3</v>
      </c>
      <c r="H48" s="21">
        <f t="shared" si="15"/>
        <v>0</v>
      </c>
      <c r="I48" s="95">
        <f>IF(ISNUMBER(G48), $B64 * H48, "")</f>
        <v>0</v>
      </c>
      <c r="J48" s="20">
        <v>10.3</v>
      </c>
      <c r="K48" s="21">
        <f t="shared" si="16"/>
        <v>0</v>
      </c>
      <c r="L48" s="22">
        <f>IF(ISNUMBER(J48), $B64 * K48, "")</f>
        <v>0</v>
      </c>
      <c r="M48" s="30">
        <v>10.3</v>
      </c>
      <c r="N48" s="21">
        <f t="shared" si="17"/>
        <v>0</v>
      </c>
      <c r="O48" s="22">
        <f>IF(ISNUMBER(M48), $B64 * N48, "")</f>
        <v>0</v>
      </c>
      <c r="Q48" s="161"/>
      <c r="R48" s="161"/>
      <c r="S48" s="161"/>
    </row>
    <row r="49" spans="1:19" ht="17.25" customHeight="1" thickBot="1">
      <c r="A49" s="109" t="s">
        <v>198</v>
      </c>
      <c r="B49" s="113">
        <v>6.75</v>
      </c>
      <c r="C49" s="73">
        <v>4.6511627899999998E-2</v>
      </c>
      <c r="D49" s="96">
        <v>6.9</v>
      </c>
      <c r="E49" s="97">
        <f>IF(ISNUMBER(D49), (D49 - $B49) / $B49, "")</f>
        <v>2.2222222222222275E-2</v>
      </c>
      <c r="F49" s="98">
        <f>IF(ISNUMBER(D49), $B64 * E49, "")</f>
        <v>3333.3333333333412</v>
      </c>
      <c r="G49" s="99">
        <v>6.97</v>
      </c>
      <c r="H49" s="97">
        <f>IF(ISNUMBER(G49), (G49 - $B49) / $B49, "")</f>
        <v>3.2592592592592555E-2</v>
      </c>
      <c r="I49" s="100">
        <f>IF(ISNUMBER(G49), $B64 * H49, "")</f>
        <v>4888.8888888888832</v>
      </c>
      <c r="J49" s="96">
        <v>6.97</v>
      </c>
      <c r="K49" s="97">
        <f>IF(ISNUMBER(J49), (J49 - $B49) / $B49, "")</f>
        <v>3.2592592592592555E-2</v>
      </c>
      <c r="L49" s="98">
        <f>IF(ISNUMBER(J49), $B64 * K49, "")</f>
        <v>4888.8888888888832</v>
      </c>
      <c r="M49" s="99">
        <v>6.96</v>
      </c>
      <c r="N49" s="97">
        <f>IF(ISNUMBER(M49), (M49 - $B49) / $B49, "")</f>
        <v>3.1111111111111107E-2</v>
      </c>
      <c r="O49" s="98">
        <f>IF(ISNUMBER(M49), $B64 * N49, "")</f>
        <v>4666.6666666666661</v>
      </c>
      <c r="Q49" s="161"/>
      <c r="R49" s="161"/>
      <c r="S49" s="161"/>
    </row>
    <row r="50" spans="1:19" ht="17.25" customHeight="1" thickBot="1">
      <c r="A50" s="109" t="s">
        <v>224</v>
      </c>
      <c r="B50" s="110">
        <v>18.5</v>
      </c>
      <c r="C50" s="70">
        <v>4.5197740100000001E-2</v>
      </c>
      <c r="D50" s="15">
        <v>18.5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18.8</v>
      </c>
      <c r="H50" s="32">
        <f t="shared" ref="H50:H53" si="19">IF(ISNUMBER(G50), (G50 - $B50) / $B50, "")</f>
        <v>1.6216216216216255E-2</v>
      </c>
      <c r="I50" s="91">
        <f>IF(ISNUMBER(G50), $B64 * H50, "")</f>
        <v>2432.4324324324384</v>
      </c>
      <c r="J50" s="15">
        <v>18.8</v>
      </c>
      <c r="K50" s="32">
        <f t="shared" ref="K50:K53" si="20">IF(ISNUMBER(J50), (J50 - $B50) / $B50, "")</f>
        <v>1.6216216216216255E-2</v>
      </c>
      <c r="L50" s="18">
        <f>IF(ISNUMBER(J50), $B64 * K50, "")</f>
        <v>2432.4324324324384</v>
      </c>
      <c r="M50" s="31">
        <v>18.600000000000001</v>
      </c>
      <c r="N50" s="32">
        <f t="shared" ref="N50:N53" si="21">IF(ISNUMBER(M50), (M50 - $B50) / $B50, "")</f>
        <v>5.405405405405482E-3</v>
      </c>
      <c r="O50" s="18">
        <f>IF(ISNUMBER(M50), $B64 * N50, "")</f>
        <v>810.81081081082232</v>
      </c>
      <c r="Q50" s="161"/>
      <c r="R50" s="161"/>
      <c r="S50" s="161"/>
    </row>
    <row r="51" spans="1:19" ht="17.25" customHeight="1" thickBot="1">
      <c r="A51" s="109" t="s">
        <v>143</v>
      </c>
      <c r="B51" s="110">
        <v>3.54</v>
      </c>
      <c r="C51" s="70">
        <v>4.4247787599999998E-2</v>
      </c>
      <c r="D51" s="15">
        <v>3.58</v>
      </c>
      <c r="E51" s="32">
        <f t="shared" si="18"/>
        <v>1.1299435028248598E-2</v>
      </c>
      <c r="F51" s="18">
        <f>IF(ISNUMBER(D51), $B64 * E51, "")</f>
        <v>1694.9152542372897</v>
      </c>
      <c r="G51" s="31">
        <v>3.63</v>
      </c>
      <c r="H51" s="32">
        <f t="shared" si="19"/>
        <v>2.5423728813559282E-2</v>
      </c>
      <c r="I51" s="91">
        <f>IF(ISNUMBER(G51), $B64 * H51, "")</f>
        <v>3813.5593220338924</v>
      </c>
      <c r="J51" s="15">
        <v>3.63</v>
      </c>
      <c r="K51" s="32">
        <f t="shared" si="20"/>
        <v>2.5423728813559282E-2</v>
      </c>
      <c r="L51" s="18">
        <f>IF(ISNUMBER(J51), $B64 * K51, "")</f>
        <v>3813.5593220338924</v>
      </c>
      <c r="M51" s="31">
        <v>3.54</v>
      </c>
      <c r="N51" s="32">
        <f t="shared" si="21"/>
        <v>0</v>
      </c>
      <c r="O51" s="18">
        <f>IF(ISNUMBER(M51), $B64 * N51, "")</f>
        <v>0</v>
      </c>
      <c r="Q51" s="161"/>
      <c r="R51" s="161"/>
      <c r="S51" s="161"/>
    </row>
    <row r="52" spans="1:19" ht="17.25" customHeight="1" thickBot="1">
      <c r="A52" s="109" t="s">
        <v>230</v>
      </c>
      <c r="B52" s="110">
        <v>35.6</v>
      </c>
      <c r="C52" s="70">
        <v>4.39882698E-2</v>
      </c>
      <c r="D52" s="15">
        <v>36.5</v>
      </c>
      <c r="E52" s="32">
        <f t="shared" si="18"/>
        <v>2.5280898876404452E-2</v>
      </c>
      <c r="F52" s="18">
        <f>IF(ISNUMBER(D52), $B64 * E52, "")</f>
        <v>3792.134831460668</v>
      </c>
      <c r="G52" s="31">
        <v>37</v>
      </c>
      <c r="H52" s="32">
        <f t="shared" si="19"/>
        <v>3.9325842696629171E-2</v>
      </c>
      <c r="I52" s="91">
        <f>IF(ISNUMBER(G52), $B64 * H52, "")</f>
        <v>5898.8764044943755</v>
      </c>
      <c r="J52" s="15">
        <v>37</v>
      </c>
      <c r="K52" s="32">
        <f t="shared" si="20"/>
        <v>3.9325842696629171E-2</v>
      </c>
      <c r="L52" s="18">
        <f>IF(ISNUMBER(J52), $B64 * K52, "")</f>
        <v>5898.8764044943755</v>
      </c>
      <c r="M52" s="31">
        <v>36.5</v>
      </c>
      <c r="N52" s="32">
        <f t="shared" si="21"/>
        <v>2.5280898876404452E-2</v>
      </c>
      <c r="O52" s="18">
        <f>IF(ISNUMBER(M52), $B64 * N52, "")</f>
        <v>3792.134831460668</v>
      </c>
      <c r="Q52" s="33"/>
      <c r="R52" s="33"/>
    </row>
    <row r="53" spans="1:19" ht="17.25" customHeight="1" thickBot="1">
      <c r="A53" s="114" t="s">
        <v>195</v>
      </c>
      <c r="B53" s="115">
        <v>5.95</v>
      </c>
      <c r="C53" s="72">
        <v>4.3859649100000002E-2</v>
      </c>
      <c r="D53" s="24">
        <v>6.09</v>
      </c>
      <c r="E53" s="25">
        <f t="shared" si="18"/>
        <v>2.3529411764705827E-2</v>
      </c>
      <c r="F53" s="94">
        <f>IF(ISNUMBER(D53), $B64 * E53, "")</f>
        <v>3529.4117647058738</v>
      </c>
      <c r="G53" s="92">
        <v>6.05</v>
      </c>
      <c r="H53" s="25">
        <f t="shared" si="19"/>
        <v>1.6806722689075571E-2</v>
      </c>
      <c r="I53" s="93">
        <f>IF(ISNUMBER(G53), $B64 * H53, "")</f>
        <v>2521.0084033613357</v>
      </c>
      <c r="J53" s="24">
        <v>6.05</v>
      </c>
      <c r="K53" s="25">
        <f t="shared" si="20"/>
        <v>1.6806722689075571E-2</v>
      </c>
      <c r="L53" s="94">
        <f>IF(ISNUMBER(J53), $B64 * K53, "")</f>
        <v>2521.0084033613357</v>
      </c>
      <c r="M53" s="92">
        <v>6.05</v>
      </c>
      <c r="N53" s="25">
        <f t="shared" si="21"/>
        <v>1.6806722689075571E-2</v>
      </c>
      <c r="O53" s="94">
        <f>IF(ISNUMBER(M53), $B64 * N53, "")</f>
        <v>2521.0084033613357</v>
      </c>
      <c r="Q53" s="170"/>
      <c r="R53" s="171"/>
      <c r="S53" s="172"/>
    </row>
    <row r="54" spans="1:19" ht="17.25" customHeight="1">
      <c r="A54" s="107" t="s">
        <v>200</v>
      </c>
      <c r="B54" s="108">
        <v>6.09</v>
      </c>
      <c r="C54" s="69">
        <v>3.9249146800000002E-2</v>
      </c>
      <c r="D54" s="13">
        <v>6.2</v>
      </c>
      <c r="E54" s="14">
        <f>IF(ISNUMBER(D54), (D54 - $B54) / $B54, "")</f>
        <v>1.8062397372742255E-2</v>
      </c>
      <c r="F54" s="16">
        <f>IF(ISNUMBER(D54), $B64 * E54, "")</f>
        <v>2709.3596059113383</v>
      </c>
      <c r="G54" s="29">
        <v>6.21</v>
      </c>
      <c r="H54" s="14">
        <f>IF(ISNUMBER(G54), (G54 - $B54) / $B54, "")</f>
        <v>1.9704433497536963E-2</v>
      </c>
      <c r="I54" s="90">
        <f>IF(ISNUMBER(G54), $B64 * H54, "")</f>
        <v>2955.6650246305444</v>
      </c>
      <c r="J54" s="13">
        <v>6.21</v>
      </c>
      <c r="K54" s="14">
        <f>IF(ISNUMBER(J54), (J54 - $B54) / $B54, "")</f>
        <v>1.9704433497536963E-2</v>
      </c>
      <c r="L54" s="16">
        <f>IF(ISNUMBER(J54), $B64 * K54, "")</f>
        <v>2955.6650246305444</v>
      </c>
      <c r="M54" s="29">
        <v>6.23</v>
      </c>
      <c r="N54" s="14">
        <f>IF(ISNUMBER(M54), (M54 - $B54) / $B54, "")</f>
        <v>2.298850574712653E-2</v>
      </c>
      <c r="O54" s="16">
        <f>IF(ISNUMBER(M54), $B64 * N54, "")</f>
        <v>3448.2758620689797</v>
      </c>
      <c r="Q54" s="173"/>
      <c r="R54" s="174"/>
      <c r="S54" s="175"/>
    </row>
    <row r="55" spans="1:19" ht="17.25" customHeight="1" thickBot="1">
      <c r="A55" s="109" t="s">
        <v>185</v>
      </c>
      <c r="B55" s="110">
        <v>26.7</v>
      </c>
      <c r="C55" s="70">
        <v>3.8910505800000002E-2</v>
      </c>
      <c r="D55" s="15">
        <v>27.1</v>
      </c>
      <c r="E55" s="32">
        <f t="shared" ref="E55:E58" si="22">IF(ISNUMBER(D55), (D55 - $B55) / $B55, "")</f>
        <v>1.498127340823978E-2</v>
      </c>
      <c r="F55" s="18">
        <f>IF(ISNUMBER(D55), $B64 * E55, "")</f>
        <v>2247.1910112359669</v>
      </c>
      <c r="G55" s="31">
        <v>27.4</v>
      </c>
      <c r="H55" s="32">
        <f t="shared" ref="H55:H58" si="23">IF(ISNUMBER(G55), (G55 - $B55) / $B55, "")</f>
        <v>2.6217228464419449E-2</v>
      </c>
      <c r="I55" s="91">
        <f>IF(ISNUMBER(G55), $B64 * H55, "")</f>
        <v>3932.5842696629174</v>
      </c>
      <c r="J55" s="15">
        <v>27.4</v>
      </c>
      <c r="K55" s="32">
        <f t="shared" ref="K55:K58" si="24">IF(ISNUMBER(J55), (J55 - $B55) / $B55, "")</f>
        <v>2.6217228464419449E-2</v>
      </c>
      <c r="L55" s="18">
        <f>IF(ISNUMBER(J55), $B64 * K55, "")</f>
        <v>3932.5842696629174</v>
      </c>
      <c r="M55" s="31">
        <v>27</v>
      </c>
      <c r="N55" s="32">
        <f t="shared" ref="N55:N58" si="25">IF(ISNUMBER(M55), (M55 - $B55) / $B55, "")</f>
        <v>1.1235955056179803E-2</v>
      </c>
      <c r="O55" s="18">
        <f>IF(ISNUMBER(M55), $B64 * N55, "")</f>
        <v>1685.3932584269703</v>
      </c>
      <c r="Q55" s="176"/>
      <c r="R55" s="177"/>
      <c r="S55" s="178"/>
    </row>
    <row r="56" spans="1:19" ht="17.25" customHeight="1" thickBot="1">
      <c r="A56" s="109" t="s">
        <v>118</v>
      </c>
      <c r="B56" s="110">
        <v>5.37</v>
      </c>
      <c r="C56" s="70">
        <v>3.8684719499999999E-2</v>
      </c>
      <c r="D56" s="15">
        <v>5.3</v>
      </c>
      <c r="E56" s="32">
        <f t="shared" si="22"/>
        <v>-1.3035381750465602E-2</v>
      </c>
      <c r="F56" s="18">
        <f>IF(ISNUMBER(D56), $B64 * E56, "")</f>
        <v>-1955.3072625698403</v>
      </c>
      <c r="G56" s="31">
        <v>5.43</v>
      </c>
      <c r="H56" s="32">
        <f t="shared" si="23"/>
        <v>1.1173184357541827E-2</v>
      </c>
      <c r="I56" s="91">
        <f>IF(ISNUMBER(G56), $B64 * H56, "")</f>
        <v>1675.9776536312741</v>
      </c>
      <c r="J56" s="15">
        <v>5.43</v>
      </c>
      <c r="K56" s="32">
        <f t="shared" si="24"/>
        <v>1.1173184357541827E-2</v>
      </c>
      <c r="L56" s="18">
        <f>IF(ISNUMBER(J56), $B64 * K56, "")</f>
        <v>1675.9776536312741</v>
      </c>
      <c r="M56" s="31">
        <v>5.43</v>
      </c>
      <c r="N56" s="32">
        <f t="shared" si="25"/>
        <v>1.1173184357541827E-2</v>
      </c>
      <c r="O56" s="18">
        <f>IF(ISNUMBER(M56), $B64 * N56, "")</f>
        <v>1675.9776536312741</v>
      </c>
      <c r="Q56" s="161"/>
      <c r="R56" s="161"/>
      <c r="S56" s="161"/>
    </row>
    <row r="57" spans="1:19" ht="17.25" customHeight="1" thickBot="1">
      <c r="A57" s="109" t="s">
        <v>64</v>
      </c>
      <c r="B57" s="110">
        <v>9.3000000000000007</v>
      </c>
      <c r="C57" s="70">
        <v>3.6789297700000001E-2</v>
      </c>
      <c r="D57" s="15">
        <v>9.17</v>
      </c>
      <c r="E57" s="32">
        <f t="shared" si="22"/>
        <v>-1.3978494623655998E-2</v>
      </c>
      <c r="F57" s="18">
        <f>IF(ISNUMBER(D57), $B64 * E57, "")</f>
        <v>-2096.7741935483996</v>
      </c>
      <c r="G57" s="31">
        <v>9.3000000000000007</v>
      </c>
      <c r="H57" s="32">
        <f t="shared" si="23"/>
        <v>0</v>
      </c>
      <c r="I57" s="91">
        <f>IF(ISNUMBER(G57), $B64 * H57, "")</f>
        <v>0</v>
      </c>
      <c r="J57" s="15">
        <v>9.3000000000000007</v>
      </c>
      <c r="K57" s="32">
        <f t="shared" si="24"/>
        <v>0</v>
      </c>
      <c r="L57" s="18">
        <f>IF(ISNUMBER(J57), $B64 * K57, "")</f>
        <v>0</v>
      </c>
      <c r="M57" s="31">
        <v>9.33</v>
      </c>
      <c r="N57" s="32">
        <f t="shared" si="25"/>
        <v>3.2258064516128343E-3</v>
      </c>
      <c r="O57" s="18">
        <f>IF(ISNUMBER(M57), $B64 * N57, "")</f>
        <v>483.87096774192514</v>
      </c>
      <c r="Q57" s="156"/>
      <c r="R57" s="156"/>
      <c r="S57" s="156"/>
    </row>
    <row r="58" spans="1:19" ht="17.25" customHeight="1" thickBot="1">
      <c r="A58" s="111" t="s">
        <v>210</v>
      </c>
      <c r="B58" s="112">
        <v>63.5</v>
      </c>
      <c r="C58" s="71">
        <v>3.5889070100000003E-2</v>
      </c>
      <c r="D58" s="20">
        <v>65</v>
      </c>
      <c r="E58" s="21">
        <f t="shared" si="22"/>
        <v>2.3622047244094488E-2</v>
      </c>
      <c r="F58" s="22">
        <f>IF(ISNUMBER(D58), $B64 * E58, "")</f>
        <v>3543.3070866141734</v>
      </c>
      <c r="G58" s="30">
        <v>65.5</v>
      </c>
      <c r="H58" s="21">
        <f t="shared" si="23"/>
        <v>3.1496062992125984E-2</v>
      </c>
      <c r="I58" s="95">
        <f>IF(ISNUMBER(G58), $B64 * H58, "")</f>
        <v>4724.4094488188975</v>
      </c>
      <c r="J58" s="20">
        <v>65.5</v>
      </c>
      <c r="K58" s="21">
        <f t="shared" si="24"/>
        <v>3.1496062992125984E-2</v>
      </c>
      <c r="L58" s="22">
        <f>IF(ISNUMBER(J58), $B64 * K58, "")</f>
        <v>4724.4094488188975</v>
      </c>
      <c r="M58" s="30">
        <v>65.2</v>
      </c>
      <c r="N58" s="21">
        <f t="shared" si="25"/>
        <v>2.6771653543307131E-2</v>
      </c>
      <c r="O58" s="22">
        <f>IF(ISNUMBER(M58), $B64 * N58, "")</f>
        <v>4015.7480314960699</v>
      </c>
      <c r="Q58" s="156"/>
      <c r="R58" s="156"/>
      <c r="S58" s="156"/>
    </row>
    <row r="59" spans="1:19" ht="17.25" customHeight="1" thickBot="1">
      <c r="A59" s="109" t="s">
        <v>138</v>
      </c>
      <c r="B59" s="113">
        <v>23.1</v>
      </c>
      <c r="C59" s="73">
        <v>3.5874439500000001E-2</v>
      </c>
      <c r="D59" s="96">
        <v>22.6</v>
      </c>
      <c r="E59" s="97">
        <f>IF(ISNUMBER(D59), (D59 - $B59) / $B59, "")</f>
        <v>-2.1645021645021644E-2</v>
      </c>
      <c r="F59" s="98">
        <f>IF(ISNUMBER(D59), $B64 * E59, "")</f>
        <v>-3246.7532467532465</v>
      </c>
      <c r="G59" s="99">
        <v>23.1</v>
      </c>
      <c r="H59" s="97">
        <f>IF(ISNUMBER(G59), (G59 - $B59) / $B59, "")</f>
        <v>0</v>
      </c>
      <c r="I59" s="100">
        <f>IF(ISNUMBER(G59), $B64 * H59, "")</f>
        <v>0</v>
      </c>
      <c r="J59" s="96">
        <v>23.1</v>
      </c>
      <c r="K59" s="97">
        <f>IF(ISNUMBER(J59), (J59 - $B59) / $B59, "")</f>
        <v>0</v>
      </c>
      <c r="L59" s="98">
        <f>IF(ISNUMBER(J59), $B64 * K59, "")</f>
        <v>0</v>
      </c>
      <c r="M59" s="99">
        <v>22.8</v>
      </c>
      <c r="N59" s="97">
        <f>IF(ISNUMBER(M59), (M59 - $B59) / $B59, "")</f>
        <v>-1.2987012987013017E-2</v>
      </c>
      <c r="O59" s="98">
        <f>IF(ISNUMBER(M59), $B64 * N59, "")</f>
        <v>-1948.0519480519526</v>
      </c>
      <c r="Q59" s="161"/>
      <c r="R59" s="161"/>
      <c r="S59" s="161"/>
    </row>
    <row r="60" spans="1:19" ht="17.25" customHeight="1" thickBot="1">
      <c r="A60" s="109" t="s">
        <v>181</v>
      </c>
      <c r="B60" s="110">
        <v>4.1399999999999997</v>
      </c>
      <c r="C60" s="70">
        <v>3.5000000000000003E-2</v>
      </c>
      <c r="D60" s="15">
        <v>4.18</v>
      </c>
      <c r="E60" s="32">
        <f t="shared" ref="E60:E63" si="26">IF(ISNUMBER(D60), (D60 - $B60) / $B60, "")</f>
        <v>9.6618357487922805E-3</v>
      </c>
      <c r="F60" s="18">
        <f>IF(ISNUMBER(D60), $B64 * E60, "")</f>
        <v>1449.2753623188421</v>
      </c>
      <c r="G60" s="31">
        <v>4.1900000000000004</v>
      </c>
      <c r="H60" s="32">
        <f t="shared" ref="H60:H63" si="27">IF(ISNUMBER(G60), (G60 - $B60) / $B60, "")</f>
        <v>1.2077294685990511E-2</v>
      </c>
      <c r="I60" s="91">
        <f>IF(ISNUMBER(G60), $B64 * H60, "")</f>
        <v>1811.5942028985767</v>
      </c>
      <c r="J60" s="15">
        <v>4.1900000000000004</v>
      </c>
      <c r="K60" s="32">
        <f t="shared" ref="K60:K63" si="28">IF(ISNUMBER(J60), (J60 - $B60) / $B60, "")</f>
        <v>1.2077294685990511E-2</v>
      </c>
      <c r="L60" s="18">
        <f>IF(ISNUMBER(J60), $B64 * K60, "")</f>
        <v>1811.5942028985767</v>
      </c>
      <c r="M60" s="31">
        <v>4.28</v>
      </c>
      <c r="N60" s="32">
        <f t="shared" ref="N60:N63" si="29">IF(ISNUMBER(M60), (M60 - $B60) / $B60, "")</f>
        <v>3.381642512077309E-2</v>
      </c>
      <c r="O60" s="18">
        <f>IF(ISNUMBER(M60), $B64 * N60, "")</f>
        <v>5072.4637681159638</v>
      </c>
      <c r="Q60" s="161"/>
      <c r="R60" s="161"/>
      <c r="S60" s="161"/>
    </row>
    <row r="61" spans="1:19" ht="17.25" customHeight="1" thickBot="1">
      <c r="A61" s="109" t="s">
        <v>212</v>
      </c>
      <c r="B61" s="110">
        <v>74.8</v>
      </c>
      <c r="C61" s="70">
        <v>3.3149171300000002E-2</v>
      </c>
      <c r="D61" s="15">
        <v>92.6</v>
      </c>
      <c r="E61" s="32">
        <f t="shared" si="26"/>
        <v>0.23796791443850265</v>
      </c>
      <c r="F61" s="18">
        <f>IF(ISNUMBER(D61), $B64 * E61, "")</f>
        <v>35695.187165775395</v>
      </c>
      <c r="G61" s="31">
        <v>84</v>
      </c>
      <c r="H61" s="32">
        <f t="shared" si="27"/>
        <v>0.12299465240641716</v>
      </c>
      <c r="I61" s="91">
        <f>IF(ISNUMBER(G61), $B64 * H61, "")</f>
        <v>18449.197860962573</v>
      </c>
      <c r="J61" s="15">
        <v>84</v>
      </c>
      <c r="K61" s="32">
        <f t="shared" si="28"/>
        <v>0.12299465240641716</v>
      </c>
      <c r="L61" s="18">
        <f>IF(ISNUMBER(J61), $B64 * K61, "")</f>
        <v>18449.197860962573</v>
      </c>
      <c r="M61" s="31">
        <v>81.400000000000006</v>
      </c>
      <c r="N61" s="32">
        <f t="shared" si="29"/>
        <v>8.8235294117647176E-2</v>
      </c>
      <c r="O61" s="18">
        <f>IF(ISNUMBER(M61), $B64 * N61, "")</f>
        <v>13235.294117647076</v>
      </c>
      <c r="Q61" s="161"/>
      <c r="R61" s="161"/>
      <c r="S61" s="161"/>
    </row>
    <row r="62" spans="1:19" ht="17.25" customHeight="1">
      <c r="A62" s="109" t="s">
        <v>338</v>
      </c>
      <c r="B62" s="110">
        <v>4.41</v>
      </c>
      <c r="C62" s="70">
        <v>3.2786885199999997E-2</v>
      </c>
      <c r="D62" s="15">
        <v>4.5</v>
      </c>
      <c r="E62" s="32">
        <f t="shared" si="26"/>
        <v>2.040816326530609E-2</v>
      </c>
      <c r="F62" s="18">
        <f>IF(ISNUMBER(D62), $B64 * E62, "")</f>
        <v>3061.2244897959135</v>
      </c>
      <c r="G62" s="31">
        <v>4.5199999999999996</v>
      </c>
      <c r="H62" s="32">
        <f t="shared" si="27"/>
        <v>2.4943310657596241E-2</v>
      </c>
      <c r="I62" s="91">
        <f>IF(ISNUMBER(G62), $B64 * H62, "")</f>
        <v>3741.4965986394363</v>
      </c>
      <c r="J62" s="15">
        <v>4.5199999999999996</v>
      </c>
      <c r="K62" s="32">
        <f t="shared" si="28"/>
        <v>2.4943310657596241E-2</v>
      </c>
      <c r="L62" s="18">
        <f>IF(ISNUMBER(J62), $B64 * K62, "")</f>
        <v>3741.4965986394363</v>
      </c>
      <c r="M62" s="31">
        <v>4.47</v>
      </c>
      <c r="N62" s="32">
        <f t="shared" si="29"/>
        <v>1.3605442176870659E-2</v>
      </c>
      <c r="O62" s="18">
        <f>IF(ISNUMBER(M62), $B64 * N62, "")</f>
        <v>2040.8163265305989</v>
      </c>
      <c r="Q62" s="183"/>
      <c r="R62" s="184"/>
      <c r="S62" s="185"/>
    </row>
    <row r="63" spans="1:19" ht="17.25" customHeight="1" thickBot="1">
      <c r="A63" s="114" t="s">
        <v>206</v>
      </c>
      <c r="B63" s="115">
        <v>3.19</v>
      </c>
      <c r="C63" s="72">
        <v>3.2362459500000003E-2</v>
      </c>
      <c r="D63" s="24">
        <v>3.21</v>
      </c>
      <c r="E63" s="25">
        <f t="shared" si="26"/>
        <v>6.269592476489034E-3</v>
      </c>
      <c r="F63" s="94">
        <f>IF(ISNUMBER(D63), $B64 * E63, "")</f>
        <v>940.43887147335511</v>
      </c>
      <c r="G63" s="92">
        <v>3.24</v>
      </c>
      <c r="H63" s="25">
        <f t="shared" si="27"/>
        <v>1.5673981191222656E-2</v>
      </c>
      <c r="I63" s="93">
        <f>IF(ISNUMBER(G63), $B64 * H63, "")</f>
        <v>2351.0971786833984</v>
      </c>
      <c r="J63" s="24">
        <v>3.24</v>
      </c>
      <c r="K63" s="25">
        <f t="shared" si="28"/>
        <v>1.5673981191222656E-2</v>
      </c>
      <c r="L63" s="94">
        <f>IF(ISNUMBER(J63), $B64 * K63, "")</f>
        <v>2351.0971786833984</v>
      </c>
      <c r="M63" s="92">
        <v>3.27</v>
      </c>
      <c r="N63" s="25">
        <f t="shared" si="29"/>
        <v>2.5078369905956136E-2</v>
      </c>
      <c r="O63" s="94">
        <f>IF(ISNUMBER(M63), $B64 * N63, "")</f>
        <v>3761.7554858934204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1.7415981481907948E-2</v>
      </c>
      <c r="F64" s="28">
        <f>SUM(F44:F63)</f>
        <v>52247.944445723835</v>
      </c>
      <c r="G64" s="26" t="s">
        <v>261</v>
      </c>
      <c r="H64" s="27">
        <f>IF(COUNT(H44:H63), SUM(H44:H63) / COUNT(H44:H63), 0)</f>
        <v>2.0195626582549604E-2</v>
      </c>
      <c r="I64" s="28">
        <f>SUM(I44:I63)</f>
        <v>60586.879747648796</v>
      </c>
      <c r="J64" s="26" t="s">
        <v>261</v>
      </c>
      <c r="K64" s="27">
        <f>IF(COUNT(K44:K63), SUM(K44:K63) / COUNT(K44:K63), 0)</f>
        <v>2.0195626582549604E-2</v>
      </c>
      <c r="L64" s="28">
        <f>SUM(L44:L63)</f>
        <v>60586.879747648796</v>
      </c>
      <c r="M64" s="26" t="s">
        <v>261</v>
      </c>
      <c r="N64" s="27">
        <f>IF(COUNT(N44:N63), SUM(N44:N63) / COUNT(N44:N63), 0)</f>
        <v>1.2865311429875617E-2</v>
      </c>
      <c r="O64" s="28">
        <f>SUM(O44:O63)</f>
        <v>38595.934289626857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2022-12-21(수) 오전 00:00</v>
      </c>
      <c r="C69" s="199"/>
      <c r="D69" s="158" t="str">
        <f>TEXT($G$1, "[$-ko-KR]yyyy-mm-dd(ddd) ") &amp; "오후 14:00"</f>
        <v>2022-12-21(수) 오후 14:00</v>
      </c>
      <c r="E69" s="159"/>
      <c r="F69" s="160"/>
      <c r="G69" s="158" t="str">
        <f>TEXT($G$1, "[$-ko-KR]yyyy-mm-dd(ddd) ") &amp; "오후 19:00"</f>
        <v>2022-12-21(수) 오후 19:00</v>
      </c>
      <c r="H69" s="159"/>
      <c r="I69" s="160"/>
      <c r="J69" s="158" t="str">
        <f>TEXT($G$1, "[$-ko-KR]yyyy-mm-dd(ddd) ") &amp; "오후 21:00"</f>
        <v>2022-12-21(수) 오후 21:00</v>
      </c>
      <c r="K69" s="159"/>
      <c r="L69" s="160"/>
      <c r="M69" s="158" t="str">
        <f>TEXT($G$1+1, "[$-ko-KR]yyyy-mm-dd(ddd) ") &amp; "오전 00:00"</f>
        <v>2022-12-22(목)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165</v>
      </c>
      <c r="B71" s="108">
        <v>956</v>
      </c>
      <c r="C71" s="69">
        <v>0.17300613500000001</v>
      </c>
      <c r="D71" s="13">
        <v>976</v>
      </c>
      <c r="E71" s="14">
        <f>IF(ISNUMBER(D71), (D71 - $B71) / $B71, "")</f>
        <v>2.0920502092050208E-2</v>
      </c>
      <c r="F71" s="16">
        <f>IF(ISNUMBER(D71), $B91 * E71, "")</f>
        <v>3138.0753138075311</v>
      </c>
      <c r="G71" s="29">
        <v>988</v>
      </c>
      <c r="H71" s="14">
        <f>IF(ISNUMBER(G71), (G71 - $B71) / $B71, "")</f>
        <v>3.3472803347280332E-2</v>
      </c>
      <c r="I71" s="90">
        <f>IF(ISNUMBER(G71), $B91 * H71, "")</f>
        <v>5020.9205020920499</v>
      </c>
      <c r="J71" s="13">
        <v>988</v>
      </c>
      <c r="K71" s="14">
        <f>IF(ISNUMBER(J71), (J71 - $B71) / $B71, "")</f>
        <v>3.3472803347280332E-2</v>
      </c>
      <c r="L71" s="16">
        <f>IF(ISNUMBER(J71), $B91 * K71, "")</f>
        <v>5020.9205020920499</v>
      </c>
      <c r="M71" s="29">
        <v>937</v>
      </c>
      <c r="N71" s="14">
        <f>IF(ISNUMBER(M71), (M71 - $B71) / $B71, "")</f>
        <v>-1.9874476987447699E-2</v>
      </c>
      <c r="O71" s="16">
        <f>IF(ISNUMBER(M71), $B91 * N71, "")</f>
        <v>-2981.171548117155</v>
      </c>
      <c r="Q71" s="156"/>
      <c r="R71" s="156"/>
      <c r="S71" s="156"/>
    </row>
    <row r="72" spans="1:19" ht="17.25" thickBot="1">
      <c r="A72" s="109" t="s">
        <v>232</v>
      </c>
      <c r="B72" s="110">
        <v>254</v>
      </c>
      <c r="C72" s="70">
        <v>5.8333333299999998E-2</v>
      </c>
      <c r="D72" s="15">
        <v>251</v>
      </c>
      <c r="E72" s="32">
        <f t="shared" ref="E72:E75" si="30">IF(ISNUMBER(D72), (D72 - $B72) / $B72, "")</f>
        <v>-1.1811023622047244E-2</v>
      </c>
      <c r="F72" s="18">
        <f>IF(ISNUMBER(D72), $B91 * E72, "")</f>
        <v>-1771.6535433070867</v>
      </c>
      <c r="G72" s="31">
        <v>256</v>
      </c>
      <c r="H72" s="32">
        <f t="shared" ref="H72:H75" si="31">IF(ISNUMBER(G72), (G72 - $B72) / $B72, "")</f>
        <v>7.874015748031496E-3</v>
      </c>
      <c r="I72" s="91">
        <f>IF(ISNUMBER(G72), $B91 * H72, "")</f>
        <v>1181.1023622047244</v>
      </c>
      <c r="J72" s="15">
        <v>256</v>
      </c>
      <c r="K72" s="32">
        <f t="shared" ref="K72:K75" si="32">IF(ISNUMBER(J72), (J72 - $B72) / $B72, "")</f>
        <v>7.874015748031496E-3</v>
      </c>
      <c r="L72" s="18">
        <f>IF(ISNUMBER(J72), $B91 * K72, "")</f>
        <v>1181.1023622047244</v>
      </c>
      <c r="M72" s="31">
        <v>253</v>
      </c>
      <c r="N72" s="32">
        <f t="shared" ref="N72:N75" si="33">IF(ISNUMBER(M72), (M72 - $B72) / $B72, "")</f>
        <v>-3.937007874015748E-3</v>
      </c>
      <c r="O72" s="18">
        <f>IF(ISNUMBER(M72), $B91 * N72, "")</f>
        <v>-590.55118110236219</v>
      </c>
      <c r="Q72" s="156"/>
      <c r="R72" s="156"/>
      <c r="S72" s="156"/>
    </row>
    <row r="73" spans="1:19" ht="17.25" thickBot="1">
      <c r="A73" s="109" t="s">
        <v>176</v>
      </c>
      <c r="B73" s="110">
        <v>303</v>
      </c>
      <c r="C73" s="70">
        <v>5.20833333E-2</v>
      </c>
      <c r="D73" s="15">
        <v>297</v>
      </c>
      <c r="E73" s="32">
        <f t="shared" si="30"/>
        <v>-1.9801980198019802E-2</v>
      </c>
      <c r="F73" s="18">
        <f>IF(ISNUMBER(D73), $B91 * E73, "")</f>
        <v>-2970.2970297029701</v>
      </c>
      <c r="G73" s="31">
        <v>302</v>
      </c>
      <c r="H73" s="32">
        <f t="shared" si="31"/>
        <v>-3.3003300330033004E-3</v>
      </c>
      <c r="I73" s="91">
        <f>IF(ISNUMBER(G73), $B91 * H73, "")</f>
        <v>-495.04950495049508</v>
      </c>
      <c r="J73" s="15">
        <v>302</v>
      </c>
      <c r="K73" s="32">
        <f t="shared" si="32"/>
        <v>-3.3003300330033004E-3</v>
      </c>
      <c r="L73" s="18">
        <f>IF(ISNUMBER(J73), $B91 * K73, "")</f>
        <v>-495.04950495049508</v>
      </c>
      <c r="M73" s="31">
        <v>300</v>
      </c>
      <c r="N73" s="32">
        <f t="shared" si="33"/>
        <v>-9.9009900990099011E-3</v>
      </c>
      <c r="O73" s="18">
        <f>IF(ISNUMBER(M73), $B91 * N73, "")</f>
        <v>-1485.1485148514851</v>
      </c>
      <c r="Q73" s="161"/>
      <c r="R73" s="161"/>
      <c r="S73" s="161"/>
    </row>
    <row r="74" spans="1:19" ht="17.25" thickBot="1">
      <c r="A74" s="109" t="s">
        <v>149</v>
      </c>
      <c r="B74" s="110">
        <v>343</v>
      </c>
      <c r="C74" s="70">
        <v>4.8929663599999999E-2</v>
      </c>
      <c r="D74" s="15">
        <v>337</v>
      </c>
      <c r="E74" s="32">
        <f t="shared" si="30"/>
        <v>-1.7492711370262391E-2</v>
      </c>
      <c r="F74" s="18">
        <f>IF(ISNUMBER(D74), $B91 * E74, "")</f>
        <v>-2623.9067055393589</v>
      </c>
      <c r="G74" s="31">
        <v>344</v>
      </c>
      <c r="H74" s="32">
        <f t="shared" si="31"/>
        <v>2.9154518950437317E-3</v>
      </c>
      <c r="I74" s="91">
        <f>IF(ISNUMBER(G74), $B91 * H74, "")</f>
        <v>437.31778425655978</v>
      </c>
      <c r="J74" s="15">
        <v>344</v>
      </c>
      <c r="K74" s="32">
        <f t="shared" si="32"/>
        <v>2.9154518950437317E-3</v>
      </c>
      <c r="L74" s="18">
        <f>IF(ISNUMBER(J74), $B91 * K74, "")</f>
        <v>437.31778425655978</v>
      </c>
      <c r="M74" s="31">
        <v>343</v>
      </c>
      <c r="N74" s="32">
        <f t="shared" si="33"/>
        <v>0</v>
      </c>
      <c r="O74" s="18">
        <f>IF(ISNUMBER(M74), $B91 * N74, "")</f>
        <v>0</v>
      </c>
      <c r="Q74" s="161"/>
      <c r="R74" s="161"/>
      <c r="S74" s="161"/>
    </row>
    <row r="75" spans="1:19" ht="17.25" thickBot="1">
      <c r="A75" s="111" t="s">
        <v>157</v>
      </c>
      <c r="B75" s="112">
        <v>172</v>
      </c>
      <c r="C75" s="71">
        <v>4.8780487800000001E-2</v>
      </c>
      <c r="D75" s="20">
        <v>168</v>
      </c>
      <c r="E75" s="21">
        <f t="shared" si="30"/>
        <v>-2.3255813953488372E-2</v>
      </c>
      <c r="F75" s="22">
        <f>IF(ISNUMBER(D75), $B91 * E75, "")</f>
        <v>-3488.3720930232557</v>
      </c>
      <c r="G75" s="30">
        <v>172</v>
      </c>
      <c r="H75" s="21">
        <f t="shared" si="31"/>
        <v>0</v>
      </c>
      <c r="I75" s="95">
        <f>IF(ISNUMBER(G75), $B91 * H75, "")</f>
        <v>0</v>
      </c>
      <c r="J75" s="20">
        <v>172</v>
      </c>
      <c r="K75" s="21">
        <f t="shared" si="32"/>
        <v>0</v>
      </c>
      <c r="L75" s="22">
        <f>IF(ISNUMBER(J75), $B91 * K75, "")</f>
        <v>0</v>
      </c>
      <c r="M75" s="30">
        <v>172</v>
      </c>
      <c r="N75" s="21">
        <f t="shared" si="33"/>
        <v>0</v>
      </c>
      <c r="O75" s="22">
        <f>IF(ISNUMBER(M75), $B91 * N75, "")</f>
        <v>0</v>
      </c>
      <c r="Q75" s="161"/>
      <c r="R75" s="161"/>
      <c r="S75" s="161"/>
    </row>
    <row r="76" spans="1:19" ht="17.25" thickBot="1">
      <c r="A76" s="109" t="s">
        <v>222</v>
      </c>
      <c r="B76" s="113">
        <v>372</v>
      </c>
      <c r="C76" s="73">
        <v>4.7887323900000001E-2</v>
      </c>
      <c r="D76" s="96">
        <v>377</v>
      </c>
      <c r="E76" s="97">
        <f>IF(ISNUMBER(D76), (D76 - $B76) / $B76, "")</f>
        <v>1.3440860215053764E-2</v>
      </c>
      <c r="F76" s="98">
        <f>IF(ISNUMBER(D76), $B91 * E76, "")</f>
        <v>2016.1290322580646</v>
      </c>
      <c r="G76" s="99">
        <v>381</v>
      </c>
      <c r="H76" s="97">
        <f>IF(ISNUMBER(G76), (G76 - $B76) / $B76, "")</f>
        <v>2.4193548387096774E-2</v>
      </c>
      <c r="I76" s="100">
        <f>IF(ISNUMBER(G76), $B91 * H76, "")</f>
        <v>3629.0322580645161</v>
      </c>
      <c r="J76" s="96">
        <v>381</v>
      </c>
      <c r="K76" s="97">
        <f>IF(ISNUMBER(J76), (J76 - $B76) / $B76, "")</f>
        <v>2.4193548387096774E-2</v>
      </c>
      <c r="L76" s="98">
        <f>IF(ISNUMBER(J76), $B91 * K76, "")</f>
        <v>3629.0322580645161</v>
      </c>
      <c r="M76" s="99">
        <v>378</v>
      </c>
      <c r="N76" s="97">
        <f>IF(ISNUMBER(M76), (M76 - $B76) / $B76, "")</f>
        <v>1.6129032258064516E-2</v>
      </c>
      <c r="O76" s="98">
        <f>IF(ISNUMBER(M76), $B91 * N76, "")</f>
        <v>2419.3548387096776</v>
      </c>
      <c r="Q76" s="161"/>
      <c r="R76" s="161"/>
      <c r="S76" s="161"/>
    </row>
    <row r="77" spans="1:19" ht="17.25" thickBot="1">
      <c r="A77" s="109" t="s">
        <v>238</v>
      </c>
      <c r="B77" s="110">
        <v>556</v>
      </c>
      <c r="C77" s="70">
        <v>4.7080979299999999E-2</v>
      </c>
      <c r="D77" s="15">
        <v>556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558</v>
      </c>
      <c r="H77" s="32">
        <f t="shared" ref="H77:H80" si="35">IF(ISNUMBER(G77), (G77 - $B77) / $B77, "")</f>
        <v>3.5971223021582736E-3</v>
      </c>
      <c r="I77" s="91">
        <f>IF(ISNUMBER(G77), $B91 * H77, "")</f>
        <v>539.56834532374103</v>
      </c>
      <c r="J77" s="15">
        <v>558</v>
      </c>
      <c r="K77" s="32">
        <f t="shared" ref="K77:K80" si="36">IF(ISNUMBER(J77), (J77 - $B77) / $B77, "")</f>
        <v>3.5971223021582736E-3</v>
      </c>
      <c r="L77" s="18">
        <f>IF(ISNUMBER(J77), $B91 * K77, "")</f>
        <v>539.56834532374103</v>
      </c>
      <c r="M77" s="31">
        <v>558</v>
      </c>
      <c r="N77" s="32">
        <f t="shared" ref="N77:N80" si="37">IF(ISNUMBER(M77), (M77 - $B77) / $B77, "")</f>
        <v>3.5971223021582736E-3</v>
      </c>
      <c r="O77" s="18">
        <f>IF(ISNUMBER(M77), $B91 * N77, "")</f>
        <v>539.56834532374103</v>
      </c>
      <c r="Q77" s="161"/>
      <c r="R77" s="161"/>
      <c r="S77" s="161"/>
    </row>
    <row r="78" spans="1:19" ht="17.25" thickBot="1">
      <c r="A78" s="109" t="s">
        <v>120</v>
      </c>
      <c r="B78" s="110">
        <v>112</v>
      </c>
      <c r="C78" s="70">
        <v>4.6728972000000001E-2</v>
      </c>
      <c r="D78" s="15">
        <v>112</v>
      </c>
      <c r="E78" s="32">
        <f t="shared" si="34"/>
        <v>0</v>
      </c>
      <c r="F78" s="18">
        <f>IF(ISNUMBER(D78), $B91 * E78, "")</f>
        <v>0</v>
      </c>
      <c r="G78" s="31">
        <v>115</v>
      </c>
      <c r="H78" s="32">
        <f t="shared" si="35"/>
        <v>2.6785714285714284E-2</v>
      </c>
      <c r="I78" s="91">
        <f>IF(ISNUMBER(G78), $B91 * H78, "")</f>
        <v>4017.8571428571427</v>
      </c>
      <c r="J78" s="15">
        <v>115</v>
      </c>
      <c r="K78" s="32">
        <f t="shared" si="36"/>
        <v>2.6785714285714284E-2</v>
      </c>
      <c r="L78" s="18">
        <f>IF(ISNUMBER(J78), $B91 * K78, "")</f>
        <v>4017.8571428571427</v>
      </c>
      <c r="M78" s="31">
        <v>112</v>
      </c>
      <c r="N78" s="32">
        <f t="shared" si="37"/>
        <v>0</v>
      </c>
      <c r="O78" s="18">
        <f>IF(ISNUMBER(M78), $B91 * N78, "")</f>
        <v>0</v>
      </c>
      <c r="Q78" s="161"/>
      <c r="R78" s="161"/>
      <c r="S78" s="161"/>
    </row>
    <row r="79" spans="1:19" ht="17.25" thickBot="1">
      <c r="A79" s="109" t="s">
        <v>130</v>
      </c>
      <c r="B79" s="110">
        <v>692</v>
      </c>
      <c r="C79" s="70">
        <v>4.5317220499999998E-2</v>
      </c>
      <c r="D79" s="15">
        <v>677</v>
      </c>
      <c r="E79" s="32">
        <f t="shared" si="34"/>
        <v>-2.1676300578034682E-2</v>
      </c>
      <c r="F79" s="18">
        <f>IF(ISNUMBER(D79), $B91 * E79, "")</f>
        <v>-3251.4450867052024</v>
      </c>
      <c r="G79" s="31">
        <v>689</v>
      </c>
      <c r="H79" s="32">
        <f t="shared" si="35"/>
        <v>-4.335260115606936E-3</v>
      </c>
      <c r="I79" s="91">
        <f>IF(ISNUMBER(G79), $B91 * H79, "")</f>
        <v>-650.28901734104045</v>
      </c>
      <c r="J79" s="15">
        <v>689</v>
      </c>
      <c r="K79" s="32">
        <f t="shared" si="36"/>
        <v>-4.335260115606936E-3</v>
      </c>
      <c r="L79" s="18">
        <f>IF(ISNUMBER(J79), $B91 * K79, "")</f>
        <v>-650.28901734104045</v>
      </c>
      <c r="M79" s="31">
        <v>685</v>
      </c>
      <c r="N79" s="32">
        <f t="shared" si="37"/>
        <v>-1.0115606936416185E-2</v>
      </c>
      <c r="O79" s="18">
        <f>IF(ISNUMBER(M79), $B91 * N79, "")</f>
        <v>-1517.3410404624278</v>
      </c>
      <c r="Q79" s="33"/>
      <c r="R79" s="33"/>
    </row>
    <row r="80" spans="1:19" ht="17.25" thickBot="1">
      <c r="A80" s="114" t="s">
        <v>218</v>
      </c>
      <c r="B80" s="115">
        <v>304</v>
      </c>
      <c r="C80" s="72">
        <v>4.4673539499999998E-2</v>
      </c>
      <c r="D80" s="24">
        <v>317</v>
      </c>
      <c r="E80" s="25">
        <f t="shared" si="34"/>
        <v>4.2763157894736843E-2</v>
      </c>
      <c r="F80" s="94">
        <f>IF(ISNUMBER(D80), $B91 * E80, "")</f>
        <v>6414.4736842105267</v>
      </c>
      <c r="G80" s="92">
        <v>313</v>
      </c>
      <c r="H80" s="25">
        <f t="shared" si="35"/>
        <v>2.9605263157894735E-2</v>
      </c>
      <c r="I80" s="93">
        <f>IF(ISNUMBER(G80), $B91 * H80, "")</f>
        <v>4440.78947368421</v>
      </c>
      <c r="J80" s="24">
        <v>313</v>
      </c>
      <c r="K80" s="25">
        <f t="shared" si="36"/>
        <v>2.9605263157894735E-2</v>
      </c>
      <c r="L80" s="94">
        <f>IF(ISNUMBER(J80), $B91 * K80, "")</f>
        <v>4440.78947368421</v>
      </c>
      <c r="M80" s="92">
        <v>308</v>
      </c>
      <c r="N80" s="25">
        <f t="shared" si="37"/>
        <v>1.3157894736842105E-2</v>
      </c>
      <c r="O80" s="94">
        <f>IF(ISNUMBER(M80), $B91 * N80, "")</f>
        <v>1973.6842105263156</v>
      </c>
      <c r="Q80" s="170"/>
      <c r="R80" s="171"/>
      <c r="S80" s="172"/>
    </row>
    <row r="81" spans="1:19">
      <c r="A81" s="107" t="s">
        <v>346</v>
      </c>
      <c r="B81" s="108">
        <v>389</v>
      </c>
      <c r="C81" s="69">
        <v>4.2895442399999997E-2</v>
      </c>
      <c r="D81" s="13">
        <v>374</v>
      </c>
      <c r="E81" s="14">
        <f>IF(ISNUMBER(D81), (D81 - $B81) / $B81, "")</f>
        <v>-3.8560411311053984E-2</v>
      </c>
      <c r="F81" s="16">
        <f>IF(ISNUMBER(D81), $B91 * E81, "")</f>
        <v>-5784.0616966580974</v>
      </c>
      <c r="G81" s="29">
        <v>382</v>
      </c>
      <c r="H81" s="14">
        <f>IF(ISNUMBER(G81), (G81 - $B81) / $B81, "")</f>
        <v>-1.7994858611825194E-2</v>
      </c>
      <c r="I81" s="90">
        <f>IF(ISNUMBER(G81), $B91 * H81, "")</f>
        <v>-2699.228791773779</v>
      </c>
      <c r="J81" s="13">
        <v>382</v>
      </c>
      <c r="K81" s="14">
        <f>IF(ISNUMBER(J81), (J81 - $B81) / $B81, "")</f>
        <v>-1.7994858611825194E-2</v>
      </c>
      <c r="L81" s="16">
        <f>IF(ISNUMBER(J81), $B91 * K81, "")</f>
        <v>-2699.228791773779</v>
      </c>
      <c r="M81" s="29">
        <v>377</v>
      </c>
      <c r="N81" s="14">
        <f>IF(ISNUMBER(M81), (M81 - $B81) / $B81, "")</f>
        <v>-3.0848329048843187E-2</v>
      </c>
      <c r="O81" s="16">
        <f>IF(ISNUMBER(M81), $B91 * N81, "")</f>
        <v>-4627.2493573264783</v>
      </c>
      <c r="Q81" s="173"/>
      <c r="R81" s="174"/>
      <c r="S81" s="175"/>
    </row>
    <row r="82" spans="1:19" ht="17.25" thickBot="1">
      <c r="A82" s="109" t="s">
        <v>183</v>
      </c>
      <c r="B82" s="110">
        <v>127</v>
      </c>
      <c r="C82" s="70">
        <v>4.09836066E-2</v>
      </c>
      <c r="D82" s="15">
        <v>127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129</v>
      </c>
      <c r="H82" s="32">
        <f t="shared" ref="H82:H85" si="39">IF(ISNUMBER(G82), (G82 - $B82) / $B82, "")</f>
        <v>1.5748031496062992E-2</v>
      </c>
      <c r="I82" s="91">
        <f>IF(ISNUMBER(G82), $B91 * H82, "")</f>
        <v>2362.2047244094488</v>
      </c>
      <c r="J82" s="15">
        <v>129</v>
      </c>
      <c r="K82" s="32">
        <f t="shared" ref="K82:K85" si="40">IF(ISNUMBER(J82), (J82 - $B82) / $B82, "")</f>
        <v>1.5748031496062992E-2</v>
      </c>
      <c r="L82" s="18">
        <f>IF(ISNUMBER(J82), $B91 * K82, "")</f>
        <v>2362.2047244094488</v>
      </c>
      <c r="M82" s="31">
        <v>128</v>
      </c>
      <c r="N82" s="32">
        <f t="shared" ref="N82:N85" si="41">IF(ISNUMBER(M82), (M82 - $B82) / $B82, "")</f>
        <v>7.874015748031496E-3</v>
      </c>
      <c r="O82" s="18">
        <f>IF(ISNUMBER(M82), $B91 * N82, "")</f>
        <v>1181.1023622047244</v>
      </c>
      <c r="Q82" s="176"/>
      <c r="R82" s="177"/>
      <c r="S82" s="178"/>
    </row>
    <row r="83" spans="1:19" ht="17.25" thickBot="1">
      <c r="A83" s="109" t="s">
        <v>66</v>
      </c>
      <c r="B83" s="110">
        <v>658</v>
      </c>
      <c r="C83" s="70">
        <v>3.9494470800000001E-2</v>
      </c>
      <c r="D83" s="15">
        <v>655</v>
      </c>
      <c r="E83" s="32">
        <f t="shared" si="38"/>
        <v>-4.559270516717325E-3</v>
      </c>
      <c r="F83" s="18">
        <f>IF(ISNUMBER(D83), $B91 * E83, "")</f>
        <v>-683.89057750759878</v>
      </c>
      <c r="G83" s="31">
        <v>666</v>
      </c>
      <c r="H83" s="32">
        <f t="shared" si="39"/>
        <v>1.2158054711246201E-2</v>
      </c>
      <c r="I83" s="91">
        <f>IF(ISNUMBER(G83), $B91 * H83, "")</f>
        <v>1823.70820668693</v>
      </c>
      <c r="J83" s="15">
        <v>666</v>
      </c>
      <c r="K83" s="32">
        <f t="shared" si="40"/>
        <v>1.2158054711246201E-2</v>
      </c>
      <c r="L83" s="18">
        <f>IF(ISNUMBER(J83), $B91 * K83, "")</f>
        <v>1823.70820668693</v>
      </c>
      <c r="M83" s="31">
        <v>661</v>
      </c>
      <c r="N83" s="32">
        <f t="shared" si="41"/>
        <v>4.559270516717325E-3</v>
      </c>
      <c r="O83" s="18">
        <f>IF(ISNUMBER(M83), $B91 * N83, "")</f>
        <v>683.89057750759878</v>
      </c>
      <c r="Q83" s="161"/>
      <c r="R83" s="161"/>
      <c r="S83" s="161"/>
    </row>
    <row r="84" spans="1:19" ht="17.25" thickBot="1">
      <c r="A84" s="109" t="s">
        <v>116</v>
      </c>
      <c r="B84" s="110">
        <v>964</v>
      </c>
      <c r="C84" s="70">
        <v>3.8793103400000001E-2</v>
      </c>
      <c r="D84" s="15">
        <v>956</v>
      </c>
      <c r="E84" s="32">
        <f t="shared" si="38"/>
        <v>-8.2987551867219917E-3</v>
      </c>
      <c r="F84" s="18">
        <f>IF(ISNUMBER(D84), $B91 * E84, "")</f>
        <v>-1244.8132780082988</v>
      </c>
      <c r="G84" s="31">
        <v>978</v>
      </c>
      <c r="H84" s="32">
        <f t="shared" si="39"/>
        <v>1.4522821576763486E-2</v>
      </c>
      <c r="I84" s="91">
        <f>IF(ISNUMBER(G84), $B91 * H84, "")</f>
        <v>2178.4232365145231</v>
      </c>
      <c r="J84" s="15">
        <v>978</v>
      </c>
      <c r="K84" s="32">
        <f t="shared" si="40"/>
        <v>1.4522821576763486E-2</v>
      </c>
      <c r="L84" s="18">
        <f>IF(ISNUMBER(J84), $B91 * K84, "")</f>
        <v>2178.4232365145231</v>
      </c>
      <c r="M84" s="31">
        <v>970</v>
      </c>
      <c r="N84" s="32">
        <f t="shared" si="41"/>
        <v>6.2240663900414933E-3</v>
      </c>
      <c r="O84" s="18">
        <f>IF(ISNUMBER(M84), $B91 * N84, "")</f>
        <v>933.60995850622396</v>
      </c>
      <c r="Q84" s="156"/>
      <c r="R84" s="156"/>
      <c r="S84" s="156"/>
    </row>
    <row r="85" spans="1:19" ht="17.25" thickBot="1">
      <c r="A85" s="111" t="s">
        <v>103</v>
      </c>
      <c r="B85" s="112">
        <v>216</v>
      </c>
      <c r="C85" s="71">
        <v>3.8461538500000003E-2</v>
      </c>
      <c r="D85" s="20">
        <v>216</v>
      </c>
      <c r="E85" s="21">
        <f t="shared" si="38"/>
        <v>0</v>
      </c>
      <c r="F85" s="22">
        <f>IF(ISNUMBER(D85), $B91 * E85, "")</f>
        <v>0</v>
      </c>
      <c r="G85" s="30">
        <v>221</v>
      </c>
      <c r="H85" s="21">
        <f t="shared" si="39"/>
        <v>2.3148148148148147E-2</v>
      </c>
      <c r="I85" s="95">
        <f>IF(ISNUMBER(G85), $B91 * H85, "")</f>
        <v>3472.2222222222222</v>
      </c>
      <c r="J85" s="20">
        <v>221</v>
      </c>
      <c r="K85" s="21">
        <f t="shared" si="40"/>
        <v>2.3148148148148147E-2</v>
      </c>
      <c r="L85" s="22">
        <f>IF(ISNUMBER(J85), $B91 * K85, "")</f>
        <v>3472.2222222222222</v>
      </c>
      <c r="M85" s="30">
        <v>221</v>
      </c>
      <c r="N85" s="21">
        <f t="shared" si="41"/>
        <v>2.3148148148148147E-2</v>
      </c>
      <c r="O85" s="22">
        <f>IF(ISNUMBER(M85), $B91 * N85, "")</f>
        <v>3472.2222222222222</v>
      </c>
      <c r="Q85" s="156"/>
      <c r="R85" s="156"/>
      <c r="S85" s="156"/>
    </row>
    <row r="86" spans="1:19" ht="17.25" thickBot="1">
      <c r="A86" s="109" t="s">
        <v>105</v>
      </c>
      <c r="B86" s="113">
        <v>195</v>
      </c>
      <c r="C86" s="73">
        <v>3.7234042600000003E-2</v>
      </c>
      <c r="D86" s="96">
        <v>191</v>
      </c>
      <c r="E86" s="97">
        <f>IF(ISNUMBER(D86), (D86 - $B86) / $B86, "")</f>
        <v>-2.0512820512820513E-2</v>
      </c>
      <c r="F86" s="98">
        <f>IF(ISNUMBER(D86), $B91 * E86, "")</f>
        <v>-3076.9230769230771</v>
      </c>
      <c r="G86" s="99">
        <v>196</v>
      </c>
      <c r="H86" s="97">
        <f>IF(ISNUMBER(G86), (G86 - $B86) / $B86, "")</f>
        <v>5.1282051282051282E-3</v>
      </c>
      <c r="I86" s="100">
        <f>IF(ISNUMBER(G86), $B91 * H86, "")</f>
        <v>769.23076923076928</v>
      </c>
      <c r="J86" s="96">
        <v>196</v>
      </c>
      <c r="K86" s="97">
        <f>IF(ISNUMBER(J86), (J86 - $B86) / $B86, "")</f>
        <v>5.1282051282051282E-3</v>
      </c>
      <c r="L86" s="98">
        <f>IF(ISNUMBER(J86), $B91 * K86, "")</f>
        <v>769.23076923076928</v>
      </c>
      <c r="M86" s="99">
        <v>195</v>
      </c>
      <c r="N86" s="97">
        <f>IF(ISNUMBER(M86), (M86 - $B86) / $B86, "")</f>
        <v>0</v>
      </c>
      <c r="O86" s="98">
        <f>IF(ISNUMBER(M86), $B91 * N86, "")</f>
        <v>0</v>
      </c>
      <c r="Q86" s="161"/>
      <c r="R86" s="161"/>
      <c r="S86" s="161"/>
    </row>
    <row r="87" spans="1:19" ht="17.25" thickBot="1">
      <c r="A87" s="109" t="s">
        <v>167</v>
      </c>
      <c r="B87" s="110">
        <v>169</v>
      </c>
      <c r="C87" s="70">
        <v>3.6809816000000002E-2</v>
      </c>
      <c r="D87" s="15">
        <v>173</v>
      </c>
      <c r="E87" s="32">
        <f t="shared" ref="E87:E90" si="42">IF(ISNUMBER(D87), (D87 - $B87) / $B87, "")</f>
        <v>2.3668639053254437E-2</v>
      </c>
      <c r="F87" s="18">
        <f>IF(ISNUMBER(D87), $B91 * E87, "")</f>
        <v>3550.2958579881656</v>
      </c>
      <c r="G87" s="31">
        <v>199</v>
      </c>
      <c r="H87" s="32">
        <f t="shared" ref="H87:H90" si="43">IF(ISNUMBER(G87), (G87 - $B87) / $B87, "")</f>
        <v>0.17751479289940827</v>
      </c>
      <c r="I87" s="91">
        <f>IF(ISNUMBER(G87), $B91 * H87, "")</f>
        <v>26627.218934911241</v>
      </c>
      <c r="J87" s="15">
        <v>199</v>
      </c>
      <c r="K87" s="32">
        <f t="shared" ref="K87:K90" si="44">IF(ISNUMBER(J87), (J87 - $B87) / $B87, "")</f>
        <v>0.17751479289940827</v>
      </c>
      <c r="L87" s="18">
        <f>IF(ISNUMBER(J87), $B91 * K87, "")</f>
        <v>26627.218934911241</v>
      </c>
      <c r="M87" s="31">
        <v>182</v>
      </c>
      <c r="N87" s="32">
        <f t="shared" ref="N87:N90" si="45">IF(ISNUMBER(M87), (M87 - $B87) / $B87, "")</f>
        <v>7.6923076923076927E-2</v>
      </c>
      <c r="O87" s="18">
        <f>IF(ISNUMBER(M87), $B91 * N87, "")</f>
        <v>11538.461538461539</v>
      </c>
      <c r="Q87" s="161"/>
      <c r="R87" s="161"/>
      <c r="S87" s="161"/>
    </row>
    <row r="88" spans="1:19" ht="17.25" thickBot="1">
      <c r="A88" s="109" t="s">
        <v>153</v>
      </c>
      <c r="B88" s="110">
        <v>342</v>
      </c>
      <c r="C88" s="70">
        <v>3.6363636400000003E-2</v>
      </c>
      <c r="D88" s="15">
        <v>344</v>
      </c>
      <c r="E88" s="32">
        <f t="shared" si="42"/>
        <v>5.8479532163742687E-3</v>
      </c>
      <c r="F88" s="18">
        <f>IF(ISNUMBER(D88), $B91 * E88, "")</f>
        <v>877.19298245614027</v>
      </c>
      <c r="G88" s="31">
        <v>352</v>
      </c>
      <c r="H88" s="32">
        <f t="shared" si="43"/>
        <v>2.9239766081871343E-2</v>
      </c>
      <c r="I88" s="91">
        <f>IF(ISNUMBER(G88), $B91 * H88, "")</f>
        <v>4385.9649122807014</v>
      </c>
      <c r="J88" s="15">
        <v>352</v>
      </c>
      <c r="K88" s="32">
        <f t="shared" si="44"/>
        <v>2.9239766081871343E-2</v>
      </c>
      <c r="L88" s="18">
        <f>IF(ISNUMBER(J88), $B91 * K88, "")</f>
        <v>4385.9649122807014</v>
      </c>
      <c r="M88" s="31">
        <v>349</v>
      </c>
      <c r="N88" s="32">
        <f t="shared" si="45"/>
        <v>2.046783625730994E-2</v>
      </c>
      <c r="O88" s="18">
        <f>IF(ISNUMBER(M88), $B91 * N88, "")</f>
        <v>3070.1754385964909</v>
      </c>
      <c r="Q88" s="161"/>
      <c r="R88" s="161"/>
      <c r="S88" s="161"/>
    </row>
    <row r="89" spans="1:19">
      <c r="A89" s="109" t="s">
        <v>216</v>
      </c>
      <c r="B89" s="110">
        <v>457</v>
      </c>
      <c r="C89" s="70">
        <v>3.6281179099999998E-2</v>
      </c>
      <c r="D89" s="15">
        <v>458</v>
      </c>
      <c r="E89" s="32">
        <f t="shared" si="42"/>
        <v>2.1881838074398249E-3</v>
      </c>
      <c r="F89" s="18">
        <f>IF(ISNUMBER(D89), $B91 * E89, "")</f>
        <v>328.22757111597372</v>
      </c>
      <c r="G89" s="31">
        <v>467</v>
      </c>
      <c r="H89" s="32">
        <f t="shared" si="43"/>
        <v>2.1881838074398249E-2</v>
      </c>
      <c r="I89" s="91">
        <f>IF(ISNUMBER(G89), $B91 * H89, "")</f>
        <v>3282.2757111597375</v>
      </c>
      <c r="J89" s="15">
        <v>467</v>
      </c>
      <c r="K89" s="32">
        <f t="shared" si="44"/>
        <v>2.1881838074398249E-2</v>
      </c>
      <c r="L89" s="18">
        <f>IF(ISNUMBER(J89), $B91 * K89, "")</f>
        <v>3282.2757111597375</v>
      </c>
      <c r="M89" s="31">
        <v>460</v>
      </c>
      <c r="N89" s="32">
        <f t="shared" si="45"/>
        <v>6.5645514223194746E-3</v>
      </c>
      <c r="O89" s="18">
        <f>IF(ISNUMBER(M89), $B91 * N89, "")</f>
        <v>984.68271334792121</v>
      </c>
      <c r="Q89" s="183"/>
      <c r="R89" s="184"/>
      <c r="S89" s="185"/>
    </row>
    <row r="90" spans="1:19" ht="17.25" thickBot="1">
      <c r="A90" s="114" t="s">
        <v>85</v>
      </c>
      <c r="B90" s="115">
        <v>147</v>
      </c>
      <c r="C90" s="72">
        <v>3.5211267599999999E-2</v>
      </c>
      <c r="D90" s="24">
        <v>144</v>
      </c>
      <c r="E90" s="25">
        <f t="shared" si="42"/>
        <v>-2.0408163265306121E-2</v>
      </c>
      <c r="F90" s="94">
        <f>IF(ISNUMBER(D90), $B91 * E90, "")</f>
        <v>-3061.2244897959181</v>
      </c>
      <c r="G90" s="92">
        <v>146</v>
      </c>
      <c r="H90" s="25">
        <f t="shared" si="43"/>
        <v>-6.8027210884353739E-3</v>
      </c>
      <c r="I90" s="93">
        <f>IF(ISNUMBER(G90), $B91 * H90, "")</f>
        <v>-1020.408163265306</v>
      </c>
      <c r="J90" s="24">
        <v>146</v>
      </c>
      <c r="K90" s="25">
        <f t="shared" si="44"/>
        <v>-6.8027210884353739E-3</v>
      </c>
      <c r="L90" s="94">
        <f>IF(ISNUMBER(J90), $B91 * K90, "")</f>
        <v>-1020.408163265306</v>
      </c>
      <c r="M90" s="92">
        <v>143</v>
      </c>
      <c r="N90" s="25">
        <f t="shared" si="45"/>
        <v>-2.7210884353741496E-2</v>
      </c>
      <c r="O90" s="94">
        <f>IF(ISNUMBER(M90), $B91 * N90, "")</f>
        <v>-4081.6326530612241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-3.8773977117781541E-3</v>
      </c>
      <c r="F91" s="28">
        <f>SUM(F71:F90)</f>
        <v>-11632.193135334463</v>
      </c>
      <c r="G91" s="26" t="s">
        <v>261</v>
      </c>
      <c r="H91" s="27">
        <f>IF(COUNT(H71:H90), SUM(H71:H90) / COUNT(H71:H90), 0)</f>
        <v>1.9767620369522634E-2</v>
      </c>
      <c r="I91" s="28">
        <f>SUM(I71:I90)</f>
        <v>59302.8611085679</v>
      </c>
      <c r="J91" s="26" t="s">
        <v>261</v>
      </c>
      <c r="K91" s="27">
        <f>IF(COUNT(K71:K90), SUM(K71:K90) / COUNT(K71:K90), 0)</f>
        <v>1.9767620369522634E-2</v>
      </c>
      <c r="L91" s="28">
        <f>SUM(L71:L90)</f>
        <v>59302.8611085679</v>
      </c>
      <c r="M91" s="26" t="s">
        <v>261</v>
      </c>
      <c r="N91" s="27">
        <f>IF(COUNT(N71:N90), SUM(N71:N90) / COUNT(N71:N90), 0)</f>
        <v>3.8378859701617739E-3</v>
      </c>
      <c r="O91" s="28">
        <f>SUM(O71:O90)</f>
        <v>11513.657910485323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2022-12-21(수) 오전 00:00</v>
      </c>
      <c r="C96" s="199"/>
      <c r="D96" s="158" t="str">
        <f>TEXT($G$1, "[$-ko-KR]yyyy-mm-dd(ddd) ") &amp; "오후 14:00"</f>
        <v>2022-12-21(수) 오후 14:00</v>
      </c>
      <c r="E96" s="159"/>
      <c r="F96" s="160"/>
      <c r="G96" s="158" t="str">
        <f>TEXT($G$1, "[$-ko-KR]yyyy-mm-dd(ddd) ") &amp; "오후 19:00"</f>
        <v>2022-12-21(수) 오후 19:00</v>
      </c>
      <c r="H96" s="159"/>
      <c r="I96" s="160"/>
      <c r="J96" s="158" t="str">
        <f>TEXT($G$1, "[$-ko-KR]yyyy-mm-dd(ddd) ") &amp; "오후 21:00"</f>
        <v>2022-12-21(수) 오후 21:00</v>
      </c>
      <c r="K96" s="159"/>
      <c r="L96" s="160"/>
      <c r="M96" s="158" t="str">
        <f>TEXT($G$1+1, "[$-ko-KR]yyyy-mm-dd(ddd) ") &amp; "오전 00:00"</f>
        <v>2022-12-22(목)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214</v>
      </c>
      <c r="B98" s="108">
        <v>1120</v>
      </c>
      <c r="C98" s="69">
        <v>0.2598425197</v>
      </c>
      <c r="D98" s="13">
        <v>1055</v>
      </c>
      <c r="E98" s="14">
        <f>IF(ISNUMBER(D98), (D98 - $B98) / $B98, "")</f>
        <v>-5.8035714285714288E-2</v>
      </c>
      <c r="F98" s="16">
        <f>IF(ISNUMBER(D98), $B118 * E98, "")</f>
        <v>-8705.3571428571431</v>
      </c>
      <c r="G98" s="29">
        <v>1045</v>
      </c>
      <c r="H98" s="14">
        <f>IF(ISNUMBER(G98), (G98 - $B98) / $B98, "")</f>
        <v>-6.6964285714285712E-2</v>
      </c>
      <c r="I98" s="90">
        <f>IF(ISNUMBER(G98), $B118 * H98, "")</f>
        <v>-10044.642857142857</v>
      </c>
      <c r="J98" s="13">
        <v>1045</v>
      </c>
      <c r="K98" s="14">
        <f>IF(ISNUMBER(J98), (J98 - $B98) / $B98, "")</f>
        <v>-6.6964285714285712E-2</v>
      </c>
      <c r="L98" s="16">
        <f>IF(ISNUMBER(J98), $B118 * K98, "")</f>
        <v>-10044.642857142857</v>
      </c>
      <c r="M98" s="29">
        <v>1020</v>
      </c>
      <c r="N98" s="14">
        <f>IF(ISNUMBER(M98), (M98 - $B98) / $B98, "")</f>
        <v>-8.9285714285714288E-2</v>
      </c>
      <c r="O98" s="16">
        <f>IF(ISNUMBER(M98), $B118 * N98, "")</f>
        <v>-13392.857142857143</v>
      </c>
      <c r="Q98" s="156"/>
      <c r="R98" s="156"/>
      <c r="S98" s="156"/>
    </row>
    <row r="99" spans="1:19" ht="17.25" thickBot="1">
      <c r="A99" s="109" t="s">
        <v>165</v>
      </c>
      <c r="B99" s="110">
        <v>956</v>
      </c>
      <c r="C99" s="70">
        <v>0.17300613500000001</v>
      </c>
      <c r="D99" s="15">
        <v>976</v>
      </c>
      <c r="E99" s="32">
        <f t="shared" ref="E99:E102" si="46">IF(ISNUMBER(D99), (D99 - $B99) / $B99, "")</f>
        <v>2.0920502092050208E-2</v>
      </c>
      <c r="F99" s="18">
        <f>IF(ISNUMBER(D99), $B118 * E99, "")</f>
        <v>3138.0753138075311</v>
      </c>
      <c r="G99" s="31">
        <v>988</v>
      </c>
      <c r="H99" s="32">
        <f t="shared" ref="H99:H102" si="47">IF(ISNUMBER(G99), (G99 - $B99) / $B99, "")</f>
        <v>3.3472803347280332E-2</v>
      </c>
      <c r="I99" s="91">
        <f>IF(ISNUMBER(G99), $B118 * H99, "")</f>
        <v>5020.9205020920499</v>
      </c>
      <c r="J99" s="15">
        <v>988</v>
      </c>
      <c r="K99" s="32">
        <f t="shared" ref="K99:K102" si="48">IF(ISNUMBER(J99), (J99 - $B99) / $B99, "")</f>
        <v>3.3472803347280332E-2</v>
      </c>
      <c r="L99" s="18">
        <f>IF(ISNUMBER(J99), $B118 * K99, "")</f>
        <v>5020.9205020920499</v>
      </c>
      <c r="M99" s="31">
        <v>937</v>
      </c>
      <c r="N99" s="32">
        <f t="shared" ref="N99:N102" si="49">IF(ISNUMBER(M99), (M99 - $B99) / $B99, "")</f>
        <v>-1.9874476987447699E-2</v>
      </c>
      <c r="O99" s="18">
        <f>IF(ISNUMBER(M99), $B118 * N99, "")</f>
        <v>-2981.171548117155</v>
      </c>
      <c r="Q99" s="156"/>
      <c r="R99" s="156"/>
      <c r="S99" s="156"/>
    </row>
    <row r="100" spans="1:19" ht="17.25" thickBot="1">
      <c r="A100" s="109" t="s">
        <v>208</v>
      </c>
      <c r="B100" s="110">
        <v>96.8</v>
      </c>
      <c r="C100" s="70">
        <v>0.10250569480000001</v>
      </c>
      <c r="D100" s="15">
        <v>94.9</v>
      </c>
      <c r="E100" s="32">
        <f t="shared" si="46"/>
        <v>-1.9628099173553633E-2</v>
      </c>
      <c r="F100" s="18">
        <f>IF(ISNUMBER(D100), $B118 * E100, "")</f>
        <v>-2944.2148760330451</v>
      </c>
      <c r="G100" s="31">
        <v>95.1</v>
      </c>
      <c r="H100" s="32">
        <f t="shared" si="47"/>
        <v>-1.7561983471074408E-2</v>
      </c>
      <c r="I100" s="91">
        <f>IF(ISNUMBER(G100), $B118 * H100, "")</f>
        <v>-2634.2975206611613</v>
      </c>
      <c r="J100" s="15">
        <v>95.1</v>
      </c>
      <c r="K100" s="32">
        <f t="shared" si="48"/>
        <v>-1.7561983471074408E-2</v>
      </c>
      <c r="L100" s="18">
        <f>IF(ISNUMBER(J100), $B118 * K100, "")</f>
        <v>-2634.2975206611613</v>
      </c>
      <c r="M100" s="31">
        <v>94</v>
      </c>
      <c r="N100" s="32">
        <f t="shared" si="49"/>
        <v>-2.8925619834710717E-2</v>
      </c>
      <c r="O100" s="18">
        <f>IF(ISNUMBER(M100), $B118 * N100, "")</f>
        <v>-4338.8429752066077</v>
      </c>
      <c r="Q100" s="161"/>
      <c r="R100" s="161"/>
      <c r="S100" s="161"/>
    </row>
    <row r="101" spans="1:19" ht="17.25" thickBot="1">
      <c r="A101" s="109" t="s">
        <v>350</v>
      </c>
      <c r="B101" s="110">
        <v>6.44</v>
      </c>
      <c r="C101" s="70">
        <v>8.0536912799999999E-2</v>
      </c>
      <c r="D101" s="15">
        <v>6.64</v>
      </c>
      <c r="E101" s="32">
        <f t="shared" si="46"/>
        <v>3.1055900621117901E-2</v>
      </c>
      <c r="F101" s="18">
        <f>IF(ISNUMBER(D101), $B118 * E101, "")</f>
        <v>4658.3850931676852</v>
      </c>
      <c r="G101" s="31">
        <v>6.52</v>
      </c>
      <c r="H101" s="32">
        <f t="shared" si="47"/>
        <v>1.2422360248447077E-2</v>
      </c>
      <c r="I101" s="91">
        <f>IF(ISNUMBER(G101), $B118 * H101, "")</f>
        <v>1863.3540372670616</v>
      </c>
      <c r="J101" s="15">
        <v>6.52</v>
      </c>
      <c r="K101" s="32">
        <f t="shared" si="48"/>
        <v>1.2422360248447077E-2</v>
      </c>
      <c r="L101" s="18">
        <f>IF(ISNUMBER(J101), $B118 * K101, "")</f>
        <v>1863.3540372670616</v>
      </c>
      <c r="M101" s="31">
        <v>6.39</v>
      </c>
      <c r="N101" s="32">
        <f t="shared" si="49"/>
        <v>-7.7639751552796132E-3</v>
      </c>
      <c r="O101" s="18">
        <f>IF(ISNUMBER(M101), $B118 * N101, "")</f>
        <v>-1164.596273291942</v>
      </c>
      <c r="Q101" s="161"/>
      <c r="R101" s="161"/>
      <c r="S101" s="161"/>
    </row>
    <row r="102" spans="1:19" ht="17.25" thickBot="1">
      <c r="A102" s="111" t="s">
        <v>326</v>
      </c>
      <c r="B102" s="112">
        <v>21.2</v>
      </c>
      <c r="C102" s="71">
        <v>6.5326633199999998E-2</v>
      </c>
      <c r="D102" s="20">
        <v>20.9</v>
      </c>
      <c r="E102" s="21">
        <f t="shared" si="46"/>
        <v>-1.4150943396226448E-2</v>
      </c>
      <c r="F102" s="22">
        <f>IF(ISNUMBER(D102), $B118 * E102, "")</f>
        <v>-2122.6415094339673</v>
      </c>
      <c r="G102" s="30">
        <v>21.3</v>
      </c>
      <c r="H102" s="21">
        <f t="shared" si="47"/>
        <v>4.7169811320755392E-3</v>
      </c>
      <c r="I102" s="95">
        <f>IF(ISNUMBER(G102), $B118 * H102, "")</f>
        <v>707.54716981133083</v>
      </c>
      <c r="J102" s="20">
        <v>21.3</v>
      </c>
      <c r="K102" s="21">
        <f t="shared" si="48"/>
        <v>4.7169811320755392E-3</v>
      </c>
      <c r="L102" s="22">
        <f>IF(ISNUMBER(J102), $B118 * K102, "")</f>
        <v>707.54716981133083</v>
      </c>
      <c r="M102" s="30">
        <v>21.2</v>
      </c>
      <c r="N102" s="21">
        <f t="shared" si="49"/>
        <v>0</v>
      </c>
      <c r="O102" s="22">
        <f>IF(ISNUMBER(M102), $B118 * N102, "")</f>
        <v>0</v>
      </c>
      <c r="Q102" s="161"/>
      <c r="R102" s="161"/>
      <c r="S102" s="161"/>
    </row>
    <row r="103" spans="1:19" ht="17.25" thickBot="1">
      <c r="A103" s="109" t="s">
        <v>191</v>
      </c>
      <c r="B103" s="113">
        <v>51.6</v>
      </c>
      <c r="C103" s="73">
        <v>6.17283951E-2</v>
      </c>
      <c r="D103" s="96">
        <v>51.9</v>
      </c>
      <c r="E103" s="97">
        <f>IF(ISNUMBER(D103), (D103 - $B103) / $B103, "")</f>
        <v>5.8139534883720374E-3</v>
      </c>
      <c r="F103" s="98">
        <f>IF(ISNUMBER(D103), $B118 * E103, "")</f>
        <v>872.09302325580563</v>
      </c>
      <c r="G103" s="99">
        <v>52.1</v>
      </c>
      <c r="H103" s="97">
        <f>IF(ISNUMBER(G103), (G103 - $B103) / $B103, "")</f>
        <v>9.6899224806201549E-3</v>
      </c>
      <c r="I103" s="100">
        <f>IF(ISNUMBER(G103), $B118 * H103, "")</f>
        <v>1453.4883720930231</v>
      </c>
      <c r="J103" s="96">
        <v>52.1</v>
      </c>
      <c r="K103" s="97">
        <f>IF(ISNUMBER(J103), (J103 - $B103) / $B103, "")</f>
        <v>9.6899224806201549E-3</v>
      </c>
      <c r="L103" s="98">
        <f>IF(ISNUMBER(J103), $B118 * K103, "")</f>
        <v>1453.4883720930231</v>
      </c>
      <c r="M103" s="99">
        <v>51.2</v>
      </c>
      <c r="N103" s="97">
        <f>IF(ISNUMBER(M103), (M103 - $B103) / $B103, "")</f>
        <v>-7.7519379844960962E-3</v>
      </c>
      <c r="O103" s="98">
        <f>IF(ISNUMBER(M103), $B118 * N103, "")</f>
        <v>-1162.7906976744143</v>
      </c>
      <c r="Q103" s="161"/>
      <c r="R103" s="161"/>
      <c r="S103" s="161"/>
    </row>
    <row r="104" spans="1:19" ht="17.25" thickBot="1">
      <c r="A104" s="109" t="s">
        <v>71</v>
      </c>
      <c r="B104" s="110">
        <v>10.3</v>
      </c>
      <c r="C104" s="70">
        <v>5.9670781899999997E-2</v>
      </c>
      <c r="D104" s="15">
        <v>10.1</v>
      </c>
      <c r="E104" s="32">
        <f t="shared" ref="E104:E107" si="50">IF(ISNUMBER(D104), (D104 - $B104) / $B104, "")</f>
        <v>-1.9417475728155442E-2</v>
      </c>
      <c r="F104" s="18">
        <f>IF(ISNUMBER(D104), $B118 * E104, "")</f>
        <v>-2912.6213592233162</v>
      </c>
      <c r="G104" s="31">
        <v>10.3</v>
      </c>
      <c r="H104" s="32">
        <f t="shared" ref="H104:H107" si="51">IF(ISNUMBER(G104), (G104 - $B104) / $B104, "")</f>
        <v>0</v>
      </c>
      <c r="I104" s="91">
        <f>IF(ISNUMBER(G104), $B118 * H104, "")</f>
        <v>0</v>
      </c>
      <c r="J104" s="15">
        <v>10.3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10.3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61"/>
      <c r="R104" s="161"/>
      <c r="S104" s="161"/>
    </row>
    <row r="105" spans="1:19" ht="17.25" thickBot="1">
      <c r="A105" s="109" t="s">
        <v>232</v>
      </c>
      <c r="B105" s="110">
        <v>254</v>
      </c>
      <c r="C105" s="70">
        <v>5.8333333299999998E-2</v>
      </c>
      <c r="D105" s="15">
        <v>251</v>
      </c>
      <c r="E105" s="32">
        <f t="shared" si="50"/>
        <v>-1.1811023622047244E-2</v>
      </c>
      <c r="F105" s="18">
        <f>IF(ISNUMBER(D105), $B118 * E105, "")</f>
        <v>-1771.6535433070867</v>
      </c>
      <c r="G105" s="31">
        <v>256</v>
      </c>
      <c r="H105" s="32">
        <f t="shared" si="51"/>
        <v>7.874015748031496E-3</v>
      </c>
      <c r="I105" s="91">
        <f>IF(ISNUMBER(G105), $B118 * H105, "")</f>
        <v>1181.1023622047244</v>
      </c>
      <c r="J105" s="15">
        <v>256</v>
      </c>
      <c r="K105" s="32">
        <f t="shared" si="52"/>
        <v>7.874015748031496E-3</v>
      </c>
      <c r="L105" s="18">
        <f>IF(ISNUMBER(J105), $B118 * K105, "")</f>
        <v>1181.1023622047244</v>
      </c>
      <c r="M105" s="31">
        <v>253</v>
      </c>
      <c r="N105" s="32">
        <f t="shared" si="53"/>
        <v>-3.937007874015748E-3</v>
      </c>
      <c r="O105" s="18">
        <f>IF(ISNUMBER(M105), $B118 * N105, "")</f>
        <v>-590.55118110236219</v>
      </c>
      <c r="Q105" s="161"/>
      <c r="R105" s="161"/>
      <c r="S105" s="161"/>
    </row>
    <row r="106" spans="1:19" ht="17.25" thickBot="1">
      <c r="A106" s="109" t="s">
        <v>176</v>
      </c>
      <c r="B106" s="110">
        <v>303</v>
      </c>
      <c r="C106" s="70">
        <v>5.20833333E-2</v>
      </c>
      <c r="D106" s="15">
        <v>297</v>
      </c>
      <c r="E106" s="32">
        <f t="shared" si="50"/>
        <v>-1.9801980198019802E-2</v>
      </c>
      <c r="F106" s="18">
        <f>IF(ISNUMBER(D106), $B118 * E106, "")</f>
        <v>-2970.2970297029701</v>
      </c>
      <c r="G106" s="31">
        <v>302</v>
      </c>
      <c r="H106" s="32">
        <f t="shared" si="51"/>
        <v>-3.3003300330033004E-3</v>
      </c>
      <c r="I106" s="91">
        <f>IF(ISNUMBER(G106), $B118 * H106, "")</f>
        <v>-495.04950495049508</v>
      </c>
      <c r="J106" s="15">
        <v>302</v>
      </c>
      <c r="K106" s="32">
        <f t="shared" si="52"/>
        <v>-3.3003300330033004E-3</v>
      </c>
      <c r="L106" s="18">
        <f>IF(ISNUMBER(J106), $B118 * K106, "")</f>
        <v>-495.04950495049508</v>
      </c>
      <c r="M106" s="31">
        <v>300</v>
      </c>
      <c r="N106" s="32">
        <f t="shared" si="53"/>
        <v>-9.9009900990099011E-3</v>
      </c>
      <c r="O106" s="18">
        <f>IF(ISNUMBER(M106), $B118 * N106, "")</f>
        <v>-1485.1485148514851</v>
      </c>
      <c r="Q106" s="33"/>
      <c r="R106" s="33"/>
    </row>
    <row r="107" spans="1:19" ht="17.25" thickBot="1">
      <c r="A107" s="114" t="s">
        <v>189</v>
      </c>
      <c r="B107" s="115">
        <v>1010</v>
      </c>
      <c r="C107" s="72">
        <v>5.09885536E-2</v>
      </c>
      <c r="D107" s="24">
        <v>984</v>
      </c>
      <c r="E107" s="25">
        <f t="shared" si="50"/>
        <v>-2.5742574257425741E-2</v>
      </c>
      <c r="F107" s="94">
        <f>IF(ISNUMBER(D107), $B118 * E107, "")</f>
        <v>-3861.386138613861</v>
      </c>
      <c r="G107" s="92">
        <v>1010</v>
      </c>
      <c r="H107" s="25">
        <f t="shared" si="51"/>
        <v>0</v>
      </c>
      <c r="I107" s="93">
        <f>IF(ISNUMBER(G107), $B118 * H107, "")</f>
        <v>0</v>
      </c>
      <c r="J107" s="24">
        <v>1010</v>
      </c>
      <c r="K107" s="25">
        <f t="shared" si="52"/>
        <v>0</v>
      </c>
      <c r="L107" s="94">
        <f>IF(ISNUMBER(J107), $B118 * K107, "")</f>
        <v>0</v>
      </c>
      <c r="M107" s="92">
        <v>997</v>
      </c>
      <c r="N107" s="25">
        <f t="shared" si="53"/>
        <v>-1.2871287128712871E-2</v>
      </c>
      <c r="O107" s="94">
        <f>IF(ISNUMBER(M107), $B118 * N107, "")</f>
        <v>-1930.6930693069305</v>
      </c>
      <c r="Q107" s="170"/>
      <c r="R107" s="171"/>
      <c r="S107" s="172"/>
    </row>
    <row r="108" spans="1:19">
      <c r="A108" s="107" t="s">
        <v>149</v>
      </c>
      <c r="B108" s="108">
        <v>343</v>
      </c>
      <c r="C108" s="69">
        <v>4.8929663599999999E-2</v>
      </c>
      <c r="D108" s="13">
        <v>337</v>
      </c>
      <c r="E108" s="14">
        <f>IF(ISNUMBER(D108), (D108 - $B108) / $B108, "")</f>
        <v>-1.7492711370262391E-2</v>
      </c>
      <c r="F108" s="16">
        <f>IF(ISNUMBER(D108), $B118 * E108, "")</f>
        <v>-2623.9067055393589</v>
      </c>
      <c r="G108" s="29">
        <v>344</v>
      </c>
      <c r="H108" s="14">
        <f>IF(ISNUMBER(G108), (G108 - $B108) / $B108, "")</f>
        <v>2.9154518950437317E-3</v>
      </c>
      <c r="I108" s="90">
        <f>IF(ISNUMBER(G108), $B118 * H108, "")</f>
        <v>437.31778425655978</v>
      </c>
      <c r="J108" s="13">
        <v>344</v>
      </c>
      <c r="K108" s="14">
        <f>IF(ISNUMBER(J108), (J108 - $B108) / $B108, "")</f>
        <v>2.9154518950437317E-3</v>
      </c>
      <c r="L108" s="16">
        <f>IF(ISNUMBER(J108), $B118 * K108, "")</f>
        <v>437.31778425655978</v>
      </c>
      <c r="M108" s="29">
        <v>343</v>
      </c>
      <c r="N108" s="14">
        <f>IF(ISNUMBER(M108), (M108 - $B108) / $B108, "")</f>
        <v>0</v>
      </c>
      <c r="O108" s="16">
        <f>IF(ISNUMBER(M108), $B118 * N108, "")</f>
        <v>0</v>
      </c>
      <c r="Q108" s="173"/>
      <c r="R108" s="174"/>
      <c r="S108" s="175"/>
    </row>
    <row r="109" spans="1:19" ht="17.25" thickBot="1">
      <c r="A109" s="109" t="s">
        <v>157</v>
      </c>
      <c r="B109" s="110">
        <v>172</v>
      </c>
      <c r="C109" s="70">
        <v>4.8780487800000001E-2</v>
      </c>
      <c r="D109" s="15">
        <v>168</v>
      </c>
      <c r="E109" s="32">
        <f t="shared" ref="E109:E112" si="54">IF(ISNUMBER(D109), (D109 - $B109) / $B109, "")</f>
        <v>-2.3255813953488372E-2</v>
      </c>
      <c r="F109" s="18">
        <f>IF(ISNUMBER(D109), $B118 * E109, "")</f>
        <v>-3488.3720930232557</v>
      </c>
      <c r="G109" s="31">
        <v>172</v>
      </c>
      <c r="H109" s="32">
        <f t="shared" ref="H109:H112" si="55">IF(ISNUMBER(G109), (G109 - $B109) / $B109, "")</f>
        <v>0</v>
      </c>
      <c r="I109" s="91">
        <f>IF(ISNUMBER(G109), $B118 * H109, "")</f>
        <v>0</v>
      </c>
      <c r="J109" s="15">
        <v>172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172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176"/>
      <c r="R109" s="177"/>
      <c r="S109" s="178"/>
    </row>
    <row r="110" spans="1:19" ht="17.25" thickBot="1">
      <c r="A110" s="109" t="s">
        <v>222</v>
      </c>
      <c r="B110" s="110">
        <v>372</v>
      </c>
      <c r="C110" s="70">
        <v>4.7887323900000001E-2</v>
      </c>
      <c r="D110" s="15">
        <v>377</v>
      </c>
      <c r="E110" s="32">
        <f t="shared" si="54"/>
        <v>1.3440860215053764E-2</v>
      </c>
      <c r="F110" s="18">
        <f>IF(ISNUMBER(D110), $B118 * E110, "")</f>
        <v>2016.1290322580646</v>
      </c>
      <c r="G110" s="31">
        <v>381</v>
      </c>
      <c r="H110" s="32">
        <f t="shared" si="55"/>
        <v>2.4193548387096774E-2</v>
      </c>
      <c r="I110" s="91">
        <f>IF(ISNUMBER(G110), $B118 * H110, "")</f>
        <v>3629.0322580645161</v>
      </c>
      <c r="J110" s="15">
        <v>381</v>
      </c>
      <c r="K110" s="32">
        <f t="shared" si="56"/>
        <v>2.4193548387096774E-2</v>
      </c>
      <c r="L110" s="18">
        <f>IF(ISNUMBER(J110), $B118 * K110, "")</f>
        <v>3629.0322580645161</v>
      </c>
      <c r="M110" s="31">
        <v>378</v>
      </c>
      <c r="N110" s="32">
        <f t="shared" si="57"/>
        <v>1.6129032258064516E-2</v>
      </c>
      <c r="O110" s="18">
        <f>IF(ISNUMBER(M110), $B118 * N110, "")</f>
        <v>2419.3548387096776</v>
      </c>
      <c r="Q110" s="161"/>
      <c r="R110" s="161"/>
      <c r="S110" s="161"/>
    </row>
    <row r="111" spans="1:19" ht="17.25" thickBot="1">
      <c r="A111" s="109" t="s">
        <v>238</v>
      </c>
      <c r="B111" s="110">
        <v>556</v>
      </c>
      <c r="C111" s="70">
        <v>4.7080979299999999E-2</v>
      </c>
      <c r="D111" s="15">
        <v>556</v>
      </c>
      <c r="E111" s="32">
        <f t="shared" si="54"/>
        <v>0</v>
      </c>
      <c r="F111" s="18">
        <f>IF(ISNUMBER(D111), $B118 * E111, "")</f>
        <v>0</v>
      </c>
      <c r="G111" s="31">
        <v>558</v>
      </c>
      <c r="H111" s="32">
        <f t="shared" si="55"/>
        <v>3.5971223021582736E-3</v>
      </c>
      <c r="I111" s="91">
        <f>IF(ISNUMBER(G111), $B118 * H111, "")</f>
        <v>539.56834532374103</v>
      </c>
      <c r="J111" s="15">
        <v>558</v>
      </c>
      <c r="K111" s="32">
        <f t="shared" si="56"/>
        <v>3.5971223021582736E-3</v>
      </c>
      <c r="L111" s="18">
        <f>IF(ISNUMBER(J111), $B118 * K111, "")</f>
        <v>539.56834532374103</v>
      </c>
      <c r="M111" s="31">
        <v>558</v>
      </c>
      <c r="N111" s="32">
        <f t="shared" si="57"/>
        <v>3.5971223021582736E-3</v>
      </c>
      <c r="O111" s="18">
        <f>IF(ISNUMBER(M111), $B118 * N111, "")</f>
        <v>539.56834532374103</v>
      </c>
      <c r="Q111" s="156"/>
      <c r="R111" s="156"/>
      <c r="S111" s="156"/>
    </row>
    <row r="112" spans="1:19" ht="17.25" thickBot="1">
      <c r="A112" s="111" t="s">
        <v>178</v>
      </c>
      <c r="B112" s="112">
        <v>1450</v>
      </c>
      <c r="C112" s="71">
        <v>4.69314079E-2</v>
      </c>
      <c r="D112" s="20">
        <v>1440</v>
      </c>
      <c r="E112" s="21">
        <f t="shared" si="54"/>
        <v>-6.8965517241379309E-3</v>
      </c>
      <c r="F112" s="22">
        <f>IF(ISNUMBER(D112), $B118 * E112, "")</f>
        <v>-1034.4827586206895</v>
      </c>
      <c r="G112" s="30">
        <v>1465</v>
      </c>
      <c r="H112" s="21">
        <f t="shared" si="55"/>
        <v>1.0344827586206896E-2</v>
      </c>
      <c r="I112" s="95">
        <f>IF(ISNUMBER(G112), $B118 * H112, "")</f>
        <v>1551.7241379310344</v>
      </c>
      <c r="J112" s="20">
        <v>1465</v>
      </c>
      <c r="K112" s="21">
        <f t="shared" si="56"/>
        <v>1.0344827586206896E-2</v>
      </c>
      <c r="L112" s="22">
        <f>IF(ISNUMBER(J112), $B118 * K112, "")</f>
        <v>1551.7241379310344</v>
      </c>
      <c r="M112" s="30">
        <v>1460</v>
      </c>
      <c r="N112" s="21">
        <f t="shared" si="57"/>
        <v>6.8965517241379309E-3</v>
      </c>
      <c r="O112" s="22">
        <f>IF(ISNUMBER(M112), $B118 * N112, "")</f>
        <v>1034.4827586206895</v>
      </c>
      <c r="Q112" s="156"/>
      <c r="R112" s="156"/>
      <c r="S112" s="156"/>
    </row>
    <row r="113" spans="1:19" ht="17.25" thickBot="1">
      <c r="A113" s="109" t="s">
        <v>120</v>
      </c>
      <c r="B113" s="113">
        <v>112</v>
      </c>
      <c r="C113" s="73">
        <v>4.6728972000000001E-2</v>
      </c>
      <c r="D113" s="96">
        <v>112</v>
      </c>
      <c r="E113" s="97">
        <f>IF(ISNUMBER(D113), (D113 - $B113) / $B113, "")</f>
        <v>0</v>
      </c>
      <c r="F113" s="98">
        <f>IF(ISNUMBER(D113), $B118 * E113, "")</f>
        <v>0</v>
      </c>
      <c r="G113" s="99">
        <v>115</v>
      </c>
      <c r="H113" s="97">
        <f>IF(ISNUMBER(G113), (G113 - $B113) / $B113, "")</f>
        <v>2.6785714285714284E-2</v>
      </c>
      <c r="I113" s="100">
        <f>IF(ISNUMBER(G113), $B118 * H113, "")</f>
        <v>4017.8571428571427</v>
      </c>
      <c r="J113" s="96">
        <v>115</v>
      </c>
      <c r="K113" s="97">
        <f>IF(ISNUMBER(J113), (J113 - $B113) / $B113, "")</f>
        <v>2.6785714285714284E-2</v>
      </c>
      <c r="L113" s="98">
        <f>IF(ISNUMBER(J113), $B118 * K113, "")</f>
        <v>4017.8571428571427</v>
      </c>
      <c r="M113" s="99">
        <v>112</v>
      </c>
      <c r="N113" s="97">
        <f>IF(ISNUMBER(M113), (M113 - $B113) / $B113, "")</f>
        <v>0</v>
      </c>
      <c r="O113" s="98">
        <f>IF(ISNUMBER(M113), $B118 * N113, "")</f>
        <v>0</v>
      </c>
      <c r="Q113" s="161"/>
      <c r="R113" s="161"/>
      <c r="S113" s="161"/>
    </row>
    <row r="114" spans="1:19" ht="17.25" thickBot="1">
      <c r="A114" s="109" t="s">
        <v>198</v>
      </c>
      <c r="B114" s="110">
        <v>6.75</v>
      </c>
      <c r="C114" s="70">
        <v>4.6511627899999998E-2</v>
      </c>
      <c r="D114" s="15">
        <v>6.9</v>
      </c>
      <c r="E114" s="32">
        <f t="shared" ref="E114:E117" si="58">IF(ISNUMBER(D114), (D114 - $B114) / $B114, "")</f>
        <v>2.2222222222222275E-2</v>
      </c>
      <c r="F114" s="18">
        <f>IF(ISNUMBER(D114), $B118 * E114, "")</f>
        <v>3333.3333333333412</v>
      </c>
      <c r="G114" s="31">
        <v>6.97</v>
      </c>
      <c r="H114" s="32">
        <f t="shared" ref="H114:H117" si="59">IF(ISNUMBER(G114), (G114 - $B114) / $B114, "")</f>
        <v>3.2592592592592555E-2</v>
      </c>
      <c r="I114" s="91">
        <f>IF(ISNUMBER(G114), $B118 * H114, "")</f>
        <v>4888.8888888888832</v>
      </c>
      <c r="J114" s="15">
        <v>6.97</v>
      </c>
      <c r="K114" s="32">
        <f t="shared" ref="K114:K117" si="60">IF(ISNUMBER(J114), (J114 - $B114) / $B114, "")</f>
        <v>3.2592592592592555E-2</v>
      </c>
      <c r="L114" s="18">
        <f>IF(ISNUMBER(J114), $B118 * K114, "")</f>
        <v>4888.8888888888832</v>
      </c>
      <c r="M114" s="31">
        <v>6.96</v>
      </c>
      <c r="N114" s="32">
        <f t="shared" ref="N114:N117" si="61">IF(ISNUMBER(M114), (M114 - $B114) / $B114, "")</f>
        <v>3.1111111111111107E-2</v>
      </c>
      <c r="O114" s="18">
        <f>IF(ISNUMBER(M114), $B118 * N114, "")</f>
        <v>4666.6666666666661</v>
      </c>
      <c r="Q114" s="161"/>
      <c r="R114" s="161"/>
      <c r="S114" s="161"/>
    </row>
    <row r="115" spans="1:19" ht="17.25" thickBot="1">
      <c r="A115" s="109" t="s">
        <v>130</v>
      </c>
      <c r="B115" s="110">
        <v>692</v>
      </c>
      <c r="C115" s="70">
        <v>4.5317220499999998E-2</v>
      </c>
      <c r="D115" s="15">
        <v>677</v>
      </c>
      <c r="E115" s="32">
        <f t="shared" si="58"/>
        <v>-2.1676300578034682E-2</v>
      </c>
      <c r="F115" s="18">
        <f>IF(ISNUMBER(D115), $B118 * E115, "")</f>
        <v>-3251.4450867052024</v>
      </c>
      <c r="G115" s="31">
        <v>689</v>
      </c>
      <c r="H115" s="32">
        <f t="shared" si="59"/>
        <v>-4.335260115606936E-3</v>
      </c>
      <c r="I115" s="91">
        <f>IF(ISNUMBER(G115), $B118 * H115, "")</f>
        <v>-650.28901734104045</v>
      </c>
      <c r="J115" s="15">
        <v>689</v>
      </c>
      <c r="K115" s="32">
        <f t="shared" si="60"/>
        <v>-4.335260115606936E-3</v>
      </c>
      <c r="L115" s="18">
        <f>IF(ISNUMBER(J115), $B118 * K115, "")</f>
        <v>-650.28901734104045</v>
      </c>
      <c r="M115" s="31">
        <v>685</v>
      </c>
      <c r="N115" s="32">
        <f t="shared" si="61"/>
        <v>-1.0115606936416185E-2</v>
      </c>
      <c r="O115" s="18">
        <f>IF(ISNUMBER(M115), $B118 * N115, "")</f>
        <v>-1517.3410404624278</v>
      </c>
      <c r="Q115" s="161"/>
      <c r="R115" s="161"/>
      <c r="S115" s="161"/>
    </row>
    <row r="116" spans="1:19">
      <c r="A116" s="109" t="s">
        <v>224</v>
      </c>
      <c r="B116" s="110">
        <v>18.5</v>
      </c>
      <c r="C116" s="70">
        <v>4.5197740100000001E-2</v>
      </c>
      <c r="D116" s="15">
        <v>18.5</v>
      </c>
      <c r="E116" s="32">
        <f t="shared" si="58"/>
        <v>0</v>
      </c>
      <c r="F116" s="18">
        <f>IF(ISNUMBER(D116), $B118 * E116, "")</f>
        <v>0</v>
      </c>
      <c r="G116" s="31">
        <v>18.8</v>
      </c>
      <c r="H116" s="32">
        <f t="shared" si="59"/>
        <v>1.6216216216216255E-2</v>
      </c>
      <c r="I116" s="91">
        <f>IF(ISNUMBER(G116), $B118 * H116, "")</f>
        <v>2432.4324324324384</v>
      </c>
      <c r="J116" s="15">
        <v>18.8</v>
      </c>
      <c r="K116" s="32">
        <f t="shared" si="60"/>
        <v>1.6216216216216255E-2</v>
      </c>
      <c r="L116" s="18">
        <f>IF(ISNUMBER(J116), $B118 * K116, "")</f>
        <v>2432.4324324324384</v>
      </c>
      <c r="M116" s="31">
        <v>18.600000000000001</v>
      </c>
      <c r="N116" s="32">
        <f t="shared" si="61"/>
        <v>5.405405405405482E-3</v>
      </c>
      <c r="O116" s="18">
        <f>IF(ISNUMBER(M116), $B118 * N116, "")</f>
        <v>810.81081081082232</v>
      </c>
      <c r="Q116" s="183"/>
      <c r="R116" s="184"/>
      <c r="S116" s="185"/>
    </row>
    <row r="117" spans="1:19" ht="17.25" thickBot="1">
      <c r="A117" s="114" t="s">
        <v>218</v>
      </c>
      <c r="B117" s="115">
        <v>304</v>
      </c>
      <c r="C117" s="72">
        <v>4.4673539499999998E-2</v>
      </c>
      <c r="D117" s="24">
        <v>317</v>
      </c>
      <c r="E117" s="25">
        <f t="shared" si="58"/>
        <v>4.2763157894736843E-2</v>
      </c>
      <c r="F117" s="94">
        <f>IF(ISNUMBER(D117), $B118 * E117, "")</f>
        <v>6414.4736842105267</v>
      </c>
      <c r="G117" s="92">
        <v>313</v>
      </c>
      <c r="H117" s="25">
        <f t="shared" si="59"/>
        <v>2.9605263157894735E-2</v>
      </c>
      <c r="I117" s="93">
        <f>IF(ISNUMBER(G117), $B118 * H117, "")</f>
        <v>4440.78947368421</v>
      </c>
      <c r="J117" s="24">
        <v>313</v>
      </c>
      <c r="K117" s="25">
        <f t="shared" si="60"/>
        <v>2.9605263157894735E-2</v>
      </c>
      <c r="L117" s="94">
        <f>IF(ISNUMBER(J117), $B118 * K117, "")</f>
        <v>4440.78947368421</v>
      </c>
      <c r="M117" s="92">
        <v>308</v>
      </c>
      <c r="N117" s="25">
        <f t="shared" si="61"/>
        <v>1.3157894736842105E-2</v>
      </c>
      <c r="O117" s="94">
        <f>IF(ISNUMBER(M117), $B118 * N117, "")</f>
        <v>1973.6842105263156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-5.0846295876756488E-3</v>
      </c>
      <c r="F118" s="28">
        <f>SUM(F98:F117)</f>
        <v>-15253.888763026942</v>
      </c>
      <c r="G118" s="26" t="s">
        <v>261</v>
      </c>
      <c r="H118" s="27">
        <f>IF(COUNT(H98:H117), SUM(H98:H117) / COUNT(H98:H117), 0)</f>
        <v>6.1132480022703878E-3</v>
      </c>
      <c r="I118" s="28">
        <f>SUM(I98:I117)</f>
        <v>18339.744006811161</v>
      </c>
      <c r="J118" s="26" t="s">
        <v>261</v>
      </c>
      <c r="K118" s="27">
        <f>IF(COUNT(K98:K117), SUM(K98:K117) / COUNT(K98:K117), 0)</f>
        <v>6.1132480022703878E-3</v>
      </c>
      <c r="L118" s="28">
        <f>SUM(L98:L117)</f>
        <v>18339.744006811161</v>
      </c>
      <c r="M118" s="26" t="s">
        <v>261</v>
      </c>
      <c r="N118" s="27">
        <f>IF(COUNT(N98:N117), SUM(N98:N117) / COUNT(N98:N117), 0)</f>
        <v>-5.706474937404186E-3</v>
      </c>
      <c r="O118" s="28">
        <f>SUM(O98:O117)</f>
        <v>-17119.424812212557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2022-12-21(수) 오전 00:00</v>
      </c>
      <c r="C123" s="199"/>
      <c r="D123" s="158" t="str">
        <f>TEXT($G$1, "[$-ko-KR]yyyy-mm-dd(ddd) ") &amp; "오후 14:00"</f>
        <v>2022-12-21(수) 오후 14:00</v>
      </c>
      <c r="E123" s="159"/>
      <c r="F123" s="160"/>
      <c r="G123" s="158" t="str">
        <f>TEXT($G$1, "[$-ko-KR]yyyy-mm-dd(ddd) ") &amp; "오후 19:00"</f>
        <v>2022-12-21(수) 오후 19:00</v>
      </c>
      <c r="H123" s="159"/>
      <c r="I123" s="160"/>
      <c r="J123" s="158" t="str">
        <f>TEXT($G$1, "[$-ko-KR]yyyy-mm-dd(ddd) ") &amp; "오후 21:00"</f>
        <v>2022-12-21(수) 오후 21:00</v>
      </c>
      <c r="K123" s="159"/>
      <c r="L123" s="160"/>
      <c r="M123" s="158" t="str">
        <f>TEXT($G$1+1, "[$-ko-KR]yyyy-mm-dd(ddd) ") &amp; "오전 00:00"</f>
        <v>2022-12-22(목)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124</v>
      </c>
      <c r="B125" s="108">
        <v>29.2</v>
      </c>
      <c r="C125" s="69">
        <v>3.1802120099999998E-2</v>
      </c>
      <c r="D125" s="13">
        <v>29.5</v>
      </c>
      <c r="E125" s="14">
        <f>IF(ISNUMBER(D125), (D125 - $B125) / $B125, "")</f>
        <v>1.0273972602739751E-2</v>
      </c>
      <c r="F125" s="16">
        <f>IF(ISNUMBER(D125), $B145 * E125, "")</f>
        <v>1541.0958904109627</v>
      </c>
      <c r="G125" s="29">
        <v>30.2</v>
      </c>
      <c r="H125" s="14">
        <f>IF(ISNUMBER(G125), (G125 - $B125) / $B125, "")</f>
        <v>3.4246575342465752E-2</v>
      </c>
      <c r="I125" s="90">
        <f>IF(ISNUMBER(G125), $B145 * H125, "")</f>
        <v>5136.9863013698623</v>
      </c>
      <c r="J125" s="13">
        <v>30.2</v>
      </c>
      <c r="K125" s="14">
        <f>IF(ISNUMBER(J125), (J125 - $B125) / $B125, "")</f>
        <v>3.4246575342465752E-2</v>
      </c>
      <c r="L125" s="16">
        <f>IF(ISNUMBER(J125), $B145 * K125, "")</f>
        <v>5136.9863013698623</v>
      </c>
      <c r="M125" s="29">
        <v>29.7</v>
      </c>
      <c r="N125" s="14">
        <f>IF(ISNUMBER(M125), (M125 - $B125) / $B125, "")</f>
        <v>1.7123287671232876E-2</v>
      </c>
      <c r="O125" s="16">
        <f>IF(ISNUMBER(M125), $B145 * N125, "")</f>
        <v>2568.4931506849312</v>
      </c>
      <c r="Q125" s="156"/>
      <c r="R125" s="156"/>
      <c r="S125" s="156"/>
    </row>
    <row r="126" spans="1:19" ht="17.25" thickBot="1">
      <c r="A126" s="109" t="s">
        <v>155</v>
      </c>
      <c r="B126" s="110">
        <v>26.9</v>
      </c>
      <c r="C126" s="70">
        <v>3.0651340999999999E-2</v>
      </c>
      <c r="D126" s="15">
        <v>26.7</v>
      </c>
      <c r="E126" s="32">
        <f t="shared" ref="E126:E129" si="62">IF(ISNUMBER(D126), (D126 - $B126) / $B126, "")</f>
        <v>-7.4349442379181892E-3</v>
      </c>
      <c r="F126" s="18">
        <f>IF(ISNUMBER(D126), $B145 * E126, "")</f>
        <v>-1115.2416356877284</v>
      </c>
      <c r="G126" s="31">
        <v>27.1</v>
      </c>
      <c r="H126" s="32">
        <f t="shared" ref="H126:H129" si="63">IF(ISNUMBER(G126), (G126 - $B126) / $B126, "")</f>
        <v>7.434944237918322E-3</v>
      </c>
      <c r="I126" s="91">
        <f>IF(ISNUMBER(G126), $B145 * H126, "")</f>
        <v>1115.2416356877484</v>
      </c>
      <c r="J126" s="15">
        <v>27.1</v>
      </c>
      <c r="K126" s="32">
        <f t="shared" ref="K126:K129" si="64">IF(ISNUMBER(J126), (J126 - $B126) / $B126, "")</f>
        <v>7.434944237918322E-3</v>
      </c>
      <c r="L126" s="18">
        <f>IF(ISNUMBER(J126), $B145 * K126, "")</f>
        <v>1115.2416356877484</v>
      </c>
      <c r="M126" s="31">
        <v>27.4</v>
      </c>
      <c r="N126" s="32">
        <f t="shared" ref="N126:N129" si="65">IF(ISNUMBER(M126), (M126 - $B126) / $B126, "")</f>
        <v>1.858736059479554E-2</v>
      </c>
      <c r="O126" s="18">
        <f>IF(ISNUMBER(M126), $B145 * N126, "")</f>
        <v>2788.1040892193309</v>
      </c>
      <c r="Q126" s="156"/>
      <c r="R126" s="156"/>
      <c r="S126" s="156"/>
    </row>
    <row r="127" spans="1:19" ht="17.25" thickBot="1">
      <c r="A127" s="109" t="s">
        <v>193</v>
      </c>
      <c r="B127" s="110">
        <v>17</v>
      </c>
      <c r="C127" s="70">
        <v>3.0303030299999999E-2</v>
      </c>
      <c r="D127" s="15">
        <v>17.3</v>
      </c>
      <c r="E127" s="32">
        <f t="shared" si="62"/>
        <v>1.7647058823529453E-2</v>
      </c>
      <c r="F127" s="18">
        <f>IF(ISNUMBER(D127), $B145 * E127, "")</f>
        <v>2647.0588235294181</v>
      </c>
      <c r="G127" s="31">
        <v>17.3</v>
      </c>
      <c r="H127" s="32">
        <f t="shared" si="63"/>
        <v>1.7647058823529453E-2</v>
      </c>
      <c r="I127" s="91">
        <f>IF(ISNUMBER(G127), $B145 * H127, "")</f>
        <v>2647.0588235294181</v>
      </c>
      <c r="J127" s="15">
        <v>17.3</v>
      </c>
      <c r="K127" s="32">
        <f t="shared" si="64"/>
        <v>1.7647058823529453E-2</v>
      </c>
      <c r="L127" s="18">
        <f>IF(ISNUMBER(J127), $B145 * K127, "")</f>
        <v>2647.0588235294181</v>
      </c>
      <c r="M127" s="31">
        <v>17.2</v>
      </c>
      <c r="N127" s="32">
        <f t="shared" si="65"/>
        <v>1.1764705882352899E-2</v>
      </c>
      <c r="O127" s="18">
        <f>IF(ISNUMBER(M127), $B145 * N127, "")</f>
        <v>1764.7058823529349</v>
      </c>
      <c r="Q127" s="161"/>
      <c r="R127" s="161"/>
      <c r="S127" s="161"/>
    </row>
    <row r="128" spans="1:19" ht="17.25" thickBot="1">
      <c r="A128" s="109" t="s">
        <v>244</v>
      </c>
      <c r="B128" s="110">
        <v>87.1</v>
      </c>
      <c r="C128" s="70">
        <v>2.95508274E-2</v>
      </c>
      <c r="D128" s="15">
        <v>91.6</v>
      </c>
      <c r="E128" s="32">
        <f t="shared" si="62"/>
        <v>5.1664753157290473E-2</v>
      </c>
      <c r="F128" s="18">
        <f>IF(ISNUMBER(D128), $B145 * E128, "")</f>
        <v>7749.7129735935714</v>
      </c>
      <c r="G128" s="31">
        <v>90.6</v>
      </c>
      <c r="H128" s="32">
        <f t="shared" si="63"/>
        <v>4.0183696900114814E-2</v>
      </c>
      <c r="I128" s="91">
        <f>IF(ISNUMBER(G128), $B145 * H128, "")</f>
        <v>6027.5545350172224</v>
      </c>
      <c r="J128" s="15">
        <v>90.6</v>
      </c>
      <c r="K128" s="32">
        <f t="shared" si="64"/>
        <v>4.0183696900114814E-2</v>
      </c>
      <c r="L128" s="18">
        <f>IF(ISNUMBER(J128), $B145 * K128, "")</f>
        <v>6027.5545350172224</v>
      </c>
      <c r="M128" s="31">
        <v>87.9</v>
      </c>
      <c r="N128" s="32">
        <f t="shared" si="65"/>
        <v>9.1848450057406585E-3</v>
      </c>
      <c r="O128" s="18">
        <f>IF(ISNUMBER(M128), $B145 * N128, "")</f>
        <v>1377.7267508610987</v>
      </c>
      <c r="Q128" s="161"/>
      <c r="R128" s="161"/>
      <c r="S128" s="161"/>
    </row>
    <row r="129" spans="1:19" ht="17.25" thickBot="1">
      <c r="A129" s="111" t="s">
        <v>56</v>
      </c>
      <c r="B129" s="112">
        <v>39.200000000000003</v>
      </c>
      <c r="C129" s="71">
        <v>2.8871391100000001E-2</v>
      </c>
      <c r="D129" s="20">
        <v>38.5</v>
      </c>
      <c r="E129" s="21">
        <f t="shared" si="62"/>
        <v>-1.7857142857142929E-2</v>
      </c>
      <c r="F129" s="22">
        <f>IF(ISNUMBER(D129), $B145 * E129, "")</f>
        <v>-2678.5714285714394</v>
      </c>
      <c r="G129" s="30">
        <v>39.4</v>
      </c>
      <c r="H129" s="21">
        <f t="shared" si="63"/>
        <v>5.1020408163264218E-3</v>
      </c>
      <c r="I129" s="95">
        <f>IF(ISNUMBER(G129), $B145 * H129, "")</f>
        <v>765.30612244896327</v>
      </c>
      <c r="J129" s="20">
        <v>39.4</v>
      </c>
      <c r="K129" s="21">
        <f t="shared" si="64"/>
        <v>5.1020408163264218E-3</v>
      </c>
      <c r="L129" s="22">
        <f>IF(ISNUMBER(J129), $B145 * K129, "")</f>
        <v>765.30612244896327</v>
      </c>
      <c r="M129" s="30">
        <v>39.200000000000003</v>
      </c>
      <c r="N129" s="21">
        <f t="shared" si="65"/>
        <v>0</v>
      </c>
      <c r="O129" s="22">
        <f>IF(ISNUMBER(M129), $B145 * N129, "")</f>
        <v>0</v>
      </c>
      <c r="Q129" s="161"/>
      <c r="R129" s="161"/>
      <c r="S129" s="161"/>
    </row>
    <row r="130" spans="1:19" ht="17.25" thickBot="1">
      <c r="A130" s="109" t="s">
        <v>132</v>
      </c>
      <c r="B130" s="113">
        <v>46.6</v>
      </c>
      <c r="C130" s="73">
        <v>2.8697571700000001E-2</v>
      </c>
      <c r="D130" s="96">
        <v>47.3</v>
      </c>
      <c r="E130" s="97">
        <f>IF(ISNUMBER(D130), (D130 - $B130) / $B130, "")</f>
        <v>1.5021459227467719E-2</v>
      </c>
      <c r="F130" s="98">
        <f>IF(ISNUMBER(D130), $B145 * E130, "")</f>
        <v>2253.2188841201578</v>
      </c>
      <c r="G130" s="99">
        <v>47.8</v>
      </c>
      <c r="H130" s="97">
        <f>IF(ISNUMBER(G130), (G130 - $B130) / $B130, "")</f>
        <v>2.5751072961373297E-2</v>
      </c>
      <c r="I130" s="100">
        <f>IF(ISNUMBER(G130), $B145 * H130, "")</f>
        <v>3862.6609442059944</v>
      </c>
      <c r="J130" s="96">
        <v>47.8</v>
      </c>
      <c r="K130" s="97">
        <f>IF(ISNUMBER(J130), (J130 - $B130) / $B130, "")</f>
        <v>2.5751072961373297E-2</v>
      </c>
      <c r="L130" s="98">
        <f>IF(ISNUMBER(J130), $B145 * K130, "")</f>
        <v>3862.6609442059944</v>
      </c>
      <c r="M130" s="99">
        <v>47.3</v>
      </c>
      <c r="N130" s="97">
        <f>IF(ISNUMBER(M130), (M130 - $B130) / $B130, "")</f>
        <v>1.5021459227467719E-2</v>
      </c>
      <c r="O130" s="98">
        <f>IF(ISNUMBER(M130), $B145 * N130, "")</f>
        <v>2253.2188841201578</v>
      </c>
      <c r="Q130" s="161"/>
      <c r="R130" s="161"/>
      <c r="S130" s="161"/>
    </row>
    <row r="131" spans="1:19" ht="17.25" thickBot="1">
      <c r="A131" s="109" t="s">
        <v>256</v>
      </c>
      <c r="B131" s="110">
        <v>96.8</v>
      </c>
      <c r="C131" s="70">
        <v>2.7600849300000001E-2</v>
      </c>
      <c r="D131" s="15">
        <v>93.5</v>
      </c>
      <c r="E131" s="32">
        <f t="shared" ref="E131:E134" si="66">IF(ISNUMBER(D131), (D131 - $B131) / $B131, "")</f>
        <v>-3.4090909090909061E-2</v>
      </c>
      <c r="F131" s="18">
        <f>IF(ISNUMBER(D131), $B145 * E131, "")</f>
        <v>-5113.6363636363594</v>
      </c>
      <c r="G131" s="31">
        <v>96</v>
      </c>
      <c r="H131" s="32">
        <f t="shared" ref="H131:H134" si="67">IF(ISNUMBER(G131), (G131 - $B131) / $B131, "")</f>
        <v>-8.2644628099173261E-3</v>
      </c>
      <c r="I131" s="91">
        <f>IF(ISNUMBER(G131), $B145 * H131, "")</f>
        <v>-1239.6694214875988</v>
      </c>
      <c r="J131" s="15">
        <v>96</v>
      </c>
      <c r="K131" s="32">
        <f t="shared" ref="K131:K134" si="68">IF(ISNUMBER(J131), (J131 - $B131) / $B131, "")</f>
        <v>-8.2644628099173261E-3</v>
      </c>
      <c r="L131" s="18">
        <f>IF(ISNUMBER(J131), $B145 * K131, "")</f>
        <v>-1239.6694214875988</v>
      </c>
      <c r="M131" s="31">
        <v>95.8</v>
      </c>
      <c r="N131" s="32">
        <f t="shared" ref="N131:N134" si="69">IF(ISNUMBER(M131), (M131 - $B131) / $B131, "")</f>
        <v>-1.0330578512396695E-2</v>
      </c>
      <c r="O131" s="18">
        <f>IF(ISNUMBER(M131), $B145 * N131, "")</f>
        <v>-1549.5867768595042</v>
      </c>
      <c r="Q131" s="161"/>
      <c r="R131" s="161"/>
      <c r="S131" s="161"/>
    </row>
    <row r="132" spans="1:19" ht="17.25" thickBot="1">
      <c r="A132" s="109" t="s">
        <v>228</v>
      </c>
      <c r="B132" s="110">
        <v>55.9</v>
      </c>
      <c r="C132" s="70">
        <v>2.7573529400000001E-2</v>
      </c>
      <c r="D132" s="15">
        <v>59.1</v>
      </c>
      <c r="E132" s="32">
        <f t="shared" si="66"/>
        <v>5.7245080500894503E-2</v>
      </c>
      <c r="F132" s="18">
        <f>IF(ISNUMBER(D132), $B145 * E132, "")</f>
        <v>8586.7620751341747</v>
      </c>
      <c r="G132" s="31">
        <v>57.3</v>
      </c>
      <c r="H132" s="32">
        <f t="shared" si="67"/>
        <v>2.50447227191413E-2</v>
      </c>
      <c r="I132" s="91">
        <f>IF(ISNUMBER(G132), $B145 * H132, "")</f>
        <v>3756.708407871195</v>
      </c>
      <c r="J132" s="15">
        <v>57.3</v>
      </c>
      <c r="K132" s="32">
        <f t="shared" si="68"/>
        <v>2.50447227191413E-2</v>
      </c>
      <c r="L132" s="18">
        <f>IF(ISNUMBER(J132), $B145 * K132, "")</f>
        <v>3756.708407871195</v>
      </c>
      <c r="M132" s="31">
        <v>57</v>
      </c>
      <c r="N132" s="32">
        <f t="shared" si="69"/>
        <v>1.9677996422182494E-2</v>
      </c>
      <c r="O132" s="18">
        <f>IF(ISNUMBER(M132), $B145 * N132, "")</f>
        <v>2951.6994633273739</v>
      </c>
      <c r="Q132" s="161"/>
      <c r="R132" s="161"/>
      <c r="S132" s="161"/>
    </row>
    <row r="133" spans="1:19" ht="17.25" thickBot="1">
      <c r="A133" s="109" t="s">
        <v>240</v>
      </c>
      <c r="B133" s="110">
        <v>26.4</v>
      </c>
      <c r="C133" s="70">
        <v>2.72373541E-2</v>
      </c>
      <c r="D133" s="15">
        <v>26.3</v>
      </c>
      <c r="E133" s="32">
        <f t="shared" si="66"/>
        <v>-3.7878787878787073E-3</v>
      </c>
      <c r="F133" s="18">
        <f>IF(ISNUMBER(D133), $B145 * E133, "")</f>
        <v>-568.18181818180608</v>
      </c>
      <c r="G133" s="31">
        <v>26.6</v>
      </c>
      <c r="H133" s="32">
        <f t="shared" si="67"/>
        <v>7.5757575757576835E-3</v>
      </c>
      <c r="I133" s="91">
        <f>IF(ISNUMBER(G133), $B145 * H133, "")</f>
        <v>1136.3636363636526</v>
      </c>
      <c r="J133" s="15">
        <v>26.6</v>
      </c>
      <c r="K133" s="32">
        <f t="shared" si="68"/>
        <v>7.5757575757576835E-3</v>
      </c>
      <c r="L133" s="18">
        <f>IF(ISNUMBER(J133), $B145 * K133, "")</f>
        <v>1136.3636363636526</v>
      </c>
      <c r="M133" s="31">
        <v>26.5</v>
      </c>
      <c r="N133" s="32">
        <f t="shared" si="69"/>
        <v>3.7878787878788418E-3</v>
      </c>
      <c r="O133" s="18">
        <f>IF(ISNUMBER(M133), $B145 * N133, "")</f>
        <v>568.18181818182632</v>
      </c>
      <c r="Q133" s="33"/>
      <c r="R133" s="33"/>
    </row>
    <row r="134" spans="1:19" ht="17.25" thickBot="1">
      <c r="A134" s="114" t="s">
        <v>220</v>
      </c>
      <c r="B134" s="115">
        <v>61.7</v>
      </c>
      <c r="C134" s="72">
        <v>2.6622296199999999E-2</v>
      </c>
      <c r="D134" s="24">
        <v>63.9</v>
      </c>
      <c r="E134" s="25">
        <f t="shared" si="66"/>
        <v>3.5656401944894583E-2</v>
      </c>
      <c r="F134" s="94">
        <f>IF(ISNUMBER(D134), $B145 * E134, "")</f>
        <v>5348.4602917341872</v>
      </c>
      <c r="G134" s="92">
        <v>63.2</v>
      </c>
      <c r="H134" s="25">
        <f t="shared" si="67"/>
        <v>2.4311183144246351E-2</v>
      </c>
      <c r="I134" s="93">
        <f>IF(ISNUMBER(G134), $B145 * H134, "")</f>
        <v>3646.6774716369528</v>
      </c>
      <c r="J134" s="24">
        <v>63.2</v>
      </c>
      <c r="K134" s="25">
        <f t="shared" si="68"/>
        <v>2.4311183144246351E-2</v>
      </c>
      <c r="L134" s="94">
        <f>IF(ISNUMBER(J134), $B145 * K134, "")</f>
        <v>3646.6774716369528</v>
      </c>
      <c r="M134" s="92">
        <v>62.4</v>
      </c>
      <c r="N134" s="25">
        <f t="shared" si="69"/>
        <v>1.1345218800648229E-2</v>
      </c>
      <c r="O134" s="94">
        <f>IF(ISNUMBER(M134), $B145 * N134, "")</f>
        <v>1701.7828200972344</v>
      </c>
      <c r="Q134" s="170"/>
      <c r="R134" s="171"/>
      <c r="S134" s="172"/>
    </row>
    <row r="135" spans="1:19">
      <c r="A135" s="107" t="s">
        <v>126</v>
      </c>
      <c r="B135" s="108">
        <v>23.4</v>
      </c>
      <c r="C135" s="69">
        <v>2.6315789499999999E-2</v>
      </c>
      <c r="D135" s="13">
        <v>23</v>
      </c>
      <c r="E135" s="14">
        <f>IF(ISNUMBER(D135), (D135 - $B135) / $B135, "")</f>
        <v>-1.7094017094017033E-2</v>
      </c>
      <c r="F135" s="16">
        <f>IF(ISNUMBER(D135), $B145 * E135, "")</f>
        <v>-2564.1025641025549</v>
      </c>
      <c r="G135" s="29">
        <v>23.4</v>
      </c>
      <c r="H135" s="14">
        <f>IF(ISNUMBER(G135), (G135 - $B135) / $B135, "")</f>
        <v>0</v>
      </c>
      <c r="I135" s="90">
        <f>IF(ISNUMBER(G135), $B145 * H135, "")</f>
        <v>0</v>
      </c>
      <c r="J135" s="13">
        <v>23.4</v>
      </c>
      <c r="K135" s="14">
        <f>IF(ISNUMBER(J135), (J135 - $B135) / $B135, "")</f>
        <v>0</v>
      </c>
      <c r="L135" s="16">
        <f>IF(ISNUMBER(J135), $B145 * K135, "")</f>
        <v>0</v>
      </c>
      <c r="M135" s="29">
        <v>23.3</v>
      </c>
      <c r="N135" s="14">
        <f>IF(ISNUMBER(M135), (M135 - $B135) / $B135, "")</f>
        <v>-4.2735042735041829E-3</v>
      </c>
      <c r="O135" s="16">
        <f>IF(ISNUMBER(M135), $B145 * N135, "")</f>
        <v>-641.02564102562746</v>
      </c>
      <c r="Q135" s="173"/>
      <c r="R135" s="174"/>
      <c r="S135" s="175"/>
    </row>
    <row r="136" spans="1:19" ht="17.25" thickBot="1">
      <c r="A136" s="109" t="s">
        <v>335</v>
      </c>
      <c r="B136" s="110">
        <v>3.1300000000000001E-2</v>
      </c>
      <c r="C136" s="70">
        <v>2.6229508200000001E-2</v>
      </c>
      <c r="D136" s="15">
        <v>3.0800000000000001E-2</v>
      </c>
      <c r="E136" s="32">
        <f t="shared" ref="E136:E139" si="70">IF(ISNUMBER(D136), (D136 - $B136) / $B136, "")</f>
        <v>-1.5974440894568703E-2</v>
      </c>
      <c r="F136" s="18">
        <f>IF(ISNUMBER(D136), $B145 * E136, "")</f>
        <v>-2396.1661341853055</v>
      </c>
      <c r="G136" s="31">
        <v>3.1399999999999997E-2</v>
      </c>
      <c r="H136" s="32">
        <f t="shared" ref="H136:H139" si="71">IF(ISNUMBER(G136), (G136 - $B136) / $B136, "")</f>
        <v>3.1948881789136078E-3</v>
      </c>
      <c r="I136" s="91">
        <f>IF(ISNUMBER(G136), $B145 * H136, "")</f>
        <v>479.23322683704117</v>
      </c>
      <c r="J136" s="15">
        <v>3.1399999999999997E-2</v>
      </c>
      <c r="K136" s="32">
        <f t="shared" ref="K136:K139" si="72">IF(ISNUMBER(J136), (J136 - $B136) / $B136, "")</f>
        <v>3.1948881789136078E-3</v>
      </c>
      <c r="L136" s="18">
        <f>IF(ISNUMBER(J136), $B145 * K136, "")</f>
        <v>479.23322683704117</v>
      </c>
      <c r="M136" s="31">
        <v>3.1199999999999999E-2</v>
      </c>
      <c r="N136" s="32">
        <f t="shared" ref="N136:N139" si="73">IF(ISNUMBER(M136), (M136 - $B136) / $B136, "")</f>
        <v>-3.1948881789138294E-3</v>
      </c>
      <c r="O136" s="18">
        <f>IF(ISNUMBER(M136), $B145 * N136, "")</f>
        <v>-479.23322683707443</v>
      </c>
      <c r="Q136" s="176"/>
      <c r="R136" s="177"/>
      <c r="S136" s="178"/>
    </row>
    <row r="137" spans="1:19" ht="17.25" thickBot="1">
      <c r="A137" s="109" t="s">
        <v>333</v>
      </c>
      <c r="B137" s="110">
        <v>55.2</v>
      </c>
      <c r="C137" s="70">
        <v>2.60223048E-2</v>
      </c>
      <c r="D137" s="15">
        <v>55.3</v>
      </c>
      <c r="E137" s="32">
        <f t="shared" si="70"/>
        <v>1.8115942028984477E-3</v>
      </c>
      <c r="F137" s="18">
        <f>IF(ISNUMBER(D137), $B145 * E137, "")</f>
        <v>271.73913043476716</v>
      </c>
      <c r="G137" s="31">
        <v>55.9</v>
      </c>
      <c r="H137" s="32">
        <f t="shared" si="71"/>
        <v>1.2681159420289778E-2</v>
      </c>
      <c r="I137" s="91">
        <f>IF(ISNUMBER(G137), $B145 * H137, "")</f>
        <v>1902.1739130434667</v>
      </c>
      <c r="J137" s="15">
        <v>55.9</v>
      </c>
      <c r="K137" s="32">
        <f t="shared" si="72"/>
        <v>1.2681159420289778E-2</v>
      </c>
      <c r="L137" s="18">
        <f>IF(ISNUMBER(J137), $B145 * K137, "")</f>
        <v>1902.1739130434667</v>
      </c>
      <c r="M137" s="31">
        <v>55.5</v>
      </c>
      <c r="N137" s="32">
        <f t="shared" si="73"/>
        <v>5.4347826086956E-3</v>
      </c>
      <c r="O137" s="18">
        <f>IF(ISNUMBER(M137), $B145 * N137, "")</f>
        <v>815.21739130434003</v>
      </c>
      <c r="Q137" s="161"/>
      <c r="R137" s="161"/>
      <c r="S137" s="161"/>
    </row>
    <row r="138" spans="1:19" ht="17.25" thickBot="1">
      <c r="A138" s="109" t="s">
        <v>107</v>
      </c>
      <c r="B138" s="110">
        <v>35.5</v>
      </c>
      <c r="C138" s="70">
        <v>2.6011560699999998E-2</v>
      </c>
      <c r="D138" s="15">
        <v>35.799999999999997</v>
      </c>
      <c r="E138" s="32">
        <f t="shared" si="70"/>
        <v>8.450704225352032E-3</v>
      </c>
      <c r="F138" s="18">
        <f>IF(ISNUMBER(D138), $B145 * E138, "")</f>
        <v>1267.6056338028047</v>
      </c>
      <c r="G138" s="31">
        <v>36.299999999999997</v>
      </c>
      <c r="H138" s="32">
        <f t="shared" si="71"/>
        <v>2.2535211267605555E-2</v>
      </c>
      <c r="I138" s="91">
        <f>IF(ISNUMBER(G138), $B145 * H138, "")</f>
        <v>3380.2816901408332</v>
      </c>
      <c r="J138" s="15">
        <v>36.299999999999997</v>
      </c>
      <c r="K138" s="32">
        <f t="shared" si="72"/>
        <v>2.2535211267605555E-2</v>
      </c>
      <c r="L138" s="18">
        <f>IF(ISNUMBER(J138), $B145 * K138, "")</f>
        <v>3380.2816901408332</v>
      </c>
      <c r="M138" s="31">
        <v>35.799999999999997</v>
      </c>
      <c r="N138" s="32">
        <f t="shared" si="73"/>
        <v>8.450704225352032E-3</v>
      </c>
      <c r="O138" s="18">
        <f>IF(ISNUMBER(M138), $B145 * N138, "")</f>
        <v>1267.6056338028047</v>
      </c>
      <c r="Q138" s="156"/>
      <c r="R138" s="156"/>
      <c r="S138" s="156"/>
    </row>
    <row r="139" spans="1:19" ht="17.25" thickBot="1">
      <c r="A139" s="111" t="s">
        <v>122</v>
      </c>
      <c r="B139" s="112">
        <v>21.3</v>
      </c>
      <c r="C139" s="71">
        <v>2.40384615E-2</v>
      </c>
      <c r="D139" s="20">
        <v>20.8</v>
      </c>
      <c r="E139" s="21">
        <f t="shared" si="70"/>
        <v>-2.3474178403755867E-2</v>
      </c>
      <c r="F139" s="22">
        <f>IF(ISNUMBER(D139), $B145 * E139, "")</f>
        <v>-3521.1267605633802</v>
      </c>
      <c r="G139" s="30">
        <v>21.2</v>
      </c>
      <c r="H139" s="21">
        <f t="shared" si="71"/>
        <v>-4.6948356807512406E-3</v>
      </c>
      <c r="I139" s="95">
        <f>IF(ISNUMBER(G139), $B145 * H139, "")</f>
        <v>-704.2253521126861</v>
      </c>
      <c r="J139" s="20">
        <v>21.2</v>
      </c>
      <c r="K139" s="21">
        <f t="shared" si="72"/>
        <v>-4.6948356807512406E-3</v>
      </c>
      <c r="L139" s="22">
        <f>IF(ISNUMBER(J139), $B145 * K139, "")</f>
        <v>-704.2253521126861</v>
      </c>
      <c r="M139" s="30">
        <v>21.2</v>
      </c>
      <c r="N139" s="21">
        <f t="shared" si="73"/>
        <v>-4.6948356807512406E-3</v>
      </c>
      <c r="O139" s="22">
        <f>IF(ISNUMBER(M139), $B145 * N139, "")</f>
        <v>-704.2253521126861</v>
      </c>
      <c r="Q139" s="156"/>
      <c r="R139" s="156"/>
      <c r="S139" s="156"/>
    </row>
    <row r="140" spans="1:19" ht="17.25" thickBot="1">
      <c r="A140" s="109" t="s">
        <v>141</v>
      </c>
      <c r="B140" s="113">
        <v>3.12</v>
      </c>
      <c r="C140" s="73">
        <v>2.29508197E-2</v>
      </c>
      <c r="D140" s="96">
        <v>3.12</v>
      </c>
      <c r="E140" s="97">
        <f>IF(ISNUMBER(D140), (D140 - $B140) / $B140, "")</f>
        <v>0</v>
      </c>
      <c r="F140" s="98">
        <f>IF(ISNUMBER(D140), $B145 * E140, "")</f>
        <v>0</v>
      </c>
      <c r="G140" s="99">
        <v>3.18</v>
      </c>
      <c r="H140" s="97">
        <f>IF(ISNUMBER(G140), (G140 - $B140) / $B140, "")</f>
        <v>1.9230769230769246E-2</v>
      </c>
      <c r="I140" s="100">
        <f>IF(ISNUMBER(G140), $B145 * H140, "")</f>
        <v>2884.615384615387</v>
      </c>
      <c r="J140" s="96">
        <v>3.18</v>
      </c>
      <c r="K140" s="97">
        <f>IF(ISNUMBER(J140), (J140 - $B140) / $B140, "")</f>
        <v>1.9230769230769246E-2</v>
      </c>
      <c r="L140" s="98">
        <f>IF(ISNUMBER(J140), $B145 * K140, "")</f>
        <v>2884.615384615387</v>
      </c>
      <c r="M140" s="99">
        <v>3.17</v>
      </c>
      <c r="N140" s="97">
        <f>IF(ISNUMBER(M140), (M140 - $B140) / $B140, "")</f>
        <v>1.6025641025640969E-2</v>
      </c>
      <c r="O140" s="98">
        <f>IF(ISNUMBER(M140), $B145 * N140, "")</f>
        <v>2403.8461538461452</v>
      </c>
      <c r="Q140" s="161"/>
      <c r="R140" s="161"/>
      <c r="S140" s="161"/>
    </row>
    <row r="141" spans="1:19" ht="17.25" thickBot="1">
      <c r="A141" s="109" t="s">
        <v>51</v>
      </c>
      <c r="B141" s="110">
        <v>98</v>
      </c>
      <c r="C141" s="70">
        <v>1.44927536E-2</v>
      </c>
      <c r="D141" s="15">
        <v>97.4</v>
      </c>
      <c r="E141" s="32">
        <f t="shared" ref="E141:E144" si="74">IF(ISNUMBER(D141), (D141 - $B141) / $B141, "")</f>
        <v>-6.1224489795917783E-3</v>
      </c>
      <c r="F141" s="18">
        <f>IF(ISNUMBER(D141), $B145 * E141, "")</f>
        <v>-918.36734693876679</v>
      </c>
      <c r="G141" s="31">
        <v>98.9</v>
      </c>
      <c r="H141" s="32">
        <f t="shared" ref="H141:H144" si="75">IF(ISNUMBER(G141), (G141 - $B141) / $B141, "")</f>
        <v>9.1836734693878132E-3</v>
      </c>
      <c r="I141" s="91">
        <f>IF(ISNUMBER(G141), $B145 * H141, "")</f>
        <v>1377.551020408172</v>
      </c>
      <c r="J141" s="15">
        <v>98.9</v>
      </c>
      <c r="K141" s="32">
        <f t="shared" ref="K141:K144" si="76">IF(ISNUMBER(J141), (J141 - $B141) / $B141, "")</f>
        <v>9.1836734693878132E-3</v>
      </c>
      <c r="L141" s="18">
        <f>IF(ISNUMBER(J141), $B145 * K141, "")</f>
        <v>1377.551020408172</v>
      </c>
      <c r="M141" s="31">
        <v>98.1</v>
      </c>
      <c r="N141" s="32">
        <f t="shared" ref="N141:N144" si="77">IF(ISNUMBER(M141), (M141 - $B141) / $B141, "")</f>
        <v>1.0204081632652481E-3</v>
      </c>
      <c r="O141" s="18">
        <f>IF(ISNUMBER(M141), $B145 * N141, "")</f>
        <v>153.06122448978721</v>
      </c>
      <c r="Q141" s="161"/>
      <c r="R141" s="161"/>
      <c r="S141" s="161"/>
    </row>
    <row r="142" spans="1:19" ht="17.25" thickBot="1">
      <c r="A142" s="109" t="s">
        <v>336</v>
      </c>
      <c r="B142" s="110">
        <v>73.2</v>
      </c>
      <c r="C142" s="70">
        <v>9.6551724000000002E-3</v>
      </c>
      <c r="D142" s="15">
        <v>73.900000000000006</v>
      </c>
      <c r="E142" s="32">
        <f t="shared" si="74"/>
        <v>9.5628415300546832E-3</v>
      </c>
      <c r="F142" s="18">
        <f>IF(ISNUMBER(D142), $B145 * E142, "")</f>
        <v>1434.4262295082024</v>
      </c>
      <c r="G142" s="31">
        <v>74.5</v>
      </c>
      <c r="H142" s="32">
        <f t="shared" si="75"/>
        <v>1.7759562841530015E-2</v>
      </c>
      <c r="I142" s="91">
        <f>IF(ISNUMBER(G142), $B145 * H142, "")</f>
        <v>2663.9344262295022</v>
      </c>
      <c r="J142" s="15">
        <v>74.5</v>
      </c>
      <c r="K142" s="32">
        <f t="shared" si="76"/>
        <v>1.7759562841530015E-2</v>
      </c>
      <c r="L142" s="18">
        <f>IF(ISNUMBER(J142), $B145 * K142, "")</f>
        <v>2663.9344262295022</v>
      </c>
      <c r="M142" s="31">
        <v>73.900000000000006</v>
      </c>
      <c r="N142" s="32">
        <f t="shared" si="77"/>
        <v>9.5628415300546832E-3</v>
      </c>
      <c r="O142" s="18">
        <f>IF(ISNUMBER(M142), $B145 * N142, "")</f>
        <v>1434.4262295082024</v>
      </c>
      <c r="Q142" s="161"/>
      <c r="R142" s="161"/>
      <c r="S142" s="161"/>
    </row>
    <row r="143" spans="1:19">
      <c r="A143" s="109" t="s">
        <v>145</v>
      </c>
      <c r="B143" s="110">
        <v>70.900000000000006</v>
      </c>
      <c r="C143" s="70">
        <v>4.2492917999999999E-3</v>
      </c>
      <c r="D143" s="15">
        <v>71.2</v>
      </c>
      <c r="E143" s="32">
        <f t="shared" si="74"/>
        <v>4.2313117066290146E-3</v>
      </c>
      <c r="F143" s="18">
        <f>IF(ISNUMBER(D143), $B145 * E143, "")</f>
        <v>634.6967559943522</v>
      </c>
      <c r="G143" s="31">
        <v>72.099999999999994</v>
      </c>
      <c r="H143" s="32">
        <f t="shared" si="75"/>
        <v>1.6925246826516058E-2</v>
      </c>
      <c r="I143" s="91">
        <f>IF(ISNUMBER(G143), $B145 * H143, "")</f>
        <v>2538.7870239774088</v>
      </c>
      <c r="J143" s="15">
        <v>72.099999999999994</v>
      </c>
      <c r="K143" s="32">
        <f t="shared" si="76"/>
        <v>1.6925246826516058E-2</v>
      </c>
      <c r="L143" s="18">
        <f>IF(ISNUMBER(J143), $B145 * K143, "")</f>
        <v>2538.7870239774088</v>
      </c>
      <c r="M143" s="31">
        <v>71.8</v>
      </c>
      <c r="N143" s="32">
        <f t="shared" si="77"/>
        <v>1.2693935119887043E-2</v>
      </c>
      <c r="O143" s="18">
        <f>IF(ISNUMBER(M143), $B145 * N143, "")</f>
        <v>1904.0902679830565</v>
      </c>
      <c r="Q143" s="183"/>
      <c r="R143" s="184"/>
      <c r="S143" s="185"/>
    </row>
    <row r="144" spans="1:19" ht="17.25" thickBot="1">
      <c r="A144" s="114" t="s">
        <v>97</v>
      </c>
      <c r="B144" s="115">
        <v>8.0000000000000004E-4</v>
      </c>
      <c r="C144" s="72">
        <v>0</v>
      </c>
      <c r="D144" s="24">
        <v>8.9999999999999998E-4</v>
      </c>
      <c r="E144" s="25">
        <f t="shared" si="74"/>
        <v>0.12499999999999992</v>
      </c>
      <c r="F144" s="94">
        <f>IF(ISNUMBER(D144), $B145 * E144, "")</f>
        <v>18749.999999999989</v>
      </c>
      <c r="G144" s="92">
        <v>8.0000000000000004E-4</v>
      </c>
      <c r="H144" s="25">
        <f t="shared" si="75"/>
        <v>0</v>
      </c>
      <c r="I144" s="93">
        <f>IF(ISNUMBER(G144), $B145 * H144, "")</f>
        <v>0</v>
      </c>
      <c r="J144" s="24">
        <v>8.0000000000000004E-4</v>
      </c>
      <c r="K144" s="25">
        <f t="shared" si="76"/>
        <v>0</v>
      </c>
      <c r="L144" s="94">
        <f>IF(ISNUMBER(J144), $B145 * K144, "")</f>
        <v>0</v>
      </c>
      <c r="M144" s="92">
        <v>8.9999999999999998E-4</v>
      </c>
      <c r="N144" s="25">
        <f t="shared" si="77"/>
        <v>0.12499999999999992</v>
      </c>
      <c r="O144" s="94">
        <f>IF(ISNUMBER(M144), $B145 * N144, "")</f>
        <v>18749.999999999989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1.0536460878798417E-2</v>
      </c>
      <c r="F145" s="28">
        <f>SUM(F125:F144)</f>
        <v>31609.382636395247</v>
      </c>
      <c r="G145" s="26" t="s">
        <v>261</v>
      </c>
      <c r="H145" s="27">
        <f>IF(COUNT(H125:H144), SUM(H125:H144) / COUNT(H125:H144), 0)</f>
        <v>1.3792413263260844E-2</v>
      </c>
      <c r="I145" s="28">
        <f>SUM(I125:I144)</f>
        <v>41377.239789782536</v>
      </c>
      <c r="J145" s="26" t="s">
        <v>261</v>
      </c>
      <c r="K145" s="27">
        <f>IF(COUNT(K125:K144), SUM(K125:K144) / COUNT(K125:K144), 0)</f>
        <v>1.3792413263260844E-2</v>
      </c>
      <c r="L145" s="28">
        <f>SUM(L125:L144)</f>
        <v>41377.239789782536</v>
      </c>
      <c r="M145" s="26" t="s">
        <v>261</v>
      </c>
      <c r="N145" s="27">
        <f>IF(COUNT(N125:N144), SUM(N125:N144) / COUNT(N125:N144), 0)</f>
        <v>1.3109362920981438E-2</v>
      </c>
      <c r="O145" s="28">
        <f>SUM(O125:O144)</f>
        <v>39328.088762944317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2022-12-21(수) 오전 00:00</v>
      </c>
      <c r="C150" s="199"/>
      <c r="D150" s="158" t="str">
        <f>TEXT($G$1, "[$-ko-KR]yyyy-mm-dd(ddd) ") &amp; "오후 14:00"</f>
        <v>2022-12-21(수) 오후 14:00</v>
      </c>
      <c r="E150" s="159"/>
      <c r="F150" s="160"/>
      <c r="G150" s="158" t="str">
        <f>TEXT($G$1, "[$-ko-KR]yyyy-mm-dd(ddd) ") &amp; "오후 19:00"</f>
        <v>2022-12-21(수) 오후 19:00</v>
      </c>
      <c r="H150" s="159"/>
      <c r="I150" s="160"/>
      <c r="J150" s="158" t="str">
        <f>TEXT($G$1, "[$-ko-KR]yyyy-mm-dd(ddd) ") &amp; "오후 21:00"</f>
        <v>2022-12-21(수) 오후 21:00</v>
      </c>
      <c r="K150" s="159"/>
      <c r="L150" s="160"/>
      <c r="M150" s="158" t="str">
        <f>TEXT($G$1+1, "[$-ko-KR]yyyy-mm-dd(ddd) ") &amp; "오전 00:00"</f>
        <v>2022-12-22(목)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352</v>
      </c>
      <c r="B152" s="108">
        <v>183</v>
      </c>
      <c r="C152" s="69">
        <v>3.3898305099999998E-2</v>
      </c>
      <c r="D152" s="13">
        <v>183</v>
      </c>
      <c r="E152" s="14">
        <f>IF(ISNUMBER(D152), (D152 - $B152) / $B152, "")</f>
        <v>0</v>
      </c>
      <c r="F152" s="16">
        <f>IF(ISNUMBER(D152), $B172 * E152, "")</f>
        <v>0</v>
      </c>
      <c r="G152" s="29">
        <v>188</v>
      </c>
      <c r="H152" s="14">
        <f>IF(ISNUMBER(G152), (G152 - $B152) / $B152, "")</f>
        <v>2.7322404371584699E-2</v>
      </c>
      <c r="I152" s="90">
        <f>IF(ISNUMBER(G152), $B172 * H152, "")</f>
        <v>4098.3606557377052</v>
      </c>
      <c r="J152" s="13">
        <v>188</v>
      </c>
      <c r="K152" s="14">
        <f>IF(ISNUMBER(J152), (J152 - $B152) / $B152, "")</f>
        <v>2.7322404371584699E-2</v>
      </c>
      <c r="L152" s="16">
        <f>IF(ISNUMBER(J152), $B172 * K152, "")</f>
        <v>4098.3606557377052</v>
      </c>
      <c r="M152" s="29">
        <v>185</v>
      </c>
      <c r="N152" s="14">
        <f>IF(ISNUMBER(M152), (M152 - $B152) / $B152, "")</f>
        <v>1.092896174863388E-2</v>
      </c>
      <c r="O152" s="16">
        <f>IF(ISNUMBER(M152), $B172 * N152, "")</f>
        <v>1639.344262295082</v>
      </c>
      <c r="Q152" s="156"/>
      <c r="R152" s="156"/>
      <c r="S152" s="156"/>
    </row>
    <row r="153" spans="1:19" ht="17.25" thickBot="1">
      <c r="A153" s="109" t="s">
        <v>337</v>
      </c>
      <c r="B153" s="110">
        <v>273</v>
      </c>
      <c r="C153" s="70">
        <v>3.0188679199999999E-2</v>
      </c>
      <c r="D153" s="15">
        <v>268</v>
      </c>
      <c r="E153" s="32">
        <f t="shared" ref="E153:E156" si="78">IF(ISNUMBER(D153), (D153 - $B153) / $B153, "")</f>
        <v>-1.8315018315018316E-2</v>
      </c>
      <c r="F153" s="18">
        <f>IF(ISNUMBER(D153), $B172 * E153, "")</f>
        <v>-2747.2527472527472</v>
      </c>
      <c r="G153" s="31">
        <v>274</v>
      </c>
      <c r="H153" s="32">
        <f t="shared" ref="H153:H156" si="79">IF(ISNUMBER(G153), (G153 - $B153) / $B153, "")</f>
        <v>3.663003663003663E-3</v>
      </c>
      <c r="I153" s="91">
        <f>IF(ISNUMBER(G153), $B172 * H153, "")</f>
        <v>549.45054945054949</v>
      </c>
      <c r="J153" s="15">
        <v>274</v>
      </c>
      <c r="K153" s="32">
        <f t="shared" ref="K153:K156" si="80">IF(ISNUMBER(J153), (J153 - $B153) / $B153, "")</f>
        <v>3.663003663003663E-3</v>
      </c>
      <c r="L153" s="18">
        <f>IF(ISNUMBER(J153), $B172 * K153, "")</f>
        <v>549.45054945054949</v>
      </c>
      <c r="M153" s="31">
        <v>272</v>
      </c>
      <c r="N153" s="32">
        <f t="shared" ref="N153:N156" si="81">IF(ISNUMBER(M153), (M153 - $B153) / $B153, "")</f>
        <v>-3.663003663003663E-3</v>
      </c>
      <c r="O153" s="18">
        <f>IF(ISNUMBER(M153), $B172 * N153, "")</f>
        <v>-549.45054945054949</v>
      </c>
      <c r="Q153" s="156"/>
      <c r="R153" s="156"/>
      <c r="S153" s="156"/>
    </row>
    <row r="154" spans="1:19" ht="17.25" thickBot="1">
      <c r="A154" s="109" t="s">
        <v>340</v>
      </c>
      <c r="B154" s="110">
        <v>518</v>
      </c>
      <c r="C154" s="70">
        <v>2.9821073600000001E-2</v>
      </c>
      <c r="D154" s="15">
        <v>519</v>
      </c>
      <c r="E154" s="32">
        <f t="shared" si="78"/>
        <v>1.9305019305019305E-3</v>
      </c>
      <c r="F154" s="18">
        <f>IF(ISNUMBER(D154), $B172 * E154, "")</f>
        <v>289.57528957528956</v>
      </c>
      <c r="G154" s="31">
        <v>521</v>
      </c>
      <c r="H154" s="32">
        <f t="shared" si="79"/>
        <v>5.7915057915057912E-3</v>
      </c>
      <c r="I154" s="91">
        <f>IF(ISNUMBER(G154), $B172 * H154, "")</f>
        <v>868.72586872586874</v>
      </c>
      <c r="J154" s="15">
        <v>521</v>
      </c>
      <c r="K154" s="32">
        <f t="shared" si="80"/>
        <v>5.7915057915057912E-3</v>
      </c>
      <c r="L154" s="18">
        <f>IF(ISNUMBER(J154), $B172 * K154, "")</f>
        <v>868.72586872586874</v>
      </c>
      <c r="M154" s="31">
        <v>521</v>
      </c>
      <c r="N154" s="32">
        <f t="shared" si="81"/>
        <v>5.7915057915057912E-3</v>
      </c>
      <c r="O154" s="18">
        <f>IF(ISNUMBER(M154), $B172 * N154, "")</f>
        <v>868.72586872586874</v>
      </c>
      <c r="Q154" s="161"/>
      <c r="R154" s="161"/>
      <c r="S154" s="161"/>
    </row>
    <row r="155" spans="1:19" ht="17.25" thickBot="1">
      <c r="A155" s="109" t="s">
        <v>242</v>
      </c>
      <c r="B155" s="110">
        <v>421</v>
      </c>
      <c r="C155" s="70">
        <v>2.93398533E-2</v>
      </c>
      <c r="D155" s="15">
        <v>424</v>
      </c>
      <c r="E155" s="32">
        <f t="shared" si="78"/>
        <v>7.1258907363420431E-3</v>
      </c>
      <c r="F155" s="18">
        <f>IF(ISNUMBER(D155), $B172 * E155, "")</f>
        <v>1068.8836104513064</v>
      </c>
      <c r="G155" s="31">
        <v>430</v>
      </c>
      <c r="H155" s="32">
        <f t="shared" si="79"/>
        <v>2.1377672209026127E-2</v>
      </c>
      <c r="I155" s="91">
        <f>IF(ISNUMBER(G155), $B172 * H155, "")</f>
        <v>3206.6508313539189</v>
      </c>
      <c r="J155" s="15">
        <v>430</v>
      </c>
      <c r="K155" s="32">
        <f t="shared" si="80"/>
        <v>2.1377672209026127E-2</v>
      </c>
      <c r="L155" s="18">
        <f>IF(ISNUMBER(J155), $B172 * K155, "")</f>
        <v>3206.6508313539189</v>
      </c>
      <c r="M155" s="31">
        <v>423</v>
      </c>
      <c r="N155" s="32">
        <f t="shared" si="81"/>
        <v>4.7505938242280287E-3</v>
      </c>
      <c r="O155" s="18">
        <f>IF(ISNUMBER(M155), $B172 * N155, "")</f>
        <v>712.58907363420428</v>
      </c>
      <c r="Q155" s="161"/>
      <c r="R155" s="161"/>
      <c r="S155" s="161"/>
    </row>
    <row r="156" spans="1:19" ht="17.25" thickBot="1">
      <c r="A156" s="111" t="s">
        <v>204</v>
      </c>
      <c r="B156" s="112">
        <v>212</v>
      </c>
      <c r="C156" s="71">
        <v>2.9126213599999999E-2</v>
      </c>
      <c r="D156" s="20">
        <v>210</v>
      </c>
      <c r="E156" s="21">
        <f t="shared" si="78"/>
        <v>-9.433962264150943E-3</v>
      </c>
      <c r="F156" s="22">
        <f>IF(ISNUMBER(D156), $B172 * E156, "")</f>
        <v>-1415.0943396226414</v>
      </c>
      <c r="G156" s="30">
        <v>214</v>
      </c>
      <c r="H156" s="21">
        <f t="shared" si="79"/>
        <v>9.433962264150943E-3</v>
      </c>
      <c r="I156" s="95">
        <f>IF(ISNUMBER(G156), $B172 * H156, "")</f>
        <v>1415.0943396226414</v>
      </c>
      <c r="J156" s="20">
        <v>214</v>
      </c>
      <c r="K156" s="21">
        <f t="shared" si="80"/>
        <v>9.433962264150943E-3</v>
      </c>
      <c r="L156" s="22">
        <f>IF(ISNUMBER(J156), $B172 * K156, "")</f>
        <v>1415.0943396226414</v>
      </c>
      <c r="M156" s="30">
        <v>212</v>
      </c>
      <c r="N156" s="21">
        <f t="shared" si="81"/>
        <v>0</v>
      </c>
      <c r="O156" s="22">
        <f>IF(ISNUMBER(M156), $B172 * N156, "")</f>
        <v>0</v>
      </c>
      <c r="Q156" s="161"/>
      <c r="R156" s="161"/>
      <c r="S156" s="161"/>
    </row>
    <row r="157" spans="1:19" ht="17.25" thickBot="1">
      <c r="A157" s="109" t="s">
        <v>187</v>
      </c>
      <c r="B157" s="113">
        <v>799</v>
      </c>
      <c r="C157" s="73">
        <v>2.6992287899999998E-2</v>
      </c>
      <c r="D157" s="96">
        <v>830</v>
      </c>
      <c r="E157" s="97">
        <f>IF(ISNUMBER(D157), (D157 - $B157) / $B157, "")</f>
        <v>3.8798498122653319E-2</v>
      </c>
      <c r="F157" s="98">
        <f>IF(ISNUMBER(D157), $B172 * E157, "")</f>
        <v>5819.7747183979982</v>
      </c>
      <c r="G157" s="99">
        <v>815</v>
      </c>
      <c r="H157" s="97">
        <f>IF(ISNUMBER(G157), (G157 - $B157) / $B157, "")</f>
        <v>2.002503128911139E-2</v>
      </c>
      <c r="I157" s="100">
        <f>IF(ISNUMBER(G157), $B172 * H157, "")</f>
        <v>3003.7546933667086</v>
      </c>
      <c r="J157" s="96">
        <v>815</v>
      </c>
      <c r="K157" s="97">
        <f>IF(ISNUMBER(J157), (J157 - $B157) / $B157, "")</f>
        <v>2.002503128911139E-2</v>
      </c>
      <c r="L157" s="98">
        <f>IF(ISNUMBER(J157), $B172 * K157, "")</f>
        <v>3003.7546933667086</v>
      </c>
      <c r="M157" s="99">
        <v>813</v>
      </c>
      <c r="N157" s="97">
        <f>IF(ISNUMBER(M157), (M157 - $B157) / $B157, "")</f>
        <v>1.7521902377972465E-2</v>
      </c>
      <c r="O157" s="98">
        <f>IF(ISNUMBER(M157), $B172 * N157, "")</f>
        <v>2628.2853566958697</v>
      </c>
      <c r="Q157" s="161"/>
      <c r="R157" s="161"/>
      <c r="S157" s="161"/>
    </row>
    <row r="158" spans="1:19" ht="17.25" thickBot="1">
      <c r="A158" s="109" t="s">
        <v>159</v>
      </c>
      <c r="B158" s="110">
        <v>153</v>
      </c>
      <c r="C158" s="70">
        <v>2.68456376E-2</v>
      </c>
      <c r="D158" s="15">
        <v>154</v>
      </c>
      <c r="E158" s="32">
        <f t="shared" ref="E158:E161" si="82">IF(ISNUMBER(D158), (D158 - $B158) / $B158, "")</f>
        <v>6.5359477124183009E-3</v>
      </c>
      <c r="F158" s="18">
        <f>IF(ISNUMBER(D158), $B172 * E158, "")</f>
        <v>980.39215686274508</v>
      </c>
      <c r="G158" s="31">
        <v>160</v>
      </c>
      <c r="H158" s="32">
        <f t="shared" ref="H158:H161" si="83">IF(ISNUMBER(G158), (G158 - $B158) / $B158, "")</f>
        <v>4.5751633986928102E-2</v>
      </c>
      <c r="I158" s="91">
        <f>IF(ISNUMBER(G158), $B172 * H158, "")</f>
        <v>6862.745098039215</v>
      </c>
      <c r="J158" s="15">
        <v>160</v>
      </c>
      <c r="K158" s="32">
        <f t="shared" ref="K158:K161" si="84">IF(ISNUMBER(J158), (J158 - $B158) / $B158, "")</f>
        <v>4.5751633986928102E-2</v>
      </c>
      <c r="L158" s="18">
        <f>IF(ISNUMBER(J158), $B172 * K158, "")</f>
        <v>6862.745098039215</v>
      </c>
      <c r="M158" s="31">
        <v>157</v>
      </c>
      <c r="N158" s="32">
        <f t="shared" ref="N158:N161" si="85">IF(ISNUMBER(M158), (M158 - $B158) / $B158, "")</f>
        <v>2.6143790849673203E-2</v>
      </c>
      <c r="O158" s="18">
        <f>IF(ISNUMBER(M158), $B172 * N158, "")</f>
        <v>3921.5686274509803</v>
      </c>
      <c r="Q158" s="161"/>
      <c r="R158" s="161"/>
      <c r="S158" s="161"/>
    </row>
    <row r="159" spans="1:19" ht="17.25" thickBot="1">
      <c r="A159" s="109" t="s">
        <v>79</v>
      </c>
      <c r="B159" s="110">
        <v>243</v>
      </c>
      <c r="C159" s="70">
        <v>2.5316455700000001E-2</v>
      </c>
      <c r="D159" s="15">
        <v>241</v>
      </c>
      <c r="E159" s="32">
        <f t="shared" si="82"/>
        <v>-8.23045267489712E-3</v>
      </c>
      <c r="F159" s="18">
        <f>IF(ISNUMBER(D159), $B172 * E159, "")</f>
        <v>-1234.5679012345679</v>
      </c>
      <c r="G159" s="31">
        <v>247</v>
      </c>
      <c r="H159" s="32">
        <f t="shared" si="83"/>
        <v>1.646090534979424E-2</v>
      </c>
      <c r="I159" s="91">
        <f>IF(ISNUMBER(G159), $B172 * H159, "")</f>
        <v>2469.1358024691358</v>
      </c>
      <c r="J159" s="15">
        <v>247</v>
      </c>
      <c r="K159" s="32">
        <f t="shared" si="84"/>
        <v>1.646090534979424E-2</v>
      </c>
      <c r="L159" s="18">
        <f>IF(ISNUMBER(J159), $B172 * K159, "")</f>
        <v>2469.1358024691358</v>
      </c>
      <c r="M159" s="31">
        <v>245</v>
      </c>
      <c r="N159" s="32">
        <f t="shared" si="85"/>
        <v>8.23045267489712E-3</v>
      </c>
      <c r="O159" s="18">
        <f>IF(ISNUMBER(M159), $B172 * N159, "")</f>
        <v>1234.5679012345679</v>
      </c>
      <c r="Q159" s="161"/>
      <c r="R159" s="161"/>
      <c r="S159" s="161"/>
    </row>
    <row r="160" spans="1:19" ht="17.25" thickBot="1">
      <c r="A160" s="109" t="s">
        <v>60</v>
      </c>
      <c r="B160" s="110">
        <v>409</v>
      </c>
      <c r="C160" s="70">
        <v>2.50626566E-2</v>
      </c>
      <c r="D160" s="15">
        <v>397</v>
      </c>
      <c r="E160" s="32">
        <f t="shared" si="82"/>
        <v>-2.9339853300733496E-2</v>
      </c>
      <c r="F160" s="18">
        <f>IF(ISNUMBER(D160), $B172 * E160, "")</f>
        <v>-4400.9779951100245</v>
      </c>
      <c r="G160" s="31">
        <v>404</v>
      </c>
      <c r="H160" s="32">
        <f t="shared" si="83"/>
        <v>-1.2224938875305624E-2</v>
      </c>
      <c r="I160" s="91">
        <f>IF(ISNUMBER(G160), $B172 * H160, "")</f>
        <v>-1833.7408312958437</v>
      </c>
      <c r="J160" s="15">
        <v>404</v>
      </c>
      <c r="K160" s="32">
        <f t="shared" si="84"/>
        <v>-1.2224938875305624E-2</v>
      </c>
      <c r="L160" s="18">
        <f>IF(ISNUMBER(J160), $B172 * K160, "")</f>
        <v>-1833.7408312958437</v>
      </c>
      <c r="M160" s="31">
        <v>401</v>
      </c>
      <c r="N160" s="32">
        <f t="shared" si="85"/>
        <v>-1.9559902200488997E-2</v>
      </c>
      <c r="O160" s="18">
        <f>IF(ISNUMBER(M160), $B172 * N160, "")</f>
        <v>-2933.9853300733498</v>
      </c>
      <c r="Q160" s="33"/>
      <c r="R160" s="33"/>
    </row>
    <row r="161" spans="1:19" ht="17.25" thickBot="1">
      <c r="A161" s="114" t="s">
        <v>111</v>
      </c>
      <c r="B161" s="115">
        <v>582</v>
      </c>
      <c r="C161" s="72">
        <v>2.4647887300000001E-2</v>
      </c>
      <c r="D161" s="24">
        <v>568</v>
      </c>
      <c r="E161" s="25">
        <f t="shared" si="82"/>
        <v>-2.4054982817869417E-2</v>
      </c>
      <c r="F161" s="94">
        <f>IF(ISNUMBER(D161), $B172 * E161, "")</f>
        <v>-3608.2474226804125</v>
      </c>
      <c r="G161" s="92">
        <v>579</v>
      </c>
      <c r="H161" s="25">
        <f t="shared" si="83"/>
        <v>-5.1546391752577319E-3</v>
      </c>
      <c r="I161" s="93">
        <f>IF(ISNUMBER(G161), $B172 * H161, "")</f>
        <v>-773.19587628865975</v>
      </c>
      <c r="J161" s="24">
        <v>579</v>
      </c>
      <c r="K161" s="25">
        <f t="shared" si="84"/>
        <v>-5.1546391752577319E-3</v>
      </c>
      <c r="L161" s="94">
        <f>IF(ISNUMBER(J161), $B172 * K161, "")</f>
        <v>-773.19587628865975</v>
      </c>
      <c r="M161" s="92">
        <v>574</v>
      </c>
      <c r="N161" s="25">
        <f t="shared" si="85"/>
        <v>-1.3745704467353952E-2</v>
      </c>
      <c r="O161" s="94">
        <f>IF(ISNUMBER(M161), $B172 * N161, "")</f>
        <v>-2061.855670103093</v>
      </c>
      <c r="Q161" s="170"/>
      <c r="R161" s="171"/>
      <c r="S161" s="172"/>
    </row>
    <row r="162" spans="1:19">
      <c r="A162" s="107" t="s">
        <v>161</v>
      </c>
      <c r="B162" s="108">
        <v>296</v>
      </c>
      <c r="C162" s="69">
        <v>2.4221453300000001E-2</v>
      </c>
      <c r="D162" s="13">
        <v>294</v>
      </c>
      <c r="E162" s="14">
        <f>IF(ISNUMBER(D162), (D162 - $B162) / $B162, "")</f>
        <v>-6.7567567567567571E-3</v>
      </c>
      <c r="F162" s="16">
        <f>IF(ISNUMBER(D162), $B172 * E162, "")</f>
        <v>-1013.5135135135135</v>
      </c>
      <c r="G162" s="29">
        <v>301</v>
      </c>
      <c r="H162" s="14">
        <f>IF(ISNUMBER(G162), (G162 - $B162) / $B162, "")</f>
        <v>1.6891891891891893E-2</v>
      </c>
      <c r="I162" s="90">
        <f>IF(ISNUMBER(G162), $B172 * H162, "")</f>
        <v>2533.7837837837837</v>
      </c>
      <c r="J162" s="13">
        <v>301</v>
      </c>
      <c r="K162" s="14">
        <f>IF(ISNUMBER(J162), (J162 - $B162) / $B162, "")</f>
        <v>1.6891891891891893E-2</v>
      </c>
      <c r="L162" s="16">
        <f>IF(ISNUMBER(J162), $B172 * K162, "")</f>
        <v>2533.7837837837837</v>
      </c>
      <c r="M162" s="29">
        <v>295</v>
      </c>
      <c r="N162" s="14">
        <f>IF(ISNUMBER(M162), (M162 - $B162) / $B162, "")</f>
        <v>-3.3783783783783786E-3</v>
      </c>
      <c r="O162" s="16">
        <f>IF(ISNUMBER(M162), $B172 * N162, "")</f>
        <v>-506.75675675675677</v>
      </c>
      <c r="Q162" s="173"/>
      <c r="R162" s="174"/>
      <c r="S162" s="175"/>
    </row>
    <row r="163" spans="1:19" ht="17.25" thickBot="1">
      <c r="A163" s="109" t="s">
        <v>234</v>
      </c>
      <c r="B163" s="110">
        <v>339</v>
      </c>
      <c r="C163" s="70">
        <v>2.41691843E-2</v>
      </c>
      <c r="D163" s="15">
        <v>336</v>
      </c>
      <c r="E163" s="32">
        <f t="shared" ref="E163:E166" si="86">IF(ISNUMBER(D163), (D163 - $B163) / $B163, "")</f>
        <v>-8.8495575221238937E-3</v>
      </c>
      <c r="F163" s="18">
        <f>IF(ISNUMBER(D163), $B172 * E163, "")</f>
        <v>-1327.4336283185839</v>
      </c>
      <c r="G163" s="31">
        <v>344</v>
      </c>
      <c r="H163" s="32">
        <f t="shared" ref="H163:H166" si="87">IF(ISNUMBER(G163), (G163 - $B163) / $B163, "")</f>
        <v>1.4749262536873156E-2</v>
      </c>
      <c r="I163" s="91">
        <f>IF(ISNUMBER(G163), $B172 * H163, "")</f>
        <v>2212.3893805309735</v>
      </c>
      <c r="J163" s="15">
        <v>344</v>
      </c>
      <c r="K163" s="32">
        <f t="shared" ref="K163:K166" si="88">IF(ISNUMBER(J163), (J163 - $B163) / $B163, "")</f>
        <v>1.4749262536873156E-2</v>
      </c>
      <c r="L163" s="18">
        <f>IF(ISNUMBER(J163), $B172 * K163, "")</f>
        <v>2212.3893805309735</v>
      </c>
      <c r="M163" s="31">
        <v>342</v>
      </c>
      <c r="N163" s="32">
        <f t="shared" ref="N163:N166" si="89">IF(ISNUMBER(M163), (M163 - $B163) / $B163, "")</f>
        <v>8.8495575221238937E-3</v>
      </c>
      <c r="O163" s="18">
        <f>IF(ISNUMBER(M163), $B172 * N163, "")</f>
        <v>1327.4336283185839</v>
      </c>
      <c r="Q163" s="176"/>
      <c r="R163" s="177"/>
      <c r="S163" s="178"/>
    </row>
    <row r="164" spans="1:19" ht="17.25" thickBot="1">
      <c r="A164" s="109" t="s">
        <v>202</v>
      </c>
      <c r="B164" s="110">
        <v>299</v>
      </c>
      <c r="C164" s="70">
        <v>2.3972602700000002E-2</v>
      </c>
      <c r="D164" s="15">
        <v>302</v>
      </c>
      <c r="E164" s="32">
        <f t="shared" si="86"/>
        <v>1.0033444816053512E-2</v>
      </c>
      <c r="F164" s="18">
        <f>IF(ISNUMBER(D164), $B172 * E164, "")</f>
        <v>1505.0167224080267</v>
      </c>
      <c r="G164" s="31">
        <v>307</v>
      </c>
      <c r="H164" s="32">
        <f t="shared" si="87"/>
        <v>2.6755852842809364E-2</v>
      </c>
      <c r="I164" s="91">
        <f>IF(ISNUMBER(G164), $B172 * H164, "")</f>
        <v>4013.3779264214045</v>
      </c>
      <c r="J164" s="15">
        <v>307</v>
      </c>
      <c r="K164" s="32">
        <f t="shared" si="88"/>
        <v>2.6755852842809364E-2</v>
      </c>
      <c r="L164" s="18">
        <f>IF(ISNUMBER(J164), $B172 * K164, "")</f>
        <v>4013.3779264214045</v>
      </c>
      <c r="M164" s="31">
        <v>305</v>
      </c>
      <c r="N164" s="32">
        <f t="shared" si="89"/>
        <v>2.0066889632107024E-2</v>
      </c>
      <c r="O164" s="18">
        <f>IF(ISNUMBER(M164), $B172 * N164, "")</f>
        <v>3010.0334448160534</v>
      </c>
      <c r="Q164" s="161"/>
      <c r="R164" s="161"/>
      <c r="S164" s="161"/>
    </row>
    <row r="165" spans="1:19" ht="17.25" thickBot="1">
      <c r="A165" s="109" t="s">
        <v>226</v>
      </c>
      <c r="B165" s="110">
        <v>204</v>
      </c>
      <c r="C165" s="70">
        <v>0.02</v>
      </c>
      <c r="D165" s="15">
        <v>205</v>
      </c>
      <c r="E165" s="32">
        <f t="shared" si="86"/>
        <v>4.9019607843137254E-3</v>
      </c>
      <c r="F165" s="18">
        <f>IF(ISNUMBER(D165), $B172 * E165, "")</f>
        <v>735.29411764705878</v>
      </c>
      <c r="G165" s="31">
        <v>212</v>
      </c>
      <c r="H165" s="32">
        <f t="shared" si="87"/>
        <v>3.9215686274509803E-2</v>
      </c>
      <c r="I165" s="91">
        <f>IF(ISNUMBER(G165), $B172 * H165, "")</f>
        <v>5882.3529411764703</v>
      </c>
      <c r="J165" s="15">
        <v>212</v>
      </c>
      <c r="K165" s="32">
        <f t="shared" si="88"/>
        <v>3.9215686274509803E-2</v>
      </c>
      <c r="L165" s="18">
        <f>IF(ISNUMBER(J165), $B172 * K165, "")</f>
        <v>5882.3529411764703</v>
      </c>
      <c r="M165" s="31">
        <v>206</v>
      </c>
      <c r="N165" s="32">
        <f t="shared" si="89"/>
        <v>9.8039215686274508E-3</v>
      </c>
      <c r="O165" s="18">
        <f>IF(ISNUMBER(M165), $B172 * N165, "")</f>
        <v>1470.5882352941176</v>
      </c>
      <c r="Q165" s="156"/>
      <c r="R165" s="156"/>
      <c r="S165" s="156"/>
    </row>
    <row r="166" spans="1:19" ht="17.25" thickBot="1">
      <c r="A166" s="111" t="s">
        <v>169</v>
      </c>
      <c r="B166" s="112">
        <v>215</v>
      </c>
      <c r="C166" s="71">
        <v>1.8957346E-2</v>
      </c>
      <c r="D166" s="20">
        <v>212</v>
      </c>
      <c r="E166" s="21">
        <f t="shared" si="86"/>
        <v>-1.3953488372093023E-2</v>
      </c>
      <c r="F166" s="22">
        <f>IF(ISNUMBER(D166), $B172 * E166, "")</f>
        <v>-2093.0232558139533</v>
      </c>
      <c r="G166" s="30">
        <v>215</v>
      </c>
      <c r="H166" s="21">
        <f t="shared" si="87"/>
        <v>0</v>
      </c>
      <c r="I166" s="95">
        <f>IF(ISNUMBER(G166), $B172 * H166, "")</f>
        <v>0</v>
      </c>
      <c r="J166" s="20">
        <v>215</v>
      </c>
      <c r="K166" s="21">
        <f t="shared" si="88"/>
        <v>0</v>
      </c>
      <c r="L166" s="22">
        <f>IF(ISNUMBER(J166), $B172 * K166, "")</f>
        <v>0</v>
      </c>
      <c r="M166" s="30">
        <v>215</v>
      </c>
      <c r="N166" s="21">
        <f t="shared" si="89"/>
        <v>0</v>
      </c>
      <c r="O166" s="22">
        <f>IF(ISNUMBER(M166), $B172 * N166, "")</f>
        <v>0</v>
      </c>
      <c r="Q166" s="156"/>
      <c r="R166" s="156"/>
      <c r="S166" s="156"/>
    </row>
    <row r="167" spans="1:19" ht="17.25" thickBot="1">
      <c r="A167" s="109" t="s">
        <v>349</v>
      </c>
      <c r="B167" s="113">
        <v>668</v>
      </c>
      <c r="C167" s="73">
        <v>1.67427702E-2</v>
      </c>
      <c r="D167" s="96">
        <v>648</v>
      </c>
      <c r="E167" s="97">
        <f>IF(ISNUMBER(D167), (D167 - $B167) / $B167, "")</f>
        <v>-2.9940119760479042E-2</v>
      </c>
      <c r="F167" s="98">
        <f>IF(ISNUMBER(D167), $B172 * E167, "")</f>
        <v>-4491.0179640718561</v>
      </c>
      <c r="G167" s="99">
        <v>660</v>
      </c>
      <c r="H167" s="97">
        <f>IF(ISNUMBER(G167), (G167 - $B167) / $B167, "")</f>
        <v>-1.1976047904191617E-2</v>
      </c>
      <c r="I167" s="100">
        <f>IF(ISNUMBER(G167), $B172 * H167, "")</f>
        <v>-1796.4071856287426</v>
      </c>
      <c r="J167" s="96">
        <v>660</v>
      </c>
      <c r="K167" s="97">
        <f>IF(ISNUMBER(J167), (J167 - $B167) / $B167, "")</f>
        <v>-1.1976047904191617E-2</v>
      </c>
      <c r="L167" s="98">
        <f>IF(ISNUMBER(J167), $B172 * K167, "")</f>
        <v>-1796.4071856287426</v>
      </c>
      <c r="M167" s="99">
        <v>650</v>
      </c>
      <c r="N167" s="97">
        <f>IF(ISNUMBER(M167), (M167 - $B167) / $B167, "")</f>
        <v>-2.6946107784431138E-2</v>
      </c>
      <c r="O167" s="98">
        <f>IF(ISNUMBER(M167), $B172 * N167, "")</f>
        <v>-4041.9161676646709</v>
      </c>
      <c r="Q167" s="161"/>
      <c r="R167" s="161"/>
      <c r="S167" s="161"/>
    </row>
    <row r="168" spans="1:19" ht="17.25" thickBot="1">
      <c r="A168" s="109" t="s">
        <v>68</v>
      </c>
      <c r="B168" s="110">
        <v>254</v>
      </c>
      <c r="C168" s="70">
        <v>1.6E-2</v>
      </c>
      <c r="D168" s="15">
        <v>287</v>
      </c>
      <c r="E168" s="32">
        <f t="shared" ref="E168:E171" si="90">IF(ISNUMBER(D168), (D168 - $B168) / $B168, "")</f>
        <v>0.12992125984251968</v>
      </c>
      <c r="F168" s="18">
        <f>IF(ISNUMBER(D168), $B172 * E168, "")</f>
        <v>19488.188976377951</v>
      </c>
      <c r="G168" s="31">
        <v>273</v>
      </c>
      <c r="H168" s="32">
        <f t="shared" ref="H168:H171" si="91">IF(ISNUMBER(G168), (G168 - $B168) / $B168, "")</f>
        <v>7.4803149606299218E-2</v>
      </c>
      <c r="I168" s="91">
        <f>IF(ISNUMBER(G168), $B172 * H168, "")</f>
        <v>11220.472440944883</v>
      </c>
      <c r="J168" s="15">
        <v>273</v>
      </c>
      <c r="K168" s="32">
        <f t="shared" ref="K168:K171" si="92">IF(ISNUMBER(J168), (J168 - $B168) / $B168, "")</f>
        <v>7.4803149606299218E-2</v>
      </c>
      <c r="L168" s="18">
        <f>IF(ISNUMBER(J168), $B172 * K168, "")</f>
        <v>11220.472440944883</v>
      </c>
      <c r="M168" s="31">
        <v>267</v>
      </c>
      <c r="N168" s="32">
        <f t="shared" ref="N168:N171" si="93">IF(ISNUMBER(M168), (M168 - $B168) / $B168, "")</f>
        <v>5.1181102362204724E-2</v>
      </c>
      <c r="O168" s="18">
        <f>IF(ISNUMBER(M168), $B172 * N168, "")</f>
        <v>7677.1653543307084</v>
      </c>
      <c r="Q168" s="161"/>
      <c r="R168" s="161"/>
      <c r="S168" s="161"/>
    </row>
    <row r="169" spans="1:19" ht="17.25" thickBot="1">
      <c r="A169" s="109" t="s">
        <v>81</v>
      </c>
      <c r="B169" s="110">
        <v>338</v>
      </c>
      <c r="C169" s="70">
        <v>1.5015015E-2</v>
      </c>
      <c r="D169" s="15">
        <v>325</v>
      </c>
      <c r="E169" s="32">
        <f t="shared" si="90"/>
        <v>-3.8461538461538464E-2</v>
      </c>
      <c r="F169" s="18">
        <f>IF(ISNUMBER(D169), $B172 * E169, "")</f>
        <v>-5769.2307692307695</v>
      </c>
      <c r="G169" s="31">
        <v>331</v>
      </c>
      <c r="H169" s="32">
        <f t="shared" si="91"/>
        <v>-2.0710059171597635E-2</v>
      </c>
      <c r="I169" s="91">
        <f>IF(ISNUMBER(G169), $B172 * H169, "")</f>
        <v>-3106.5088757396452</v>
      </c>
      <c r="J169" s="15">
        <v>331</v>
      </c>
      <c r="K169" s="32">
        <f t="shared" si="92"/>
        <v>-2.0710059171597635E-2</v>
      </c>
      <c r="L169" s="18">
        <f>IF(ISNUMBER(J169), $B172 * K169, "")</f>
        <v>-3106.5088757396452</v>
      </c>
      <c r="M169" s="31">
        <v>331</v>
      </c>
      <c r="N169" s="32">
        <f t="shared" si="93"/>
        <v>-2.0710059171597635E-2</v>
      </c>
      <c r="O169" s="18">
        <f>IF(ISNUMBER(M169), $B172 * N169, "")</f>
        <v>-3106.5088757396452</v>
      </c>
      <c r="Q169" s="161"/>
      <c r="R169" s="161"/>
      <c r="S169" s="161"/>
    </row>
    <row r="170" spans="1:19">
      <c r="A170" s="109" t="s">
        <v>89</v>
      </c>
      <c r="B170" s="110">
        <v>451</v>
      </c>
      <c r="C170" s="70">
        <v>8.9485459000000003E-3</v>
      </c>
      <c r="D170" s="15">
        <v>442</v>
      </c>
      <c r="E170" s="32">
        <f t="shared" si="90"/>
        <v>-1.9955654101995565E-2</v>
      </c>
      <c r="F170" s="18">
        <f>IF(ISNUMBER(D170), $B172 * E170, "")</f>
        <v>-2993.3481152993345</v>
      </c>
      <c r="G170" s="31">
        <v>450</v>
      </c>
      <c r="H170" s="32">
        <f t="shared" si="91"/>
        <v>-2.2172949002217295E-3</v>
      </c>
      <c r="I170" s="91">
        <f>IF(ISNUMBER(G170), $B172 * H170, "")</f>
        <v>-332.59423503325945</v>
      </c>
      <c r="J170" s="15">
        <v>450</v>
      </c>
      <c r="K170" s="32">
        <f t="shared" si="92"/>
        <v>-2.2172949002217295E-3</v>
      </c>
      <c r="L170" s="18">
        <f>IF(ISNUMBER(J170), $B172 * K170, "")</f>
        <v>-332.59423503325945</v>
      </c>
      <c r="M170" s="31">
        <v>448</v>
      </c>
      <c r="N170" s="32">
        <f t="shared" si="93"/>
        <v>-6.6518847006651885E-3</v>
      </c>
      <c r="O170" s="18">
        <f>IF(ISNUMBER(M170), $B172 * N170, "")</f>
        <v>-997.78270509977824</v>
      </c>
      <c r="Q170" s="183"/>
      <c r="R170" s="184"/>
      <c r="S170" s="185"/>
    </row>
    <row r="171" spans="1:19" ht="17.25" thickBot="1">
      <c r="A171" s="114" t="s">
        <v>332</v>
      </c>
      <c r="B171" s="115">
        <v>231</v>
      </c>
      <c r="C171" s="72">
        <v>8.7336245000000003E-3</v>
      </c>
      <c r="D171" s="24">
        <v>231</v>
      </c>
      <c r="E171" s="25">
        <f t="shared" si="90"/>
        <v>0</v>
      </c>
      <c r="F171" s="94">
        <f>IF(ISNUMBER(D171), $B172 * E171, "")</f>
        <v>0</v>
      </c>
      <c r="G171" s="92">
        <v>235</v>
      </c>
      <c r="H171" s="25">
        <f t="shared" si="91"/>
        <v>1.7316017316017316E-2</v>
      </c>
      <c r="I171" s="93">
        <f>IF(ISNUMBER(G171), $B172 * H171, "")</f>
        <v>2597.4025974025976</v>
      </c>
      <c r="J171" s="24">
        <v>235</v>
      </c>
      <c r="K171" s="25">
        <f t="shared" si="92"/>
        <v>1.7316017316017316E-2</v>
      </c>
      <c r="L171" s="94">
        <f>IF(ISNUMBER(J171), $B172 * K171, "")</f>
        <v>2597.4025974025976</v>
      </c>
      <c r="M171" s="92">
        <v>233</v>
      </c>
      <c r="N171" s="25">
        <f t="shared" si="93"/>
        <v>8.658008658008658E-3</v>
      </c>
      <c r="O171" s="94">
        <f>IF(ISNUMBER(M171), $B172 * N171, "")</f>
        <v>1298.7012987012988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-4.021940201426764E-4</v>
      </c>
      <c r="F172" s="28">
        <f>SUM(F152:F171)</f>
        <v>-1206.5820604280279</v>
      </c>
      <c r="G172" s="26" t="s">
        <v>261</v>
      </c>
      <c r="H172" s="27">
        <f>IF(COUNT(H152:H171), SUM(H152:H171) / COUNT(H152:H171), 0)</f>
        <v>1.436374996834657E-2</v>
      </c>
      <c r="I172" s="28">
        <f>SUM(I152:I171)</f>
        <v>43091.249905039709</v>
      </c>
      <c r="J172" s="26" t="s">
        <v>261</v>
      </c>
      <c r="K172" s="27">
        <f>IF(COUNT(K152:K171), SUM(K152:K171) / COUNT(K152:K171), 0)</f>
        <v>1.436374996834657E-2</v>
      </c>
      <c r="L172" s="28">
        <f>SUM(L152:L171)</f>
        <v>43091.249905039709</v>
      </c>
      <c r="M172" s="26" t="s">
        <v>261</v>
      </c>
      <c r="N172" s="27">
        <f>IF(COUNT(N152:N171), SUM(N152:N171) / COUNT(N152:N171), 0)</f>
        <v>3.8635823322031642E-3</v>
      </c>
      <c r="O172" s="28">
        <f>SUM(O152:O171)</f>
        <v>11590.74699660949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2022-12-21(수) 오전 00:00</v>
      </c>
      <c r="C177" s="199"/>
      <c r="D177" s="158" t="str">
        <f>TEXT($G$1, "[$-ko-KR]yyyy-mm-dd(ddd) ") &amp; "오후 14:00"</f>
        <v>2022-12-21(수) 오후 14:00</v>
      </c>
      <c r="E177" s="159"/>
      <c r="F177" s="160"/>
      <c r="G177" s="158" t="str">
        <f>TEXT($G$1, "[$-ko-KR]yyyy-mm-dd(ddd) ") &amp; "오후 19:00"</f>
        <v>2022-12-21(수) 오후 19:00</v>
      </c>
      <c r="H177" s="159"/>
      <c r="I177" s="160"/>
      <c r="J177" s="158" t="str">
        <f>TEXT($G$1, "[$-ko-KR]yyyy-mm-dd(ddd) ") &amp; "오후 21:00"</f>
        <v>2022-12-21(수) 오후 21:00</v>
      </c>
      <c r="K177" s="159"/>
      <c r="L177" s="160"/>
      <c r="M177" s="158" t="str">
        <f>TEXT($G$1+1, "[$-ko-KR]yyyy-mm-dd(ddd) ") &amp; "오전 00:00"</f>
        <v>2022-12-22(목)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91</v>
      </c>
      <c r="B179" s="108">
        <v>17360</v>
      </c>
      <c r="C179" s="69">
        <v>1.8181818200000002E-2</v>
      </c>
      <c r="D179" s="13">
        <v>17050</v>
      </c>
      <c r="E179" s="14">
        <f>IF(ISNUMBER(D179), (D179 - $B179) / $B179, "")</f>
        <v>-1.7857142857142856E-2</v>
      </c>
      <c r="F179" s="16">
        <f>IF(ISNUMBER(D179), $B199 * E179, "")</f>
        <v>-2678.5714285714284</v>
      </c>
      <c r="G179" s="29">
        <v>17400</v>
      </c>
      <c r="H179" s="14">
        <f>IF(ISNUMBER(G179), (G179 - $B179) / $B179, "")</f>
        <v>2.304147465437788E-3</v>
      </c>
      <c r="I179" s="90">
        <f>IF(ISNUMBER(G179), $B199 * H179, "")</f>
        <v>345.62211981566821</v>
      </c>
      <c r="J179" s="13">
        <v>17400</v>
      </c>
      <c r="K179" s="14">
        <f>IF(ISNUMBER(J179), (J179 - $B179) / $B179, "")</f>
        <v>2.304147465437788E-3</v>
      </c>
      <c r="L179" s="16">
        <f>IF(ISNUMBER(J179), $B199 * K179, "")</f>
        <v>345.62211981566821</v>
      </c>
      <c r="M179" s="29">
        <v>17210</v>
      </c>
      <c r="N179" s="14">
        <f>IF(ISNUMBER(M179), (M179 - $B179) / $B179, "")</f>
        <v>-8.6405529953917058E-3</v>
      </c>
      <c r="O179" s="16">
        <f>IF(ISNUMBER(M179), $B199 * N179, "")</f>
        <v>-1296.0829493087558</v>
      </c>
      <c r="Q179" s="156"/>
      <c r="R179" s="156"/>
      <c r="S179" s="156"/>
    </row>
    <row r="180" spans="1:19" ht="17.25" thickBot="1">
      <c r="A180" s="109" t="s">
        <v>77</v>
      </c>
      <c r="B180" s="110">
        <v>131950</v>
      </c>
      <c r="C180" s="70">
        <v>1.7347725500000001E-2</v>
      </c>
      <c r="D180" s="15">
        <v>130500</v>
      </c>
      <c r="E180" s="32">
        <f t="shared" ref="E180:E183" si="94">IF(ISNUMBER(D180), (D180 - $B180) / $B180, "")</f>
        <v>-1.098901098901099E-2</v>
      </c>
      <c r="F180" s="18">
        <f>IF(ISNUMBER(D180), $B199 * E180, "")</f>
        <v>-1648.3516483516485</v>
      </c>
      <c r="G180" s="31">
        <v>132550</v>
      </c>
      <c r="H180" s="32">
        <f t="shared" ref="H180:H183" si="95">IF(ISNUMBER(G180), (G180 - $B180) / $B180, "")</f>
        <v>4.5471769609700648E-3</v>
      </c>
      <c r="I180" s="91">
        <f>IF(ISNUMBER(G180), $B199 * H180, "")</f>
        <v>682.07654414550973</v>
      </c>
      <c r="J180" s="15">
        <v>132550</v>
      </c>
      <c r="K180" s="32">
        <f t="shared" ref="K180:K183" si="96">IF(ISNUMBER(J180), (J180 - $B180) / $B180, "")</f>
        <v>4.5471769609700648E-3</v>
      </c>
      <c r="L180" s="18">
        <f>IF(ISNUMBER(J180), $B199 * K180, "")</f>
        <v>682.07654414550973</v>
      </c>
      <c r="M180" s="31">
        <v>131500</v>
      </c>
      <c r="N180" s="32">
        <f t="shared" ref="N180:N183" si="97">IF(ISNUMBER(M180), (M180 - $B180) / $B180, "")</f>
        <v>-3.4103827207275484E-3</v>
      </c>
      <c r="O180" s="18">
        <f>IF(ISNUMBER(M180), $B199 * N180, "")</f>
        <v>-511.55740810913227</v>
      </c>
      <c r="Q180" s="156"/>
      <c r="R180" s="156"/>
      <c r="S180" s="156"/>
    </row>
    <row r="181" spans="1:19" ht="17.25" thickBot="1">
      <c r="A181" s="109" t="s">
        <v>330</v>
      </c>
      <c r="B181" s="110">
        <v>15990</v>
      </c>
      <c r="C181" s="70">
        <v>1.71755725E-2</v>
      </c>
      <c r="D181" s="15">
        <v>15590</v>
      </c>
      <c r="E181" s="32">
        <f t="shared" si="94"/>
        <v>-2.5015634771732333E-2</v>
      </c>
      <c r="F181" s="18">
        <f>IF(ISNUMBER(D181), $B199 * E181, "")</f>
        <v>-3752.3452157598499</v>
      </c>
      <c r="G181" s="31">
        <v>15840</v>
      </c>
      <c r="H181" s="32">
        <f t="shared" si="95"/>
        <v>-9.3808630393996256E-3</v>
      </c>
      <c r="I181" s="91">
        <f>IF(ISNUMBER(G181), $B199 * H181, "")</f>
        <v>-1407.1294559099438</v>
      </c>
      <c r="J181" s="15">
        <v>15840</v>
      </c>
      <c r="K181" s="32">
        <f t="shared" si="96"/>
        <v>-9.3808630393996256E-3</v>
      </c>
      <c r="L181" s="18">
        <f>IF(ISNUMBER(J181), $B199 * K181, "")</f>
        <v>-1407.1294559099438</v>
      </c>
      <c r="M181" s="31">
        <v>15710</v>
      </c>
      <c r="N181" s="32">
        <f t="shared" si="97"/>
        <v>-1.7510944340212633E-2</v>
      </c>
      <c r="O181" s="18">
        <f>IF(ISNUMBER(M181), $B199 * N181, "")</f>
        <v>-2626.641651031895</v>
      </c>
      <c r="Q181" s="161"/>
      <c r="R181" s="161"/>
      <c r="S181" s="161"/>
    </row>
    <row r="182" spans="1:19" ht="17.25" thickBot="1">
      <c r="A182" s="109" t="s">
        <v>349</v>
      </c>
      <c r="B182" s="110">
        <v>668</v>
      </c>
      <c r="C182" s="70">
        <v>1.67427702E-2</v>
      </c>
      <c r="D182" s="15">
        <v>648</v>
      </c>
      <c r="E182" s="32">
        <f t="shared" si="94"/>
        <v>-2.9940119760479042E-2</v>
      </c>
      <c r="F182" s="18">
        <f>IF(ISNUMBER(D182), $B199 * E182, "")</f>
        <v>-4491.0179640718561</v>
      </c>
      <c r="G182" s="31">
        <v>660</v>
      </c>
      <c r="H182" s="32">
        <f t="shared" si="95"/>
        <v>-1.1976047904191617E-2</v>
      </c>
      <c r="I182" s="91">
        <f>IF(ISNUMBER(G182), $B199 * H182, "")</f>
        <v>-1796.4071856287426</v>
      </c>
      <c r="J182" s="15">
        <v>660</v>
      </c>
      <c r="K182" s="32">
        <f t="shared" si="96"/>
        <v>-1.1976047904191617E-2</v>
      </c>
      <c r="L182" s="18">
        <f>IF(ISNUMBER(J182), $B199 * K182, "")</f>
        <v>-1796.4071856287426</v>
      </c>
      <c r="M182" s="31">
        <v>650</v>
      </c>
      <c r="N182" s="32">
        <f t="shared" si="97"/>
        <v>-2.6946107784431138E-2</v>
      </c>
      <c r="O182" s="18">
        <f>IF(ISNUMBER(M182), $B199 * N182, "")</f>
        <v>-4041.9161676646709</v>
      </c>
      <c r="Q182" s="161"/>
      <c r="R182" s="161"/>
      <c r="S182" s="161"/>
    </row>
    <row r="183" spans="1:19" ht="17.25" thickBot="1">
      <c r="A183" s="111" t="s">
        <v>68</v>
      </c>
      <c r="B183" s="112">
        <v>254</v>
      </c>
      <c r="C183" s="71">
        <v>1.6E-2</v>
      </c>
      <c r="D183" s="20">
        <v>287</v>
      </c>
      <c r="E183" s="21">
        <f t="shared" si="94"/>
        <v>0.12992125984251968</v>
      </c>
      <c r="F183" s="22">
        <f>IF(ISNUMBER(D183), $B199 * E183, "")</f>
        <v>19488.188976377951</v>
      </c>
      <c r="G183" s="30">
        <v>273</v>
      </c>
      <c r="H183" s="21">
        <f t="shared" si="95"/>
        <v>7.4803149606299218E-2</v>
      </c>
      <c r="I183" s="95">
        <f>IF(ISNUMBER(G183), $B199 * H183, "")</f>
        <v>11220.472440944883</v>
      </c>
      <c r="J183" s="20">
        <v>273</v>
      </c>
      <c r="K183" s="21">
        <f t="shared" si="96"/>
        <v>7.4803149606299218E-2</v>
      </c>
      <c r="L183" s="22">
        <f>IF(ISNUMBER(J183), $B199 * K183, "")</f>
        <v>11220.472440944883</v>
      </c>
      <c r="M183" s="30">
        <v>267</v>
      </c>
      <c r="N183" s="21">
        <f t="shared" si="97"/>
        <v>5.1181102362204724E-2</v>
      </c>
      <c r="O183" s="22">
        <f>IF(ISNUMBER(M183), $B199 * N183, "")</f>
        <v>7677.1653543307084</v>
      </c>
      <c r="Q183" s="161"/>
      <c r="R183" s="161"/>
      <c r="S183" s="161"/>
    </row>
    <row r="184" spans="1:19" ht="17.25" thickBot="1">
      <c r="A184" s="109" t="s">
        <v>81</v>
      </c>
      <c r="B184" s="113">
        <v>338</v>
      </c>
      <c r="C184" s="73">
        <v>1.5015015E-2</v>
      </c>
      <c r="D184" s="96">
        <v>325</v>
      </c>
      <c r="E184" s="97">
        <f>IF(ISNUMBER(D184), (D184 - $B184) / $B184, "")</f>
        <v>-3.8461538461538464E-2</v>
      </c>
      <c r="F184" s="98">
        <f>IF(ISNUMBER(D184), $B199 * E184, "")</f>
        <v>-5769.2307692307695</v>
      </c>
      <c r="G184" s="99">
        <v>331</v>
      </c>
      <c r="H184" s="97">
        <f>IF(ISNUMBER(G184), (G184 - $B184) / $B184, "")</f>
        <v>-2.0710059171597635E-2</v>
      </c>
      <c r="I184" s="100">
        <f>IF(ISNUMBER(G184), $B199 * H184, "")</f>
        <v>-3106.5088757396452</v>
      </c>
      <c r="J184" s="96">
        <v>331</v>
      </c>
      <c r="K184" s="97">
        <f>IF(ISNUMBER(J184), (J184 - $B184) / $B184, "")</f>
        <v>-2.0710059171597635E-2</v>
      </c>
      <c r="L184" s="98">
        <f>IF(ISNUMBER(J184), $B199 * K184, "")</f>
        <v>-3106.5088757396452</v>
      </c>
      <c r="M184" s="99">
        <v>331</v>
      </c>
      <c r="N184" s="97">
        <f>IF(ISNUMBER(M184), (M184 - $B184) / $B184, "")</f>
        <v>-2.0710059171597635E-2</v>
      </c>
      <c r="O184" s="98">
        <f>IF(ISNUMBER(M184), $B199 * N184, "")</f>
        <v>-3106.5088757396452</v>
      </c>
      <c r="Q184" s="161"/>
      <c r="R184" s="161"/>
      <c r="S184" s="161"/>
    </row>
    <row r="185" spans="1:19" ht="17.25" thickBot="1">
      <c r="A185" s="109" t="s">
        <v>324</v>
      </c>
      <c r="B185" s="110">
        <v>1035</v>
      </c>
      <c r="C185" s="70">
        <v>1.47058824E-2</v>
      </c>
      <c r="D185" s="15">
        <v>1025</v>
      </c>
      <c r="E185" s="32">
        <f t="shared" ref="E185:E188" si="98">IF(ISNUMBER(D185), (D185 - $B185) / $B185, "")</f>
        <v>-9.6618357487922701E-3</v>
      </c>
      <c r="F185" s="18">
        <f>IF(ISNUMBER(D185), $B199 * E185, "")</f>
        <v>-1449.2753623188405</v>
      </c>
      <c r="G185" s="31">
        <v>1040</v>
      </c>
      <c r="H185" s="32">
        <f t="shared" ref="H185:H188" si="99">IF(ISNUMBER(G185), (G185 - $B185) / $B185, "")</f>
        <v>4.830917874396135E-3</v>
      </c>
      <c r="I185" s="91">
        <f>IF(ISNUMBER(G185), $B199 * H185, "")</f>
        <v>724.63768115942025</v>
      </c>
      <c r="J185" s="15">
        <v>1040</v>
      </c>
      <c r="K185" s="32">
        <f t="shared" ref="K185:K188" si="100">IF(ISNUMBER(J185), (J185 - $B185) / $B185, "")</f>
        <v>4.830917874396135E-3</v>
      </c>
      <c r="L185" s="18">
        <f>IF(ISNUMBER(J185), $B199 * K185, "")</f>
        <v>724.63768115942025</v>
      </c>
      <c r="M185" s="31">
        <v>1035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161"/>
      <c r="R185" s="161"/>
      <c r="S185" s="161"/>
    </row>
    <row r="186" spans="1:19" ht="17.25" thickBot="1">
      <c r="A186" s="109" t="s">
        <v>51</v>
      </c>
      <c r="B186" s="110">
        <v>98</v>
      </c>
      <c r="C186" s="70">
        <v>1.44927536E-2</v>
      </c>
      <c r="D186" s="15">
        <v>97.4</v>
      </c>
      <c r="E186" s="32">
        <f t="shared" si="98"/>
        <v>-6.1224489795917783E-3</v>
      </c>
      <c r="F186" s="18">
        <f>IF(ISNUMBER(D186), $B199 * E186, "")</f>
        <v>-918.36734693876679</v>
      </c>
      <c r="G186" s="31">
        <v>98.9</v>
      </c>
      <c r="H186" s="32">
        <f t="shared" si="99"/>
        <v>9.1836734693878132E-3</v>
      </c>
      <c r="I186" s="91">
        <f>IF(ISNUMBER(G186), $B199 * H186, "")</f>
        <v>1377.551020408172</v>
      </c>
      <c r="J186" s="15">
        <v>98.9</v>
      </c>
      <c r="K186" s="32">
        <f t="shared" si="100"/>
        <v>9.1836734693878132E-3</v>
      </c>
      <c r="L186" s="18">
        <f>IF(ISNUMBER(J186), $B199 * K186, "")</f>
        <v>1377.551020408172</v>
      </c>
      <c r="M186" s="31">
        <v>98.1</v>
      </c>
      <c r="N186" s="32">
        <f t="shared" si="101"/>
        <v>1.0204081632652481E-3</v>
      </c>
      <c r="O186" s="18">
        <f>IF(ISNUMBER(M186), $B199 * N186, "")</f>
        <v>153.06122448978721</v>
      </c>
      <c r="Q186" s="161"/>
      <c r="R186" s="161"/>
      <c r="S186" s="161"/>
    </row>
    <row r="187" spans="1:19" ht="17.25" thickBot="1">
      <c r="A187" s="109" t="s">
        <v>128</v>
      </c>
      <c r="B187" s="110">
        <v>5995</v>
      </c>
      <c r="C187" s="70">
        <v>1.43824027E-2</v>
      </c>
      <c r="D187" s="15">
        <v>5850</v>
      </c>
      <c r="E187" s="32">
        <f t="shared" si="98"/>
        <v>-2.4186822351959968E-2</v>
      </c>
      <c r="F187" s="18">
        <f>IF(ISNUMBER(D187), $B199 * E187, "")</f>
        <v>-3628.0233527939954</v>
      </c>
      <c r="G187" s="31">
        <v>5915</v>
      </c>
      <c r="H187" s="32">
        <f t="shared" si="99"/>
        <v>-1.3344453711426188E-2</v>
      </c>
      <c r="I187" s="91">
        <f>IF(ISNUMBER(G187), $B199 * H187, "")</f>
        <v>-2001.6680567139283</v>
      </c>
      <c r="J187" s="15">
        <v>5915</v>
      </c>
      <c r="K187" s="32">
        <f t="shared" si="100"/>
        <v>-1.3344453711426188E-2</v>
      </c>
      <c r="L187" s="18">
        <f>IF(ISNUMBER(J187), $B199 * K187, "")</f>
        <v>-2001.6680567139283</v>
      </c>
      <c r="M187" s="31">
        <v>5835</v>
      </c>
      <c r="N187" s="32">
        <f t="shared" si="101"/>
        <v>-2.6688907422852376E-2</v>
      </c>
      <c r="O187" s="18">
        <f>IF(ISNUMBER(M187), $B199 * N187, "")</f>
        <v>-4003.3361134278566</v>
      </c>
      <c r="Q187" s="33"/>
      <c r="R187" s="33"/>
    </row>
    <row r="188" spans="1:19" ht="17.25" thickBot="1">
      <c r="A188" s="114" t="s">
        <v>49</v>
      </c>
      <c r="B188" s="115">
        <v>21960000</v>
      </c>
      <c r="C188" s="72">
        <v>1.4131338300000001E-2</v>
      </c>
      <c r="D188" s="24">
        <v>21899000</v>
      </c>
      <c r="E188" s="25">
        <f t="shared" si="98"/>
        <v>-2.7777777777777779E-3</v>
      </c>
      <c r="F188" s="94">
        <f>IF(ISNUMBER(D188), $B199 * E188, "")</f>
        <v>-416.66666666666669</v>
      </c>
      <c r="G188" s="92">
        <v>22058000</v>
      </c>
      <c r="H188" s="25">
        <f t="shared" si="99"/>
        <v>4.4626593806921678E-3</v>
      </c>
      <c r="I188" s="93">
        <f>IF(ISNUMBER(G188), $B199 * H188, "")</f>
        <v>669.3989071038252</v>
      </c>
      <c r="J188" s="24">
        <v>22058000</v>
      </c>
      <c r="K188" s="25">
        <f t="shared" si="100"/>
        <v>4.4626593806921678E-3</v>
      </c>
      <c r="L188" s="94">
        <f>IF(ISNUMBER(J188), $B199 * K188, "")</f>
        <v>669.3989071038252</v>
      </c>
      <c r="M188" s="92">
        <v>21955000</v>
      </c>
      <c r="N188" s="25">
        <f t="shared" si="101"/>
        <v>-2.2768670309653916E-4</v>
      </c>
      <c r="O188" s="94">
        <f>IF(ISNUMBER(M188), $B199 * N188, "")</f>
        <v>-34.153005464480877</v>
      </c>
      <c r="Q188" s="170"/>
      <c r="R188" s="171"/>
      <c r="S188" s="172"/>
    </row>
    <row r="189" spans="1:19">
      <c r="A189" s="107" t="s">
        <v>62</v>
      </c>
      <c r="B189" s="108">
        <v>8425</v>
      </c>
      <c r="C189" s="69">
        <v>1.3229104E-2</v>
      </c>
      <c r="D189" s="13">
        <v>8320</v>
      </c>
      <c r="E189" s="14">
        <f>IF(ISNUMBER(D189), (D189 - $B189) / $B189, "")</f>
        <v>-1.2462908011869436E-2</v>
      </c>
      <c r="F189" s="16">
        <f>IF(ISNUMBER(D189), $B199 * E189, "")</f>
        <v>-1869.4362017804153</v>
      </c>
      <c r="G189" s="29">
        <v>8480</v>
      </c>
      <c r="H189" s="14">
        <f>IF(ISNUMBER(G189), (G189 - $B189) / $B189, "")</f>
        <v>6.5281899109792289E-3</v>
      </c>
      <c r="I189" s="90">
        <f>IF(ISNUMBER(G189), $B199 * H189, "")</f>
        <v>979.22848664688433</v>
      </c>
      <c r="J189" s="13">
        <v>8480</v>
      </c>
      <c r="K189" s="14">
        <f>IF(ISNUMBER(J189), (J189 - $B189) / $B189, "")</f>
        <v>6.5281899109792289E-3</v>
      </c>
      <c r="L189" s="16">
        <f>IF(ISNUMBER(J189), $B199 * K189, "")</f>
        <v>979.22848664688433</v>
      </c>
      <c r="M189" s="29">
        <v>8370</v>
      </c>
      <c r="N189" s="14">
        <f>IF(ISNUMBER(M189), (M189 - $B189) / $B189, "")</f>
        <v>-6.5281899109792289E-3</v>
      </c>
      <c r="O189" s="16">
        <f>IF(ISNUMBER(M189), $B199 * N189, "")</f>
        <v>-979.22848664688433</v>
      </c>
      <c r="Q189" s="173"/>
      <c r="R189" s="174"/>
      <c r="S189" s="175"/>
    </row>
    <row r="190" spans="1:19" ht="17.25" thickBot="1">
      <c r="A190" s="109" t="s">
        <v>336</v>
      </c>
      <c r="B190" s="110">
        <v>73.2</v>
      </c>
      <c r="C190" s="70">
        <v>9.6551724000000002E-3</v>
      </c>
      <c r="D190" s="15">
        <v>73.900000000000006</v>
      </c>
      <c r="E190" s="32">
        <f t="shared" ref="E190:E193" si="102">IF(ISNUMBER(D190), (D190 - $B190) / $B190, "")</f>
        <v>9.5628415300546832E-3</v>
      </c>
      <c r="F190" s="18">
        <f>IF(ISNUMBER(D190), $B199 * E190, "")</f>
        <v>1434.4262295082024</v>
      </c>
      <c r="G190" s="31">
        <v>74.5</v>
      </c>
      <c r="H190" s="32">
        <f t="shared" ref="H190:H193" si="103">IF(ISNUMBER(G190), (G190 - $B190) / $B190, "")</f>
        <v>1.7759562841530015E-2</v>
      </c>
      <c r="I190" s="91">
        <f>IF(ISNUMBER(G190), $B199 * H190, "")</f>
        <v>2663.9344262295022</v>
      </c>
      <c r="J190" s="15">
        <v>74.5</v>
      </c>
      <c r="K190" s="32">
        <f t="shared" ref="K190:K193" si="104">IF(ISNUMBER(J190), (J190 - $B190) / $B190, "")</f>
        <v>1.7759562841530015E-2</v>
      </c>
      <c r="L190" s="18">
        <f>IF(ISNUMBER(J190), $B199 * K190, "")</f>
        <v>2663.9344262295022</v>
      </c>
      <c r="M190" s="31">
        <v>73.900000000000006</v>
      </c>
      <c r="N190" s="32">
        <f t="shared" ref="N190:N193" si="105">IF(ISNUMBER(M190), (M190 - $B190) / $B190, "")</f>
        <v>9.5628415300546832E-3</v>
      </c>
      <c r="O190" s="18">
        <f>IF(ISNUMBER(M190), $B199 * N190, "")</f>
        <v>1434.4262295082024</v>
      </c>
      <c r="Q190" s="176"/>
      <c r="R190" s="177"/>
      <c r="S190" s="178"/>
    </row>
    <row r="191" spans="1:19" ht="17.25" thickBot="1">
      <c r="A191" s="109" t="s">
        <v>89</v>
      </c>
      <c r="B191" s="110">
        <v>451</v>
      </c>
      <c r="C191" s="70">
        <v>8.9485459000000003E-3</v>
      </c>
      <c r="D191" s="15">
        <v>442</v>
      </c>
      <c r="E191" s="32">
        <f t="shared" si="102"/>
        <v>-1.9955654101995565E-2</v>
      </c>
      <c r="F191" s="18">
        <f>IF(ISNUMBER(D191), $B199 * E191, "")</f>
        <v>-2993.3481152993345</v>
      </c>
      <c r="G191" s="31">
        <v>450</v>
      </c>
      <c r="H191" s="32">
        <f t="shared" si="103"/>
        <v>-2.2172949002217295E-3</v>
      </c>
      <c r="I191" s="91">
        <f>IF(ISNUMBER(G191), $B199 * H191, "")</f>
        <v>-332.59423503325945</v>
      </c>
      <c r="J191" s="15">
        <v>450</v>
      </c>
      <c r="K191" s="32">
        <f t="shared" si="104"/>
        <v>-2.2172949002217295E-3</v>
      </c>
      <c r="L191" s="18">
        <f>IF(ISNUMBER(J191), $B199 * K191, "")</f>
        <v>-332.59423503325945</v>
      </c>
      <c r="M191" s="31">
        <v>448</v>
      </c>
      <c r="N191" s="32">
        <f t="shared" si="105"/>
        <v>-6.6518847006651885E-3</v>
      </c>
      <c r="O191" s="18">
        <f>IF(ISNUMBER(M191), $B199 * N191, "")</f>
        <v>-997.78270509977824</v>
      </c>
      <c r="Q191" s="161"/>
      <c r="R191" s="161"/>
      <c r="S191" s="161"/>
    </row>
    <row r="192" spans="1:19" ht="17.25" thickBot="1">
      <c r="A192" s="109" t="s">
        <v>332</v>
      </c>
      <c r="B192" s="110">
        <v>231</v>
      </c>
      <c r="C192" s="70">
        <v>8.7336245000000003E-3</v>
      </c>
      <c r="D192" s="15">
        <v>231</v>
      </c>
      <c r="E192" s="32">
        <f t="shared" si="102"/>
        <v>0</v>
      </c>
      <c r="F192" s="18">
        <f>IF(ISNUMBER(D192), $B199 * E192, "")</f>
        <v>0</v>
      </c>
      <c r="G192" s="31">
        <v>235</v>
      </c>
      <c r="H192" s="32">
        <f t="shared" si="103"/>
        <v>1.7316017316017316E-2</v>
      </c>
      <c r="I192" s="91">
        <f>IF(ISNUMBER(G192), $B199 * H192, "")</f>
        <v>2597.4025974025976</v>
      </c>
      <c r="J192" s="15">
        <v>235</v>
      </c>
      <c r="K192" s="32">
        <f t="shared" si="104"/>
        <v>1.7316017316017316E-2</v>
      </c>
      <c r="L192" s="18">
        <f>IF(ISNUMBER(J192), $B199 * K192, "")</f>
        <v>2597.4025974025976</v>
      </c>
      <c r="M192" s="31">
        <v>233</v>
      </c>
      <c r="N192" s="32">
        <f t="shared" si="105"/>
        <v>8.658008658008658E-3</v>
      </c>
      <c r="O192" s="18">
        <f>IF(ISNUMBER(M192), $B199 * N192, "")</f>
        <v>1298.7012987012988</v>
      </c>
      <c r="Q192" s="156"/>
      <c r="R192" s="156"/>
      <c r="S192" s="156"/>
    </row>
    <row r="193" spans="1:19" ht="17.25" thickBot="1">
      <c r="A193" s="111" t="s">
        <v>113</v>
      </c>
      <c r="B193" s="112">
        <v>1385</v>
      </c>
      <c r="C193" s="71">
        <v>7.2727273000000002E-3</v>
      </c>
      <c r="D193" s="20">
        <v>1380</v>
      </c>
      <c r="E193" s="21">
        <f t="shared" si="102"/>
        <v>-3.6101083032490976E-3</v>
      </c>
      <c r="F193" s="22">
        <f>IF(ISNUMBER(D193), $B199 * E193, "")</f>
        <v>-541.51624548736459</v>
      </c>
      <c r="G193" s="30">
        <v>1370</v>
      </c>
      <c r="H193" s="21">
        <f t="shared" si="103"/>
        <v>-1.0830324909747292E-2</v>
      </c>
      <c r="I193" s="95">
        <f>IF(ISNUMBER(G193), $B199 * H193, "")</f>
        <v>-1624.5487364620938</v>
      </c>
      <c r="J193" s="20">
        <v>1370</v>
      </c>
      <c r="K193" s="21">
        <f t="shared" si="104"/>
        <v>-1.0830324909747292E-2</v>
      </c>
      <c r="L193" s="22">
        <f>IF(ISNUMBER(J193), $B199 * K193, "")</f>
        <v>-1624.5487364620938</v>
      </c>
      <c r="M193" s="30">
        <v>1345</v>
      </c>
      <c r="N193" s="21">
        <f t="shared" si="105"/>
        <v>-2.8880866425992781E-2</v>
      </c>
      <c r="O193" s="22">
        <f>IF(ISNUMBER(M193), $B199 * N193, "")</f>
        <v>-4332.1299638989167</v>
      </c>
      <c r="Q193" s="156"/>
      <c r="R193" s="156"/>
      <c r="S193" s="156"/>
    </row>
    <row r="194" spans="1:19" ht="17.25" thickBot="1">
      <c r="A194" s="109" t="s">
        <v>344</v>
      </c>
      <c r="B194" s="113">
        <v>5045</v>
      </c>
      <c r="C194" s="73">
        <v>4.9800796999999999E-3</v>
      </c>
      <c r="D194" s="96">
        <v>4880</v>
      </c>
      <c r="E194" s="97">
        <f>IF(ISNUMBER(D194), (D194 - $B194) / $B194, "")</f>
        <v>-3.2705649157581763E-2</v>
      </c>
      <c r="F194" s="98">
        <f>IF(ISNUMBER(D194), $B199 * E194, "")</f>
        <v>-4905.8473736372644</v>
      </c>
      <c r="G194" s="99">
        <v>4980</v>
      </c>
      <c r="H194" s="97">
        <f>IF(ISNUMBER(G194), (G194 - $B194) / $B194, "")</f>
        <v>-1.288404360753221E-2</v>
      </c>
      <c r="I194" s="100">
        <f>IF(ISNUMBER(G194), $B199 * H194, "")</f>
        <v>-1932.6065411298314</v>
      </c>
      <c r="J194" s="96">
        <v>4980</v>
      </c>
      <c r="K194" s="97">
        <f>IF(ISNUMBER(J194), (J194 - $B194) / $B194, "")</f>
        <v>-1.288404360753221E-2</v>
      </c>
      <c r="L194" s="98">
        <f>IF(ISNUMBER(J194), $B199 * K194, "")</f>
        <v>-1932.6065411298314</v>
      </c>
      <c r="M194" s="99">
        <v>4930</v>
      </c>
      <c r="N194" s="97">
        <f>IF(ISNUMBER(M194), (M194 - $B194) / $B194, "")</f>
        <v>-2.2794846382556987E-2</v>
      </c>
      <c r="O194" s="98">
        <f>IF(ISNUMBER(M194), $B199 * N194, "")</f>
        <v>-3419.2269573835479</v>
      </c>
      <c r="Q194" s="161"/>
      <c r="R194" s="161"/>
      <c r="S194" s="161"/>
    </row>
    <row r="195" spans="1:19" ht="17.25" thickBot="1">
      <c r="A195" s="109" t="s">
        <v>145</v>
      </c>
      <c r="B195" s="110">
        <v>70.900000000000006</v>
      </c>
      <c r="C195" s="70">
        <v>4.2492917999999999E-3</v>
      </c>
      <c r="D195" s="15">
        <v>71.2</v>
      </c>
      <c r="E195" s="32">
        <f t="shared" ref="E195:E198" si="106">IF(ISNUMBER(D195), (D195 - $B195) / $B195, "")</f>
        <v>4.2313117066290146E-3</v>
      </c>
      <c r="F195" s="18">
        <f>IF(ISNUMBER(D195), $B199 * E195, "")</f>
        <v>634.6967559943522</v>
      </c>
      <c r="G195" s="31">
        <v>72.099999999999994</v>
      </c>
      <c r="H195" s="32">
        <f t="shared" ref="H195:H198" si="107">IF(ISNUMBER(G195), (G195 - $B195) / $B195, "")</f>
        <v>1.6925246826516058E-2</v>
      </c>
      <c r="I195" s="91">
        <f>IF(ISNUMBER(G195), $B199 * H195, "")</f>
        <v>2538.7870239774088</v>
      </c>
      <c r="J195" s="15">
        <v>72.099999999999994</v>
      </c>
      <c r="K195" s="32">
        <f t="shared" ref="K195:K198" si="108">IF(ISNUMBER(J195), (J195 - $B195) / $B195, "")</f>
        <v>1.6925246826516058E-2</v>
      </c>
      <c r="L195" s="18">
        <f>IF(ISNUMBER(J195), $B199 * K195, "")</f>
        <v>2538.7870239774088</v>
      </c>
      <c r="M195" s="31">
        <v>71.8</v>
      </c>
      <c r="N195" s="32">
        <f t="shared" ref="N195:N198" si="109">IF(ISNUMBER(M195), (M195 - $B195) / $B195, "")</f>
        <v>1.2693935119887043E-2</v>
      </c>
      <c r="O195" s="18">
        <f>IF(ISNUMBER(M195), $B199 * N195, "")</f>
        <v>1904.0902679830565</v>
      </c>
      <c r="Q195" s="161"/>
      <c r="R195" s="161"/>
      <c r="S195" s="161"/>
    </row>
    <row r="196" spans="1:19" ht="17.25" thickBot="1">
      <c r="A196" s="109" t="s">
        <v>87</v>
      </c>
      <c r="B196" s="110">
        <v>59930</v>
      </c>
      <c r="C196" s="70">
        <v>2.8447122000000002E-3</v>
      </c>
      <c r="D196" s="15">
        <v>58830</v>
      </c>
      <c r="E196" s="32">
        <f t="shared" si="106"/>
        <v>-1.8354747205072585E-2</v>
      </c>
      <c r="F196" s="18">
        <f>IF(ISNUMBER(D196), $B199 * E196, "")</f>
        <v>-2753.2120807608876</v>
      </c>
      <c r="G196" s="31">
        <v>59150</v>
      </c>
      <c r="H196" s="32">
        <f t="shared" si="107"/>
        <v>-1.3015184381778741E-2</v>
      </c>
      <c r="I196" s="91">
        <f>IF(ISNUMBER(G196), $B199 * H196, "")</f>
        <v>-1952.2776572668113</v>
      </c>
      <c r="J196" s="15">
        <v>59150</v>
      </c>
      <c r="K196" s="32">
        <f t="shared" si="108"/>
        <v>-1.3015184381778741E-2</v>
      </c>
      <c r="L196" s="18">
        <f>IF(ISNUMBER(J196), $B199 * K196, "")</f>
        <v>-1952.2776572668113</v>
      </c>
      <c r="M196" s="31">
        <v>58640</v>
      </c>
      <c r="N196" s="32">
        <f t="shared" si="109"/>
        <v>-2.1525112631403304E-2</v>
      </c>
      <c r="O196" s="18">
        <f>IF(ISNUMBER(M196), $B199 * N196, "")</f>
        <v>-3228.7668947104958</v>
      </c>
      <c r="Q196" s="161"/>
      <c r="R196" s="161"/>
      <c r="S196" s="161"/>
    </row>
    <row r="197" spans="1:19">
      <c r="A197" s="109" t="s">
        <v>236</v>
      </c>
      <c r="B197" s="110">
        <v>2925</v>
      </c>
      <c r="C197" s="70">
        <v>1.7123288E-3</v>
      </c>
      <c r="D197" s="15">
        <v>2915</v>
      </c>
      <c r="E197" s="32">
        <f t="shared" si="106"/>
        <v>-3.4188034188034188E-3</v>
      </c>
      <c r="F197" s="18">
        <f>IF(ISNUMBER(D197), $B199 * E197, "")</f>
        <v>-512.82051282051282</v>
      </c>
      <c r="G197" s="31">
        <v>2935</v>
      </c>
      <c r="H197" s="32">
        <f t="shared" si="107"/>
        <v>3.4188034188034188E-3</v>
      </c>
      <c r="I197" s="91">
        <f>IF(ISNUMBER(G197), $B199 * H197, "")</f>
        <v>512.82051282051282</v>
      </c>
      <c r="J197" s="15">
        <v>2935</v>
      </c>
      <c r="K197" s="32">
        <f t="shared" si="108"/>
        <v>3.4188034188034188E-3</v>
      </c>
      <c r="L197" s="18">
        <f>IF(ISNUMBER(J197), $B199 * K197, "")</f>
        <v>512.82051282051282</v>
      </c>
      <c r="M197" s="31">
        <v>2930</v>
      </c>
      <c r="N197" s="32">
        <f t="shared" si="109"/>
        <v>1.7094017094017094E-3</v>
      </c>
      <c r="O197" s="18">
        <f>IF(ISNUMBER(M197), $B199 * N197, "")</f>
        <v>256.41025641025641</v>
      </c>
      <c r="Q197" s="183"/>
      <c r="R197" s="184"/>
      <c r="S197" s="185"/>
    </row>
    <row r="198" spans="1:19" ht="17.25" thickBot="1">
      <c r="A198" s="114" t="s">
        <v>97</v>
      </c>
      <c r="B198" s="115">
        <v>8.0000000000000004E-4</v>
      </c>
      <c r="C198" s="72">
        <v>0</v>
      </c>
      <c r="D198" s="24">
        <v>8.9999999999999998E-4</v>
      </c>
      <c r="E198" s="25">
        <f t="shared" si="106"/>
        <v>0.12499999999999992</v>
      </c>
      <c r="F198" s="94">
        <f>IF(ISNUMBER(D198), $B199 * E198, "")</f>
        <v>18749.999999999989</v>
      </c>
      <c r="G198" s="92">
        <v>8.0000000000000004E-4</v>
      </c>
      <c r="H198" s="25">
        <f t="shared" si="107"/>
        <v>0</v>
      </c>
      <c r="I198" s="93">
        <f>IF(ISNUMBER(G198), $B199 * H198, "")</f>
        <v>0</v>
      </c>
      <c r="J198" s="24">
        <v>8.0000000000000004E-4</v>
      </c>
      <c r="K198" s="25">
        <f t="shared" si="108"/>
        <v>0</v>
      </c>
      <c r="L198" s="94">
        <f>IF(ISNUMBER(J198), $B199 * K198, "")</f>
        <v>0</v>
      </c>
      <c r="M198" s="92">
        <v>8.9999999999999998E-4</v>
      </c>
      <c r="N198" s="25">
        <f t="shared" si="109"/>
        <v>0.12499999999999992</v>
      </c>
      <c r="O198" s="94">
        <f>IF(ISNUMBER(M198), $B199 * N198, "")</f>
        <v>18749.999999999989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6.5976055913029709E-4</v>
      </c>
      <c r="F199" s="28">
        <f>SUM(F179:F198)</f>
        <v>1979.2816773908926</v>
      </c>
      <c r="G199" s="26" t="s">
        <v>261</v>
      </c>
      <c r="H199" s="27">
        <f>IF(COUNT(H179:H198), SUM(H179:H198) / COUNT(H179:H198), 0)</f>
        <v>3.386063672256709E-3</v>
      </c>
      <c r="I199" s="28">
        <f>SUM(I179:I198)</f>
        <v>10158.19101677013</v>
      </c>
      <c r="J199" s="26" t="s">
        <v>261</v>
      </c>
      <c r="K199" s="27">
        <f>IF(COUNT(K179:K198), SUM(K179:K198) / COUNT(K179:K198), 0)</f>
        <v>3.386063672256709E-3</v>
      </c>
      <c r="L199" s="28">
        <f>SUM(L179:L198)</f>
        <v>10158.19101677013</v>
      </c>
      <c r="M199" s="26" t="s">
        <v>261</v>
      </c>
      <c r="N199" s="27">
        <f>IF(COUNT(N179:N198), SUM(N179:N198) / COUNT(N179:N198), 0)</f>
        <v>9.6550781764574646E-4</v>
      </c>
      <c r="O199" s="28">
        <f>SUM(O179:O198)</f>
        <v>2896.5234529372392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3975-524A-4DD4-B442-66D83CBDEEFE}">
  <sheetPr codeName="Sheet28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44917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-94,301 KRW (-3.14%)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-70,604 KRW (-2.35%)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-69,040 KRW (-2.30%)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-55,213 KRW (-1.84%)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2022-12-22(목) 오전 00:00</v>
      </c>
      <c r="C15" s="202"/>
      <c r="D15" s="158" t="str">
        <f>TEXT($G$1, "[$-ko-KR]yyyy-mm-dd(ddd) ") &amp; "오후 14:00"</f>
        <v>2022-12-22(목) 오후 14:00</v>
      </c>
      <c r="E15" s="159"/>
      <c r="F15" s="160"/>
      <c r="G15" s="158" t="str">
        <f>TEXT($G$1, "[$-ko-KR]yyyy-mm-dd(ddd) ") &amp; "오후 19:00"</f>
        <v>2022-12-22(목) 오후 19:00</v>
      </c>
      <c r="H15" s="159"/>
      <c r="I15" s="160"/>
      <c r="J15" s="158" t="str">
        <f>TEXT($G$1, "[$-ko-KR]yyyy-mm-dd(ddd) ") &amp; "오후 21:00"</f>
        <v>2022-12-22(목) 오후 21:00</v>
      </c>
      <c r="K15" s="159"/>
      <c r="L15" s="160"/>
      <c r="M15" s="158" t="str">
        <f>TEXT($G$1+1, "[$-ko-KR]yyyy-mm-dd(ddd) ") &amp; "오전 00:00"</f>
        <v>2022-12-23(금)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2022-12-22(목) 오전 00:00</v>
      </c>
      <c r="C42" s="199"/>
      <c r="D42" s="158" t="str">
        <f>TEXT($G$1, "[$-ko-KR]yyyy-mm-dd(ddd) ") &amp; "오후 14:00"</f>
        <v>2022-12-22(목) 오후 14:00</v>
      </c>
      <c r="E42" s="159"/>
      <c r="F42" s="160"/>
      <c r="G42" s="158" t="str">
        <f>TEXT($G$1, "[$-ko-KR]yyyy-mm-dd(ddd) ") &amp; "오후 19:00"</f>
        <v>2022-12-22(목) 오후 19:00</v>
      </c>
      <c r="H42" s="159"/>
      <c r="I42" s="160"/>
      <c r="J42" s="158" t="str">
        <f>TEXT($G$1, "[$-ko-KR]yyyy-mm-dd(ddd) ") &amp; "오후 21:00"</f>
        <v>2022-12-22(목) 오후 21:00</v>
      </c>
      <c r="K42" s="159"/>
      <c r="L42" s="160"/>
      <c r="M42" s="158" t="str">
        <f>TEXT($G$1+1, "[$-ko-KR]yyyy-mm-dd(ddd) ") &amp; "오전 00:00"</f>
        <v>2022-12-23(금)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97</v>
      </c>
      <c r="B44" s="108">
        <v>8.9999999999999998E-4</v>
      </c>
      <c r="C44" s="69">
        <v>0.125</v>
      </c>
      <c r="D44" s="13">
        <v>8.9999999999999998E-4</v>
      </c>
      <c r="E44" s="14">
        <f>IF(ISNUMBER(D44), (D44 - $B44) / $B44, "")</f>
        <v>0</v>
      </c>
      <c r="F44" s="16">
        <f>IF(ISNUMBER(D44), $B64 * E44, "")</f>
        <v>0</v>
      </c>
      <c r="G44" s="29">
        <v>8.9999999999999998E-4</v>
      </c>
      <c r="H44" s="14">
        <f>IF(ISNUMBER(G44), (G44 - $B44) / $B44, "")</f>
        <v>0</v>
      </c>
      <c r="I44" s="90">
        <f>IF(ISNUMBER(G44), $B64 * H44, "")</f>
        <v>0</v>
      </c>
      <c r="J44" s="13">
        <v>8.9999999999999998E-4</v>
      </c>
      <c r="K44" s="14">
        <f>IF(ISNUMBER(J44), (J44 - $B44) / $B44, "")</f>
        <v>0</v>
      </c>
      <c r="L44" s="16">
        <f>IF(ISNUMBER(J44), $B64 * K44, "")</f>
        <v>0</v>
      </c>
      <c r="M44" s="29">
        <v>8.0000000000000004E-4</v>
      </c>
      <c r="N44" s="14">
        <f>IF(ISNUMBER(M44), (M44 - $B44) / $B44, "")</f>
        <v>-0.11111111111111105</v>
      </c>
      <c r="O44" s="16">
        <f>IF(ISNUMBER(M44), $B64 * N44, "")</f>
        <v>-16666.666666666657</v>
      </c>
      <c r="Q44" s="156"/>
      <c r="R44" s="156"/>
      <c r="S44" s="156"/>
    </row>
    <row r="45" spans="1:19" ht="17.25" customHeight="1" thickBot="1">
      <c r="A45" s="109" t="s">
        <v>212</v>
      </c>
      <c r="B45" s="110">
        <v>81.400000000000006</v>
      </c>
      <c r="C45" s="70">
        <v>4.6272493599999999E-2</v>
      </c>
      <c r="D45" s="15">
        <v>76.400000000000006</v>
      </c>
      <c r="E45" s="32">
        <f t="shared" ref="E45:E48" si="14">IF(ISNUMBER(D45), (D45 - $B45) / $B45, "")</f>
        <v>-6.142506142506142E-2</v>
      </c>
      <c r="F45" s="18">
        <f>IF(ISNUMBER(D45), $B64 * E45, "")</f>
        <v>-9213.7592137592128</v>
      </c>
      <c r="G45" s="31">
        <v>75.8</v>
      </c>
      <c r="H45" s="32">
        <f t="shared" ref="H45:H48" si="15">IF(ISNUMBER(G45), (G45 - $B45) / $B45, "")</f>
        <v>-6.8796068796068893E-2</v>
      </c>
      <c r="I45" s="91">
        <f>IF(ISNUMBER(G45), $B64 * H45, "")</f>
        <v>-10319.410319410334</v>
      </c>
      <c r="J45" s="15">
        <v>75.8</v>
      </c>
      <c r="K45" s="32">
        <f t="shared" ref="K45:K48" si="16">IF(ISNUMBER(J45), (J45 - $B45) / $B45, "")</f>
        <v>-6.8796068796068893E-2</v>
      </c>
      <c r="L45" s="18">
        <f>IF(ISNUMBER(J45), $B64 * K45, "")</f>
        <v>-10319.410319410334</v>
      </c>
      <c r="M45" s="31">
        <v>75.400000000000006</v>
      </c>
      <c r="N45" s="32">
        <f t="shared" ref="N45:N48" si="17">IF(ISNUMBER(M45), (M45 - $B45) / $B45, "")</f>
        <v>-7.3710073710073709E-2</v>
      </c>
      <c r="O45" s="18">
        <f>IF(ISNUMBER(M45), $B64 * N45, "")</f>
        <v>-11056.511056511057</v>
      </c>
      <c r="Q45" s="156"/>
      <c r="R45" s="156"/>
      <c r="S45" s="156"/>
    </row>
    <row r="46" spans="1:19" ht="17.25" customHeight="1" thickBot="1">
      <c r="A46" s="109" t="s">
        <v>181</v>
      </c>
      <c r="B46" s="110">
        <v>4.28</v>
      </c>
      <c r="C46" s="70">
        <v>2.3923445000000002E-2</v>
      </c>
      <c r="D46" s="15">
        <v>4.21</v>
      </c>
      <c r="E46" s="32">
        <f t="shared" si="14"/>
        <v>-1.6355140186915952E-2</v>
      </c>
      <c r="F46" s="18">
        <f>IF(ISNUMBER(D46), $B64 * E46, "")</f>
        <v>-2453.2710280373926</v>
      </c>
      <c r="G46" s="31">
        <v>4.1399999999999997</v>
      </c>
      <c r="H46" s="32">
        <f t="shared" si="15"/>
        <v>-3.2710280373831904E-2</v>
      </c>
      <c r="I46" s="91">
        <f>IF(ISNUMBER(G46), $B64 * H46, "")</f>
        <v>-4906.5420560747853</v>
      </c>
      <c r="J46" s="15">
        <v>4.1399999999999997</v>
      </c>
      <c r="K46" s="32">
        <f t="shared" si="16"/>
        <v>-3.2710280373831904E-2</v>
      </c>
      <c r="L46" s="18">
        <f>IF(ISNUMBER(J46), $B64 * K46, "")</f>
        <v>-4906.5420560747853</v>
      </c>
      <c r="M46" s="31">
        <v>4.1100000000000003</v>
      </c>
      <c r="N46" s="32">
        <f t="shared" si="17"/>
        <v>-3.9719626168224283E-2</v>
      </c>
      <c r="O46" s="18">
        <f>IF(ISNUMBER(M46), $B64 * N46, "")</f>
        <v>-5957.9439252336424</v>
      </c>
      <c r="Q46" s="161"/>
      <c r="R46" s="161"/>
      <c r="S46" s="161"/>
    </row>
    <row r="47" spans="1:19" ht="17.25" customHeight="1" thickBot="1">
      <c r="A47" s="109" t="s">
        <v>195</v>
      </c>
      <c r="B47" s="110">
        <v>6.05</v>
      </c>
      <c r="C47" s="70">
        <v>1.6806722699999999E-2</v>
      </c>
      <c r="D47" s="15">
        <v>6.02</v>
      </c>
      <c r="E47" s="32">
        <f t="shared" si="14"/>
        <v>-4.9586776859504543E-3</v>
      </c>
      <c r="F47" s="18">
        <f>IF(ISNUMBER(D47), $B64 * E47, "")</f>
        <v>-743.8016528925682</v>
      </c>
      <c r="G47" s="31">
        <v>5.96</v>
      </c>
      <c r="H47" s="32">
        <f t="shared" si="15"/>
        <v>-1.4876033057851217E-2</v>
      </c>
      <c r="I47" s="91">
        <f>IF(ISNUMBER(G47), $B64 * H47, "")</f>
        <v>-2231.4049586776828</v>
      </c>
      <c r="J47" s="15">
        <v>5.96</v>
      </c>
      <c r="K47" s="32">
        <f t="shared" si="16"/>
        <v>-1.4876033057851217E-2</v>
      </c>
      <c r="L47" s="18">
        <f>IF(ISNUMBER(J47), $B64 * K47, "")</f>
        <v>-2231.4049586776828</v>
      </c>
      <c r="M47" s="31">
        <v>5.95</v>
      </c>
      <c r="N47" s="32">
        <f t="shared" si="17"/>
        <v>-1.6528925619834652E-2</v>
      </c>
      <c r="O47" s="18">
        <f>IF(ISNUMBER(M47), $B64 * N47, "")</f>
        <v>-2479.3388429751976</v>
      </c>
      <c r="Q47" s="161"/>
      <c r="R47" s="161"/>
      <c r="S47" s="161"/>
    </row>
    <row r="48" spans="1:19" ht="17.25" customHeight="1" thickBot="1">
      <c r="A48" s="111" t="s">
        <v>198</v>
      </c>
      <c r="B48" s="112">
        <v>6.96</v>
      </c>
      <c r="C48" s="71">
        <v>1.6058394199999999E-2</v>
      </c>
      <c r="D48" s="20">
        <v>6.92</v>
      </c>
      <c r="E48" s="21">
        <f t="shared" si="14"/>
        <v>-5.7471264367816143E-3</v>
      </c>
      <c r="F48" s="22">
        <f>IF(ISNUMBER(D48), $B64 * E48, "")</f>
        <v>-862.06896551724219</v>
      </c>
      <c r="G48" s="30">
        <v>6.69</v>
      </c>
      <c r="H48" s="21">
        <f t="shared" si="15"/>
        <v>-3.8793103448275801E-2</v>
      </c>
      <c r="I48" s="95">
        <f>IF(ISNUMBER(G48), $B64 * H48, "")</f>
        <v>-5818.9655172413704</v>
      </c>
      <c r="J48" s="20">
        <v>6.69</v>
      </c>
      <c r="K48" s="21">
        <f t="shared" si="16"/>
        <v>-3.8793103448275801E-2</v>
      </c>
      <c r="L48" s="22">
        <f>IF(ISNUMBER(J48), $B64 * K48, "")</f>
        <v>-5818.9655172413704</v>
      </c>
      <c r="M48" s="30">
        <v>6.67</v>
      </c>
      <c r="N48" s="21">
        <f t="shared" si="17"/>
        <v>-4.1666666666666671E-2</v>
      </c>
      <c r="O48" s="22">
        <f>IF(ISNUMBER(M48), $B64 * N48, "")</f>
        <v>-6250.0000000000009</v>
      </c>
      <c r="Q48" s="161"/>
      <c r="R48" s="161"/>
      <c r="S48" s="161"/>
    </row>
    <row r="49" spans="1:19" ht="17.25" customHeight="1" thickBot="1">
      <c r="A49" s="109" t="s">
        <v>155</v>
      </c>
      <c r="B49" s="113">
        <v>27.4</v>
      </c>
      <c r="C49" s="73">
        <v>1.10701107E-2</v>
      </c>
      <c r="D49" s="96">
        <v>27.2</v>
      </c>
      <c r="E49" s="97">
        <f>IF(ISNUMBER(D49), (D49 - $B49) / $B49, "")</f>
        <v>-7.2992700729926753E-3</v>
      </c>
      <c r="F49" s="98">
        <f>IF(ISNUMBER(D49), $B64 * E49, "")</f>
        <v>-1094.8905109489012</v>
      </c>
      <c r="G49" s="99">
        <v>27.3</v>
      </c>
      <c r="H49" s="97">
        <f>IF(ISNUMBER(G49), (G49 - $B49) / $B49, "")</f>
        <v>-3.6496350364962726E-3</v>
      </c>
      <c r="I49" s="100">
        <f>IF(ISNUMBER(G49), $B64 * H49, "")</f>
        <v>-547.44525547444084</v>
      </c>
      <c r="J49" s="96">
        <v>27.3</v>
      </c>
      <c r="K49" s="97">
        <f>IF(ISNUMBER(J49), (J49 - $B49) / $B49, "")</f>
        <v>-3.6496350364962726E-3</v>
      </c>
      <c r="L49" s="98">
        <f>IF(ISNUMBER(J49), $B64 * K49, "")</f>
        <v>-547.44525547444084</v>
      </c>
      <c r="M49" s="99">
        <v>27</v>
      </c>
      <c r="N49" s="97">
        <f>IF(ISNUMBER(M49), (M49 - $B49) / $B49, "")</f>
        <v>-1.4598540145985351E-2</v>
      </c>
      <c r="O49" s="98">
        <f>IF(ISNUMBER(M49), $B64 * N49, "")</f>
        <v>-2189.7810218978025</v>
      </c>
      <c r="Q49" s="161"/>
      <c r="R49" s="161"/>
      <c r="S49" s="161"/>
    </row>
    <row r="50" spans="1:19" ht="17.25" customHeight="1" thickBot="1">
      <c r="A50" s="109" t="s">
        <v>230</v>
      </c>
      <c r="B50" s="110">
        <v>36.5</v>
      </c>
      <c r="C50" s="70">
        <v>8.2872928000000002E-3</v>
      </c>
      <c r="D50" s="15">
        <v>36.4</v>
      </c>
      <c r="E50" s="32">
        <f t="shared" ref="E50:E53" si="18">IF(ISNUMBER(D50), (D50 - $B50) / $B50, "")</f>
        <v>-2.7397260273972993E-3</v>
      </c>
      <c r="F50" s="18">
        <f>IF(ISNUMBER(D50), $B64 * E50, "")</f>
        <v>-410.95890410959493</v>
      </c>
      <c r="G50" s="31">
        <v>36</v>
      </c>
      <c r="H50" s="32">
        <f t="shared" ref="H50:H53" si="19">IF(ISNUMBER(G50), (G50 - $B50) / $B50, "")</f>
        <v>-1.3698630136986301E-2</v>
      </c>
      <c r="I50" s="91">
        <f>IF(ISNUMBER(G50), $B64 * H50, "")</f>
        <v>-2054.794520547945</v>
      </c>
      <c r="J50" s="15">
        <v>36</v>
      </c>
      <c r="K50" s="32">
        <f t="shared" ref="K50:K53" si="20">IF(ISNUMBER(J50), (J50 - $B50) / $B50, "")</f>
        <v>-1.3698630136986301E-2</v>
      </c>
      <c r="L50" s="18">
        <f>IF(ISNUMBER(J50), $B64 * K50, "")</f>
        <v>-2054.794520547945</v>
      </c>
      <c r="M50" s="31">
        <v>35.700000000000003</v>
      </c>
      <c r="N50" s="32">
        <f t="shared" ref="N50:N53" si="21">IF(ISNUMBER(M50), (M50 - $B50) / $B50, "")</f>
        <v>-2.1917808219178006E-2</v>
      </c>
      <c r="O50" s="18">
        <f>IF(ISNUMBER(M50), $B64 * N50, "")</f>
        <v>-3287.6712328767007</v>
      </c>
      <c r="Q50" s="161"/>
      <c r="R50" s="161"/>
      <c r="S50" s="161"/>
    </row>
    <row r="51" spans="1:19" ht="17.25" customHeight="1" thickBot="1">
      <c r="A51" s="109" t="s">
        <v>185</v>
      </c>
      <c r="B51" s="110">
        <v>27</v>
      </c>
      <c r="C51" s="70">
        <v>7.4626865999999998E-3</v>
      </c>
      <c r="D51" s="15">
        <v>27.2</v>
      </c>
      <c r="E51" s="32">
        <f t="shared" si="18"/>
        <v>7.4074074074073808E-3</v>
      </c>
      <c r="F51" s="18">
        <f>IF(ISNUMBER(D51), $B64 * E51, "")</f>
        <v>1111.1111111111072</v>
      </c>
      <c r="G51" s="31">
        <v>26.8</v>
      </c>
      <c r="H51" s="32">
        <f t="shared" si="19"/>
        <v>-7.4074074074073808E-3</v>
      </c>
      <c r="I51" s="91">
        <f>IF(ISNUMBER(G51), $B64 * H51, "")</f>
        <v>-1111.1111111111072</v>
      </c>
      <c r="J51" s="15">
        <v>26.8</v>
      </c>
      <c r="K51" s="32">
        <f t="shared" si="20"/>
        <v>-7.4074074074073808E-3</v>
      </c>
      <c r="L51" s="18">
        <f>IF(ISNUMBER(J51), $B64 * K51, "")</f>
        <v>-1111.1111111111072</v>
      </c>
      <c r="M51" s="31">
        <v>26.7</v>
      </c>
      <c r="N51" s="32">
        <f t="shared" si="21"/>
        <v>-1.1111111111111138E-2</v>
      </c>
      <c r="O51" s="18">
        <f>IF(ISNUMBER(M51), $B64 * N51, "")</f>
        <v>-1666.6666666666706</v>
      </c>
      <c r="Q51" s="161"/>
      <c r="R51" s="161"/>
      <c r="S51" s="161"/>
    </row>
    <row r="52" spans="1:19" ht="17.25" customHeight="1" thickBot="1">
      <c r="A52" s="109" t="s">
        <v>200</v>
      </c>
      <c r="B52" s="110">
        <v>6.23</v>
      </c>
      <c r="C52" s="70">
        <v>6.4620355000000003E-3</v>
      </c>
      <c r="D52" s="15">
        <v>6.2</v>
      </c>
      <c r="E52" s="32">
        <f t="shared" si="18"/>
        <v>-4.8154093097913719E-3</v>
      </c>
      <c r="F52" s="18">
        <f>IF(ISNUMBER(D52), $B64 * E52, "")</f>
        <v>-722.31139646870577</v>
      </c>
      <c r="G52" s="31">
        <v>6.13</v>
      </c>
      <c r="H52" s="32">
        <f t="shared" si="19"/>
        <v>-1.6051364365971193E-2</v>
      </c>
      <c r="I52" s="91">
        <f>IF(ISNUMBER(G52), $B64 * H52, "")</f>
        <v>-2407.7046548956791</v>
      </c>
      <c r="J52" s="15">
        <v>6.13</v>
      </c>
      <c r="K52" s="32">
        <f t="shared" si="20"/>
        <v>-1.6051364365971193E-2</v>
      </c>
      <c r="L52" s="18">
        <f>IF(ISNUMBER(J52), $B64 * K52, "")</f>
        <v>-2407.7046548956791</v>
      </c>
      <c r="M52" s="31">
        <v>6.08</v>
      </c>
      <c r="N52" s="32">
        <f t="shared" si="21"/>
        <v>-2.4077046548956718E-2</v>
      </c>
      <c r="O52" s="18">
        <f>IF(ISNUMBER(M52), $B64 * N52, "")</f>
        <v>-3611.5569823435076</v>
      </c>
      <c r="Q52" s="33"/>
      <c r="R52" s="33"/>
    </row>
    <row r="53" spans="1:19" ht="17.25" customHeight="1" thickBot="1">
      <c r="A53" s="114" t="s">
        <v>206</v>
      </c>
      <c r="B53" s="115">
        <v>3.27</v>
      </c>
      <c r="C53" s="72">
        <v>6.1538462000000002E-3</v>
      </c>
      <c r="D53" s="24">
        <v>3.21</v>
      </c>
      <c r="E53" s="25">
        <f t="shared" si="18"/>
        <v>-1.8348623853211024E-2</v>
      </c>
      <c r="F53" s="94">
        <f>IF(ISNUMBER(D53), $B64 * E53, "")</f>
        <v>-2752.2935779816535</v>
      </c>
      <c r="G53" s="92">
        <v>3.22</v>
      </c>
      <c r="H53" s="25">
        <f t="shared" si="19"/>
        <v>-1.5290519877675787E-2</v>
      </c>
      <c r="I53" s="93">
        <f>IF(ISNUMBER(G53), $B64 * H53, "")</f>
        <v>-2293.5779816513682</v>
      </c>
      <c r="J53" s="24">
        <v>3.22</v>
      </c>
      <c r="K53" s="25">
        <f t="shared" si="20"/>
        <v>-1.5290519877675787E-2</v>
      </c>
      <c r="L53" s="94">
        <f>IF(ISNUMBER(J53), $B64 * K53, "")</f>
        <v>-2293.5779816513682</v>
      </c>
      <c r="M53" s="92">
        <v>3.18</v>
      </c>
      <c r="N53" s="25">
        <f t="shared" si="21"/>
        <v>-2.752293577981647E-2</v>
      </c>
      <c r="O53" s="94">
        <f>IF(ISNUMBER(M53), $B64 * N53, "")</f>
        <v>-4128.4403669724707</v>
      </c>
      <c r="Q53" s="170"/>
      <c r="R53" s="171"/>
      <c r="S53" s="172"/>
    </row>
    <row r="54" spans="1:19" ht="17.25" customHeight="1">
      <c r="A54" s="107" t="s">
        <v>118</v>
      </c>
      <c r="B54" s="108">
        <v>5.43</v>
      </c>
      <c r="C54" s="69">
        <v>3.6968576999999998E-3</v>
      </c>
      <c r="D54" s="13">
        <v>5.38</v>
      </c>
      <c r="E54" s="14">
        <f>IF(ISNUMBER(D54), (D54 - $B54) / $B54, "")</f>
        <v>-9.2081031307550323E-3</v>
      </c>
      <c r="F54" s="16">
        <f>IF(ISNUMBER(D54), $B64 * E54, "")</f>
        <v>-1381.2154696132548</v>
      </c>
      <c r="G54" s="29">
        <v>5.37</v>
      </c>
      <c r="H54" s="14">
        <f>IF(ISNUMBER(G54), (G54 - $B54) / $B54, "")</f>
        <v>-1.1049723756906006E-2</v>
      </c>
      <c r="I54" s="90">
        <f>IF(ISNUMBER(G54), $B64 * H54, "")</f>
        <v>-1657.4585635359008</v>
      </c>
      <c r="J54" s="13">
        <v>5.37</v>
      </c>
      <c r="K54" s="14">
        <f>IF(ISNUMBER(J54), (J54 - $B54) / $B54, "")</f>
        <v>-1.1049723756906006E-2</v>
      </c>
      <c r="L54" s="16">
        <f>IF(ISNUMBER(J54), $B64 * K54, "")</f>
        <v>-1657.4585635359008</v>
      </c>
      <c r="M54" s="29">
        <v>5.3</v>
      </c>
      <c r="N54" s="14">
        <f>IF(ISNUMBER(M54), (M54 - $B54) / $B54, "")</f>
        <v>-2.3941068139963148E-2</v>
      </c>
      <c r="O54" s="16">
        <f>IF(ISNUMBER(M54), $B64 * N54, "")</f>
        <v>-3591.1602209944722</v>
      </c>
      <c r="Q54" s="173"/>
      <c r="R54" s="174"/>
      <c r="S54" s="175"/>
    </row>
    <row r="55" spans="1:19" ht="17.25" customHeight="1" thickBot="1">
      <c r="A55" s="109" t="s">
        <v>228</v>
      </c>
      <c r="B55" s="110">
        <v>57</v>
      </c>
      <c r="C55" s="70">
        <v>3.5211268000000001E-3</v>
      </c>
      <c r="D55" s="15">
        <v>57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55.9</v>
      </c>
      <c r="H55" s="32">
        <f t="shared" ref="H55:H58" si="23">IF(ISNUMBER(G55), (G55 - $B55) / $B55, "")</f>
        <v>-1.9298245614035113E-2</v>
      </c>
      <c r="I55" s="91">
        <f>IF(ISNUMBER(G55), $B64 * H55, "")</f>
        <v>-2894.736842105267</v>
      </c>
      <c r="J55" s="15">
        <v>55.9</v>
      </c>
      <c r="K55" s="32">
        <f t="shared" ref="K55:K58" si="24">IF(ISNUMBER(J55), (J55 - $B55) / $B55, "")</f>
        <v>-1.9298245614035113E-2</v>
      </c>
      <c r="L55" s="18">
        <f>IF(ISNUMBER(J55), $B64 * K55, "")</f>
        <v>-2894.736842105267</v>
      </c>
      <c r="M55" s="31">
        <v>55.8</v>
      </c>
      <c r="N55" s="32">
        <f t="shared" ref="N55:N58" si="25">IF(ISNUMBER(M55), (M55 - $B55) / $B55, "")</f>
        <v>-2.105263157894742E-2</v>
      </c>
      <c r="O55" s="18">
        <f>IF(ISNUMBER(M55), $B64 * N55, "")</f>
        <v>-3157.8947368421132</v>
      </c>
      <c r="Q55" s="176"/>
      <c r="R55" s="177"/>
      <c r="S55" s="178"/>
    </row>
    <row r="56" spans="1:19" ht="17.25" customHeight="1" thickBot="1">
      <c r="A56" s="109" t="s">
        <v>143</v>
      </c>
      <c r="B56" s="110">
        <v>3.54</v>
      </c>
      <c r="C56" s="70">
        <v>2.8328612E-3</v>
      </c>
      <c r="D56" s="15">
        <v>3.64</v>
      </c>
      <c r="E56" s="32">
        <f t="shared" si="22"/>
        <v>2.8248587570621493E-2</v>
      </c>
      <c r="F56" s="18">
        <f>IF(ISNUMBER(D56), $B64 * E56, "")</f>
        <v>4237.2881355932241</v>
      </c>
      <c r="G56" s="31">
        <v>3.6</v>
      </c>
      <c r="H56" s="32">
        <f t="shared" si="23"/>
        <v>1.6949152542372895E-2</v>
      </c>
      <c r="I56" s="91">
        <f>IF(ISNUMBER(G56), $B64 * H56, "")</f>
        <v>2542.3728813559342</v>
      </c>
      <c r="J56" s="15">
        <v>3.6</v>
      </c>
      <c r="K56" s="32">
        <f t="shared" si="24"/>
        <v>1.6949152542372895E-2</v>
      </c>
      <c r="L56" s="18">
        <f>IF(ISNUMBER(J56), $B64 * K56, "")</f>
        <v>2542.3728813559342</v>
      </c>
      <c r="M56" s="31">
        <v>3.48</v>
      </c>
      <c r="N56" s="32">
        <f t="shared" si="25"/>
        <v>-1.6949152542372895E-2</v>
      </c>
      <c r="O56" s="18">
        <f>IF(ISNUMBER(M56), $B64 * N56, "")</f>
        <v>-2542.3728813559342</v>
      </c>
      <c r="Q56" s="161"/>
      <c r="R56" s="161"/>
      <c r="S56" s="161"/>
    </row>
    <row r="57" spans="1:19" ht="17.25" customHeight="1" thickBot="1">
      <c r="A57" s="109" t="s">
        <v>338</v>
      </c>
      <c r="B57" s="110">
        <v>4.47</v>
      </c>
      <c r="C57" s="70">
        <v>2.2421525E-3</v>
      </c>
      <c r="D57" s="15">
        <v>4.42</v>
      </c>
      <c r="E57" s="32">
        <f t="shared" si="22"/>
        <v>-1.1185682326621885E-2</v>
      </c>
      <c r="F57" s="18">
        <f>IF(ISNUMBER(D57), $B64 * E57, "")</f>
        <v>-1677.8523489932827</v>
      </c>
      <c r="G57" s="31">
        <v>4.43</v>
      </c>
      <c r="H57" s="32">
        <f t="shared" si="23"/>
        <v>-8.9485458612975476E-3</v>
      </c>
      <c r="I57" s="91">
        <f>IF(ISNUMBER(G57), $B64 * H57, "")</f>
        <v>-1342.2818791946322</v>
      </c>
      <c r="J57" s="15">
        <v>4.43</v>
      </c>
      <c r="K57" s="32">
        <f t="shared" si="24"/>
        <v>-8.9485458612975476E-3</v>
      </c>
      <c r="L57" s="18">
        <f>IF(ISNUMBER(J57), $B64 * K57, "")</f>
        <v>-1342.2818791946322</v>
      </c>
      <c r="M57" s="31">
        <v>4.38</v>
      </c>
      <c r="N57" s="32">
        <f t="shared" si="25"/>
        <v>-2.0134228187919434E-2</v>
      </c>
      <c r="O57" s="18">
        <f>IF(ISNUMBER(M57), $B64 * N57, "")</f>
        <v>-3020.1342281879151</v>
      </c>
      <c r="Q57" s="156"/>
      <c r="R57" s="156"/>
      <c r="S57" s="156"/>
    </row>
    <row r="58" spans="1:19" ht="17.25" customHeight="1" thickBot="1">
      <c r="A58" s="111" t="s">
        <v>145</v>
      </c>
      <c r="B58" s="112">
        <v>71.8</v>
      </c>
      <c r="C58" s="71">
        <v>1.3947001000000001E-3</v>
      </c>
      <c r="D58" s="20">
        <v>71.400000000000006</v>
      </c>
      <c r="E58" s="21">
        <f t="shared" si="22"/>
        <v>-5.5710306406684049E-3</v>
      </c>
      <c r="F58" s="22">
        <f>IF(ISNUMBER(D58), $B64 * E58, "")</f>
        <v>-835.65459610026073</v>
      </c>
      <c r="G58" s="30">
        <v>71.7</v>
      </c>
      <c r="H58" s="21">
        <f t="shared" si="23"/>
        <v>-1.3927576601670518E-3</v>
      </c>
      <c r="I58" s="95">
        <f>IF(ISNUMBER(G58), $B64 * H58, "")</f>
        <v>-208.91364902505777</v>
      </c>
      <c r="J58" s="20">
        <v>71.7</v>
      </c>
      <c r="K58" s="21">
        <f t="shared" si="24"/>
        <v>-1.3927576601670518E-3</v>
      </c>
      <c r="L58" s="22">
        <f>IF(ISNUMBER(J58), $B64 * K58, "")</f>
        <v>-208.91364902505777</v>
      </c>
      <c r="M58" s="30">
        <v>71.5</v>
      </c>
      <c r="N58" s="21">
        <f t="shared" si="25"/>
        <v>-4.1782729805013531E-3</v>
      </c>
      <c r="O58" s="22">
        <f>IF(ISNUMBER(M58), $B64 * N58, "")</f>
        <v>-626.74094707520294</v>
      </c>
      <c r="Q58" s="156"/>
      <c r="R58" s="156"/>
      <c r="S58" s="156"/>
    </row>
    <row r="59" spans="1:19" ht="17.25" customHeight="1" thickBot="1">
      <c r="A59" s="109" t="s">
        <v>141</v>
      </c>
      <c r="B59" s="113">
        <v>3.17</v>
      </c>
      <c r="C59" s="73">
        <v>0</v>
      </c>
      <c r="D59" s="96">
        <v>3.14</v>
      </c>
      <c r="E59" s="97">
        <f>IF(ISNUMBER(D59), (D59 - $B59) / $B59, "")</f>
        <v>-9.4637223974762801E-3</v>
      </c>
      <c r="F59" s="98">
        <f>IF(ISNUMBER(D59), $B64 * E59, "")</f>
        <v>-1419.5583596214419</v>
      </c>
      <c r="G59" s="99">
        <v>3.14</v>
      </c>
      <c r="H59" s="97">
        <f>IF(ISNUMBER(G59), (G59 - $B59) / $B59, "")</f>
        <v>-9.4637223974762801E-3</v>
      </c>
      <c r="I59" s="100">
        <f>IF(ISNUMBER(G59), $B64 * H59, "")</f>
        <v>-1419.5583596214419</v>
      </c>
      <c r="J59" s="96">
        <v>3.14</v>
      </c>
      <c r="K59" s="97">
        <f>IF(ISNUMBER(J59), (J59 - $B59) / $B59, "")</f>
        <v>-9.4637223974762801E-3</v>
      </c>
      <c r="L59" s="98">
        <f>IF(ISNUMBER(J59), $B64 * K59, "")</f>
        <v>-1419.5583596214419</v>
      </c>
      <c r="M59" s="99">
        <v>3.14</v>
      </c>
      <c r="N59" s="97">
        <f>IF(ISNUMBER(M59), (M59 - $B59) / $B59, "")</f>
        <v>-9.4637223974762801E-3</v>
      </c>
      <c r="O59" s="98">
        <f>IF(ISNUMBER(M59), $B64 * N59, "")</f>
        <v>-1419.5583596214419</v>
      </c>
      <c r="Q59" s="161"/>
      <c r="R59" s="161"/>
      <c r="S59" s="161"/>
    </row>
    <row r="60" spans="1:19" ht="17.25" customHeight="1" thickBot="1">
      <c r="A60" s="109" t="s">
        <v>71</v>
      </c>
      <c r="B60" s="110">
        <v>10.3</v>
      </c>
      <c r="C60" s="70">
        <v>0</v>
      </c>
      <c r="D60" s="15">
        <v>10.199999999999999</v>
      </c>
      <c r="E60" s="32">
        <f t="shared" ref="E60:E63" si="26">IF(ISNUMBER(D60), (D60 - $B60) / $B60, "")</f>
        <v>-9.7087378640778078E-3</v>
      </c>
      <c r="F60" s="18">
        <f>IF(ISNUMBER(D60), $B64 * E60, "")</f>
        <v>-1456.3106796116713</v>
      </c>
      <c r="G60" s="31">
        <v>10.1</v>
      </c>
      <c r="H60" s="32">
        <f t="shared" ref="H60:H63" si="27">IF(ISNUMBER(G60), (G60 - $B60) / $B60, "")</f>
        <v>-1.9417475728155442E-2</v>
      </c>
      <c r="I60" s="91">
        <f>IF(ISNUMBER(G60), $B64 * H60, "")</f>
        <v>-2912.6213592233162</v>
      </c>
      <c r="J60" s="15">
        <v>10.1</v>
      </c>
      <c r="K60" s="32">
        <f t="shared" ref="K60:K63" si="28">IF(ISNUMBER(J60), (J60 - $B60) / $B60, "")</f>
        <v>-1.9417475728155442E-2</v>
      </c>
      <c r="L60" s="18">
        <f>IF(ISNUMBER(J60), $B64 * K60, "")</f>
        <v>-2912.6213592233162</v>
      </c>
      <c r="M60" s="31">
        <v>10.199999999999999</v>
      </c>
      <c r="N60" s="32">
        <f t="shared" ref="N60:N63" si="29">IF(ISNUMBER(M60), (M60 - $B60) / $B60, "")</f>
        <v>-9.7087378640778078E-3</v>
      </c>
      <c r="O60" s="18">
        <f>IF(ISNUMBER(M60), $B64 * N60, "")</f>
        <v>-1456.3106796116713</v>
      </c>
      <c r="Q60" s="161"/>
      <c r="R60" s="161"/>
      <c r="S60" s="161"/>
    </row>
    <row r="61" spans="1:19" ht="17.25" customHeight="1" thickBot="1">
      <c r="A61" s="109" t="s">
        <v>224</v>
      </c>
      <c r="B61" s="110">
        <v>18.600000000000001</v>
      </c>
      <c r="C61" s="70">
        <v>0</v>
      </c>
      <c r="D61" s="15">
        <v>19</v>
      </c>
      <c r="E61" s="32">
        <f t="shared" si="26"/>
        <v>2.1505376344085943E-2</v>
      </c>
      <c r="F61" s="18">
        <f>IF(ISNUMBER(D61), $B64 * E61, "")</f>
        <v>3225.8064516128916</v>
      </c>
      <c r="G61" s="31">
        <v>19</v>
      </c>
      <c r="H61" s="32">
        <f t="shared" si="27"/>
        <v>2.1505376344085943E-2</v>
      </c>
      <c r="I61" s="91">
        <f>IF(ISNUMBER(G61), $B64 * H61, "")</f>
        <v>3225.8064516128916</v>
      </c>
      <c r="J61" s="15">
        <v>19</v>
      </c>
      <c r="K61" s="32">
        <f t="shared" si="28"/>
        <v>2.1505376344085943E-2</v>
      </c>
      <c r="L61" s="18">
        <f>IF(ISNUMBER(J61), $B64 * K61, "")</f>
        <v>3225.8064516128916</v>
      </c>
      <c r="M61" s="31">
        <v>18.899999999999999</v>
      </c>
      <c r="N61" s="32">
        <f t="shared" si="29"/>
        <v>1.6129032258064363E-2</v>
      </c>
      <c r="O61" s="18">
        <f>IF(ISNUMBER(M61), $B64 * N61, "")</f>
        <v>2419.3548387096544</v>
      </c>
      <c r="Q61" s="161"/>
      <c r="R61" s="161"/>
      <c r="S61" s="161"/>
    </row>
    <row r="62" spans="1:19" ht="17.25" customHeight="1">
      <c r="A62" s="109" t="s">
        <v>220</v>
      </c>
      <c r="B62" s="110">
        <v>62.4</v>
      </c>
      <c r="C62" s="70">
        <v>-1.6000000000000001E-3</v>
      </c>
      <c r="D62" s="15">
        <v>62.9</v>
      </c>
      <c r="E62" s="32">
        <f t="shared" si="26"/>
        <v>8.0128205128205138E-3</v>
      </c>
      <c r="F62" s="18">
        <f>IF(ISNUMBER(D62), $B64 * E62, "")</f>
        <v>1201.9230769230771</v>
      </c>
      <c r="G62" s="31">
        <v>62.3</v>
      </c>
      <c r="H62" s="32">
        <f t="shared" si="27"/>
        <v>-1.6025641025641253E-3</v>
      </c>
      <c r="I62" s="91">
        <f>IF(ISNUMBER(G62), $B64 * H62, "")</f>
        <v>-240.3846153846188</v>
      </c>
      <c r="J62" s="15">
        <v>62.3</v>
      </c>
      <c r="K62" s="32">
        <f t="shared" si="28"/>
        <v>-1.6025641025641253E-3</v>
      </c>
      <c r="L62" s="18">
        <f>IF(ISNUMBER(J62), $B64 * K62, "")</f>
        <v>-240.3846153846188</v>
      </c>
      <c r="M62" s="31">
        <v>62.2</v>
      </c>
      <c r="N62" s="32">
        <f t="shared" si="29"/>
        <v>-3.2051282051281369E-3</v>
      </c>
      <c r="O62" s="18">
        <f>IF(ISNUMBER(M62), $B64 * N62, "")</f>
        <v>-480.76923076922054</v>
      </c>
      <c r="Q62" s="183"/>
      <c r="R62" s="184"/>
      <c r="S62" s="185"/>
    </row>
    <row r="63" spans="1:19" ht="17.25" customHeight="1" thickBot="1">
      <c r="A63" s="114" t="s">
        <v>240</v>
      </c>
      <c r="B63" s="115">
        <v>26.5</v>
      </c>
      <c r="C63" s="72">
        <v>-3.7593984999999999E-3</v>
      </c>
      <c r="D63" s="24">
        <v>26.6</v>
      </c>
      <c r="E63" s="25">
        <f t="shared" si="26"/>
        <v>3.7735849056604312E-3</v>
      </c>
      <c r="F63" s="94">
        <f>IF(ISNUMBER(D63), $B64 * E63, "")</f>
        <v>566.03773584906469</v>
      </c>
      <c r="G63" s="92">
        <v>26.7</v>
      </c>
      <c r="H63" s="25">
        <f t="shared" si="27"/>
        <v>7.5471698113207279E-3</v>
      </c>
      <c r="I63" s="93">
        <f>IF(ISNUMBER(G63), $B64 * H63, "")</f>
        <v>1132.0754716981091</v>
      </c>
      <c r="J63" s="24">
        <v>26.7</v>
      </c>
      <c r="K63" s="25">
        <f t="shared" si="28"/>
        <v>7.5471698113207279E-3</v>
      </c>
      <c r="L63" s="94">
        <f>IF(ISNUMBER(J63), $B64 * K63, "")</f>
        <v>1132.0754716981091</v>
      </c>
      <c r="M63" s="92">
        <v>26.6</v>
      </c>
      <c r="N63" s="25">
        <f t="shared" si="29"/>
        <v>3.7735849056604312E-3</v>
      </c>
      <c r="O63" s="94">
        <f>IF(ISNUMBER(M63), $B64 * N63, "")</f>
        <v>566.03773584906469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-4.8939267308552737E-3</v>
      </c>
      <c r="F64" s="28">
        <f>SUM(F44:F63)</f>
        <v>-14681.780192565815</v>
      </c>
      <c r="G64" s="26" t="s">
        <v>261</v>
      </c>
      <c r="H64" s="27">
        <f>IF(COUNT(H44:H63), SUM(H44:H63) / COUNT(H44:H63), 0)</f>
        <v>-1.1822218946169338E-2</v>
      </c>
      <c r="I64" s="28">
        <f>SUM(I44:I63)</f>
        <v>-35466.65683850801</v>
      </c>
      <c r="J64" s="26" t="s">
        <v>261</v>
      </c>
      <c r="K64" s="27">
        <f>IF(COUNT(K44:K63), SUM(K44:K63) / COUNT(K44:K63), 0)</f>
        <v>-1.1822218946169338E-2</v>
      </c>
      <c r="L64" s="28">
        <f>SUM(L44:L63)</f>
        <v>-35466.65683850801</v>
      </c>
      <c r="M64" s="26" t="s">
        <v>261</v>
      </c>
      <c r="N64" s="27">
        <f>IF(COUNT(N44:N63), SUM(N44:N63) / COUNT(N44:N63), 0)</f>
        <v>-2.3534708490680983E-2</v>
      </c>
      <c r="O64" s="28">
        <f>SUM(O44:O63)</f>
        <v>-70604.125472042986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2022-12-22(목) 오전 00:00</v>
      </c>
      <c r="C69" s="199"/>
      <c r="D69" s="158" t="str">
        <f>TEXT($G$1, "[$-ko-KR]yyyy-mm-dd(ddd) ") &amp; "오후 14:00"</f>
        <v>2022-12-22(목) 오후 14:00</v>
      </c>
      <c r="E69" s="159"/>
      <c r="F69" s="160"/>
      <c r="G69" s="158" t="str">
        <f>TEXT($G$1, "[$-ko-KR]yyyy-mm-dd(ddd) ") &amp; "오후 19:00"</f>
        <v>2022-12-22(목) 오후 19:00</v>
      </c>
      <c r="H69" s="159"/>
      <c r="I69" s="160"/>
      <c r="J69" s="158" t="str">
        <f>TEXT($G$1, "[$-ko-KR]yyyy-mm-dd(ddd) ") &amp; "오후 21:00"</f>
        <v>2022-12-22(목) 오후 21:00</v>
      </c>
      <c r="K69" s="159"/>
      <c r="L69" s="160"/>
      <c r="M69" s="158" t="str">
        <f>TEXT($G$1+1, "[$-ko-KR]yyyy-mm-dd(ddd) ") &amp; "오전 00:00"</f>
        <v>2022-12-23(금)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167</v>
      </c>
      <c r="B71" s="108">
        <v>182</v>
      </c>
      <c r="C71" s="69">
        <v>6.4327485399999995E-2</v>
      </c>
      <c r="D71" s="13">
        <v>174</v>
      </c>
      <c r="E71" s="14">
        <f>IF(ISNUMBER(D71), (D71 - $B71) / $B71, "")</f>
        <v>-4.3956043956043959E-2</v>
      </c>
      <c r="F71" s="16">
        <f>IF(ISNUMBER(D71), $B91 * E71, "")</f>
        <v>-6593.4065934065939</v>
      </c>
      <c r="G71" s="29">
        <v>169</v>
      </c>
      <c r="H71" s="14">
        <f>IF(ISNUMBER(G71), (G71 - $B71) / $B71, "")</f>
        <v>-7.1428571428571425E-2</v>
      </c>
      <c r="I71" s="90">
        <f>IF(ISNUMBER(G71), $B91 * H71, "")</f>
        <v>-10714.285714285714</v>
      </c>
      <c r="J71" s="13">
        <v>169</v>
      </c>
      <c r="K71" s="14">
        <f>IF(ISNUMBER(J71), (J71 - $B71) / $B71, "")</f>
        <v>-7.1428571428571425E-2</v>
      </c>
      <c r="L71" s="16">
        <f>IF(ISNUMBER(J71), $B91 * K71, "")</f>
        <v>-10714.285714285714</v>
      </c>
      <c r="M71" s="29">
        <v>168</v>
      </c>
      <c r="N71" s="14">
        <f>IF(ISNUMBER(M71), (M71 - $B71) / $B71, "")</f>
        <v>-7.6923076923076927E-2</v>
      </c>
      <c r="O71" s="16">
        <f>IF(ISNUMBER(M71), $B91 * N71, "")</f>
        <v>-11538.461538461539</v>
      </c>
      <c r="Q71" s="156"/>
      <c r="R71" s="156"/>
      <c r="S71" s="156"/>
    </row>
    <row r="72" spans="1:19" ht="17.25" thickBot="1">
      <c r="A72" s="109" t="s">
        <v>68</v>
      </c>
      <c r="B72" s="110">
        <v>267</v>
      </c>
      <c r="C72" s="70">
        <v>2.6923076899999999E-2</v>
      </c>
      <c r="D72" s="15">
        <v>282</v>
      </c>
      <c r="E72" s="32">
        <f t="shared" ref="E72:E75" si="30">IF(ISNUMBER(D72), (D72 - $B72) / $B72, "")</f>
        <v>5.6179775280898875E-2</v>
      </c>
      <c r="F72" s="18">
        <f>IF(ISNUMBER(D72), $B91 * E72, "")</f>
        <v>8426.9662921348317</v>
      </c>
      <c r="G72" s="31">
        <v>263</v>
      </c>
      <c r="H72" s="32">
        <f t="shared" ref="H72:H75" si="31">IF(ISNUMBER(G72), (G72 - $B72) / $B72, "")</f>
        <v>-1.4981273408239701E-2</v>
      </c>
      <c r="I72" s="91">
        <f>IF(ISNUMBER(G72), $B91 * H72, "")</f>
        <v>-2247.1910112359551</v>
      </c>
      <c r="J72" s="15">
        <v>263</v>
      </c>
      <c r="K72" s="32">
        <f t="shared" ref="K72:K75" si="32">IF(ISNUMBER(J72), (J72 - $B72) / $B72, "")</f>
        <v>-1.4981273408239701E-2</v>
      </c>
      <c r="L72" s="18">
        <f>IF(ISNUMBER(J72), $B91 * K72, "")</f>
        <v>-2247.1910112359551</v>
      </c>
      <c r="M72" s="31">
        <v>262</v>
      </c>
      <c r="N72" s="32">
        <f t="shared" ref="N72:N75" si="33">IF(ISNUMBER(M72), (M72 - $B72) / $B72, "")</f>
        <v>-1.8726591760299626E-2</v>
      </c>
      <c r="O72" s="18">
        <f>IF(ISNUMBER(M72), $B91 * N72, "")</f>
        <v>-2808.9887640449438</v>
      </c>
      <c r="Q72" s="156"/>
      <c r="R72" s="156"/>
      <c r="S72" s="156"/>
    </row>
    <row r="73" spans="1:19" ht="17.25" thickBot="1">
      <c r="A73" s="109" t="s">
        <v>159</v>
      </c>
      <c r="B73" s="110">
        <v>157</v>
      </c>
      <c r="C73" s="70">
        <v>2.61437908E-2</v>
      </c>
      <c r="D73" s="15">
        <v>155</v>
      </c>
      <c r="E73" s="32">
        <f t="shared" si="30"/>
        <v>-1.2738853503184714E-2</v>
      </c>
      <c r="F73" s="18">
        <f>IF(ISNUMBER(D73), $B91 * E73, "")</f>
        <v>-1910.8280254777071</v>
      </c>
      <c r="G73" s="31">
        <v>155</v>
      </c>
      <c r="H73" s="32">
        <f t="shared" si="31"/>
        <v>-1.2738853503184714E-2</v>
      </c>
      <c r="I73" s="91">
        <f>IF(ISNUMBER(G73), $B91 * H73, "")</f>
        <v>-1910.8280254777071</v>
      </c>
      <c r="J73" s="15">
        <v>155</v>
      </c>
      <c r="K73" s="32">
        <f t="shared" si="32"/>
        <v>-1.2738853503184714E-2</v>
      </c>
      <c r="L73" s="18">
        <f>IF(ISNUMBER(J73), $B91 * K73, "")</f>
        <v>-1910.8280254777071</v>
      </c>
      <c r="M73" s="31">
        <v>154</v>
      </c>
      <c r="N73" s="32">
        <f t="shared" si="33"/>
        <v>-1.9108280254777069E-2</v>
      </c>
      <c r="O73" s="18">
        <f>IF(ISNUMBER(M73), $B91 * N73, "")</f>
        <v>-2866.2420382165606</v>
      </c>
      <c r="Q73" s="161"/>
      <c r="R73" s="161"/>
      <c r="S73" s="161"/>
    </row>
    <row r="74" spans="1:19" ht="17.25" thickBot="1">
      <c r="A74" s="109" t="s">
        <v>153</v>
      </c>
      <c r="B74" s="110">
        <v>349</v>
      </c>
      <c r="C74" s="70">
        <v>1.4534883700000001E-2</v>
      </c>
      <c r="D74" s="15">
        <v>345</v>
      </c>
      <c r="E74" s="32">
        <f t="shared" si="30"/>
        <v>-1.1461318051575931E-2</v>
      </c>
      <c r="F74" s="18">
        <f>IF(ISNUMBER(D74), $B91 * E74, "")</f>
        <v>-1719.1977077363897</v>
      </c>
      <c r="G74" s="31">
        <v>342</v>
      </c>
      <c r="H74" s="32">
        <f t="shared" si="31"/>
        <v>-2.0057306590257881E-2</v>
      </c>
      <c r="I74" s="91">
        <f>IF(ISNUMBER(G74), $B91 * H74, "")</f>
        <v>-3008.5959885386824</v>
      </c>
      <c r="J74" s="15">
        <v>342</v>
      </c>
      <c r="K74" s="32">
        <f t="shared" si="32"/>
        <v>-2.0057306590257881E-2</v>
      </c>
      <c r="L74" s="18">
        <f>IF(ISNUMBER(J74), $B91 * K74, "")</f>
        <v>-3008.5959885386824</v>
      </c>
      <c r="M74" s="31">
        <v>339</v>
      </c>
      <c r="N74" s="32">
        <f t="shared" si="33"/>
        <v>-2.865329512893983E-2</v>
      </c>
      <c r="O74" s="18">
        <f>IF(ISNUMBER(M74), $B91 * N74, "")</f>
        <v>-4297.9942693409748</v>
      </c>
      <c r="Q74" s="161"/>
      <c r="R74" s="161"/>
      <c r="S74" s="161"/>
    </row>
    <row r="75" spans="1:19" ht="17.25" thickBot="1">
      <c r="A75" s="111" t="s">
        <v>202</v>
      </c>
      <c r="B75" s="112">
        <v>305</v>
      </c>
      <c r="C75" s="71">
        <v>9.9337747999999997E-3</v>
      </c>
      <c r="D75" s="20">
        <v>309</v>
      </c>
      <c r="E75" s="21">
        <f t="shared" si="30"/>
        <v>1.3114754098360656E-2</v>
      </c>
      <c r="F75" s="22">
        <f>IF(ISNUMBER(D75), $B91 * E75, "")</f>
        <v>1967.2131147540983</v>
      </c>
      <c r="G75" s="30">
        <v>302</v>
      </c>
      <c r="H75" s="21">
        <f t="shared" si="31"/>
        <v>-9.8360655737704927E-3</v>
      </c>
      <c r="I75" s="95">
        <f>IF(ISNUMBER(G75), $B91 * H75, "")</f>
        <v>-1475.4098360655739</v>
      </c>
      <c r="J75" s="20">
        <v>302</v>
      </c>
      <c r="K75" s="21">
        <f t="shared" si="32"/>
        <v>-9.8360655737704927E-3</v>
      </c>
      <c r="L75" s="22">
        <f>IF(ISNUMBER(J75), $B91 * K75, "")</f>
        <v>-1475.4098360655739</v>
      </c>
      <c r="M75" s="30">
        <v>299</v>
      </c>
      <c r="N75" s="21">
        <f t="shared" si="33"/>
        <v>-1.9672131147540985E-2</v>
      </c>
      <c r="O75" s="22">
        <f>IF(ISNUMBER(M75), $B91 * N75, "")</f>
        <v>-2950.8196721311479</v>
      </c>
      <c r="Q75" s="161"/>
      <c r="R75" s="161"/>
      <c r="S75" s="161"/>
    </row>
    <row r="76" spans="1:19" ht="17.25" thickBot="1">
      <c r="A76" s="109" t="s">
        <v>218</v>
      </c>
      <c r="B76" s="113">
        <v>308</v>
      </c>
      <c r="C76" s="73">
        <v>9.8360656000000008E-3</v>
      </c>
      <c r="D76" s="96">
        <v>320</v>
      </c>
      <c r="E76" s="97">
        <f>IF(ISNUMBER(D76), (D76 - $B76) / $B76, "")</f>
        <v>3.896103896103896E-2</v>
      </c>
      <c r="F76" s="98">
        <f>IF(ISNUMBER(D76), $B91 * E76, "")</f>
        <v>5844.1558441558436</v>
      </c>
      <c r="G76" s="99">
        <v>307</v>
      </c>
      <c r="H76" s="97">
        <f>IF(ISNUMBER(G76), (G76 - $B76) / $B76, "")</f>
        <v>-3.246753246753247E-3</v>
      </c>
      <c r="I76" s="100">
        <f>IF(ISNUMBER(G76), $B91 * H76, "")</f>
        <v>-487.01298701298703</v>
      </c>
      <c r="J76" s="96">
        <v>307</v>
      </c>
      <c r="K76" s="97">
        <f>IF(ISNUMBER(J76), (J76 - $B76) / $B76, "")</f>
        <v>-3.246753246753247E-3</v>
      </c>
      <c r="L76" s="98">
        <f>IF(ISNUMBER(J76), $B91 * K76, "")</f>
        <v>-487.01298701298703</v>
      </c>
      <c r="M76" s="99">
        <v>309</v>
      </c>
      <c r="N76" s="97">
        <f>IF(ISNUMBER(M76), (M76 - $B76) / $B76, "")</f>
        <v>3.246753246753247E-3</v>
      </c>
      <c r="O76" s="98">
        <f>IF(ISNUMBER(M76), $B91 * N76, "")</f>
        <v>487.01298701298703</v>
      </c>
      <c r="Q76" s="161"/>
      <c r="R76" s="161"/>
      <c r="S76" s="161"/>
    </row>
    <row r="77" spans="1:19" ht="17.25" thickBot="1">
      <c r="A77" s="109" t="s">
        <v>101</v>
      </c>
      <c r="B77" s="110">
        <v>213</v>
      </c>
      <c r="C77" s="70">
        <v>9.478673E-3</v>
      </c>
      <c r="D77" s="15">
        <v>210</v>
      </c>
      <c r="E77" s="32">
        <f t="shared" ref="E77:E80" si="34">IF(ISNUMBER(D77), (D77 - $B77) / $B77, "")</f>
        <v>-1.4084507042253521E-2</v>
      </c>
      <c r="F77" s="18">
        <f>IF(ISNUMBER(D77), $B91 * E77, "")</f>
        <v>-2112.676056338028</v>
      </c>
      <c r="G77" s="31">
        <v>211</v>
      </c>
      <c r="H77" s="32">
        <f t="shared" ref="H77:H80" si="35">IF(ISNUMBER(G77), (G77 - $B77) / $B77, "")</f>
        <v>-9.3896713615023476E-3</v>
      </c>
      <c r="I77" s="91">
        <f>IF(ISNUMBER(G77), $B91 * H77, "")</f>
        <v>-1408.4507042253522</v>
      </c>
      <c r="J77" s="15">
        <v>211</v>
      </c>
      <c r="K77" s="32">
        <f t="shared" ref="K77:K80" si="36">IF(ISNUMBER(J77), (J77 - $B77) / $B77, "")</f>
        <v>-9.3896713615023476E-3</v>
      </c>
      <c r="L77" s="18">
        <f>IF(ISNUMBER(J77), $B91 * K77, "")</f>
        <v>-1408.4507042253522</v>
      </c>
      <c r="M77" s="31">
        <v>210</v>
      </c>
      <c r="N77" s="32">
        <f t="shared" ref="N77:N80" si="37">IF(ISNUMBER(M77), (M77 - $B77) / $B77, "")</f>
        <v>-1.4084507042253521E-2</v>
      </c>
      <c r="O77" s="18">
        <f>IF(ISNUMBER(M77), $B91 * N77, "")</f>
        <v>-2112.676056338028</v>
      </c>
      <c r="Q77" s="161"/>
      <c r="R77" s="161"/>
      <c r="S77" s="161"/>
    </row>
    <row r="78" spans="1:19" ht="17.25" thickBot="1">
      <c r="A78" s="109" t="s">
        <v>187</v>
      </c>
      <c r="B78" s="110">
        <v>813</v>
      </c>
      <c r="C78" s="70">
        <v>6.1881187999999997E-3</v>
      </c>
      <c r="D78" s="15">
        <v>813</v>
      </c>
      <c r="E78" s="32">
        <f t="shared" si="34"/>
        <v>0</v>
      </c>
      <c r="F78" s="18">
        <f>IF(ISNUMBER(D78), $B91 * E78, "")</f>
        <v>0</v>
      </c>
      <c r="G78" s="31">
        <v>800</v>
      </c>
      <c r="H78" s="32">
        <f t="shared" si="35"/>
        <v>-1.5990159901599015E-2</v>
      </c>
      <c r="I78" s="91">
        <f>IF(ISNUMBER(G78), $B91 * H78, "")</f>
        <v>-2398.5239852398522</v>
      </c>
      <c r="J78" s="15">
        <v>800</v>
      </c>
      <c r="K78" s="32">
        <f t="shared" si="36"/>
        <v>-1.5990159901599015E-2</v>
      </c>
      <c r="L78" s="18">
        <f>IF(ISNUMBER(J78), $B91 * K78, "")</f>
        <v>-2398.5239852398522</v>
      </c>
      <c r="M78" s="31">
        <v>794</v>
      </c>
      <c r="N78" s="32">
        <f t="shared" si="37"/>
        <v>-2.3370233702337023E-2</v>
      </c>
      <c r="O78" s="18">
        <f>IF(ISNUMBER(M78), $B91 * N78, "")</f>
        <v>-3505.5350553505532</v>
      </c>
      <c r="Q78" s="161"/>
      <c r="R78" s="161"/>
      <c r="S78" s="161"/>
    </row>
    <row r="79" spans="1:19" ht="17.25" thickBot="1">
      <c r="A79" s="109" t="s">
        <v>157</v>
      </c>
      <c r="B79" s="110">
        <v>172</v>
      </c>
      <c r="C79" s="70">
        <v>5.8479532000000004E-3</v>
      </c>
      <c r="D79" s="15">
        <v>173</v>
      </c>
      <c r="E79" s="32">
        <f t="shared" si="34"/>
        <v>5.8139534883720929E-3</v>
      </c>
      <c r="F79" s="18">
        <f>IF(ISNUMBER(D79), $B91 * E79, "")</f>
        <v>872.09302325581393</v>
      </c>
      <c r="G79" s="31">
        <v>172</v>
      </c>
      <c r="H79" s="32">
        <f t="shared" si="35"/>
        <v>0</v>
      </c>
      <c r="I79" s="91">
        <f>IF(ISNUMBER(G79), $B91 * H79, "")</f>
        <v>0</v>
      </c>
      <c r="J79" s="15">
        <v>172</v>
      </c>
      <c r="K79" s="32">
        <f t="shared" si="36"/>
        <v>0</v>
      </c>
      <c r="L79" s="18">
        <f>IF(ISNUMBER(J79), $B91 * K79, "")</f>
        <v>0</v>
      </c>
      <c r="M79" s="31">
        <v>172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14" t="s">
        <v>103</v>
      </c>
      <c r="B80" s="115">
        <v>221</v>
      </c>
      <c r="C80" s="72">
        <v>4.5454544999999997E-3</v>
      </c>
      <c r="D80" s="24">
        <v>218</v>
      </c>
      <c r="E80" s="25">
        <f t="shared" si="34"/>
        <v>-1.3574660633484163E-2</v>
      </c>
      <c r="F80" s="94">
        <f>IF(ISNUMBER(D80), $B91 * E80, "")</f>
        <v>-2036.1990950226245</v>
      </c>
      <c r="G80" s="92">
        <v>214</v>
      </c>
      <c r="H80" s="25">
        <f t="shared" si="35"/>
        <v>-3.1674208144796379E-2</v>
      </c>
      <c r="I80" s="93">
        <f>IF(ISNUMBER(G80), $B91 * H80, "")</f>
        <v>-4751.1312217194563</v>
      </c>
      <c r="J80" s="24">
        <v>214</v>
      </c>
      <c r="K80" s="25">
        <f t="shared" si="36"/>
        <v>-3.1674208144796379E-2</v>
      </c>
      <c r="L80" s="94">
        <f>IF(ISNUMBER(J80), $B91 * K80, "")</f>
        <v>-4751.1312217194563</v>
      </c>
      <c r="M80" s="92">
        <v>213</v>
      </c>
      <c r="N80" s="25">
        <f t="shared" si="37"/>
        <v>-3.6199095022624438E-2</v>
      </c>
      <c r="O80" s="94">
        <f>IF(ISNUMBER(M80), $B91 * N80, "")</f>
        <v>-5429.8642533936654</v>
      </c>
      <c r="Q80" s="170"/>
      <c r="R80" s="171"/>
      <c r="S80" s="172"/>
    </row>
    <row r="81" spans="1:19">
      <c r="A81" s="107" t="s">
        <v>352</v>
      </c>
      <c r="B81" s="108">
        <v>185</v>
      </c>
      <c r="C81" s="69">
        <v>0</v>
      </c>
      <c r="D81" s="13">
        <v>184</v>
      </c>
      <c r="E81" s="14">
        <f>IF(ISNUMBER(D81), (D81 - $B81) / $B81, "")</f>
        <v>-5.4054054054054057E-3</v>
      </c>
      <c r="F81" s="16">
        <f>IF(ISNUMBER(D81), $B91 * E81, "")</f>
        <v>-810.81081081081084</v>
      </c>
      <c r="G81" s="29">
        <v>182</v>
      </c>
      <c r="H81" s="14">
        <f>IF(ISNUMBER(G81), (G81 - $B81) / $B81, "")</f>
        <v>-1.6216216216216217E-2</v>
      </c>
      <c r="I81" s="90">
        <f>IF(ISNUMBER(G81), $B91 * H81, "")</f>
        <v>-2432.4324324324325</v>
      </c>
      <c r="J81" s="13">
        <v>182</v>
      </c>
      <c r="K81" s="14">
        <f>IF(ISNUMBER(J81), (J81 - $B81) / $B81, "")</f>
        <v>-1.6216216216216217E-2</v>
      </c>
      <c r="L81" s="16">
        <f>IF(ISNUMBER(J81), $B91 * K81, "")</f>
        <v>-2432.4324324324325</v>
      </c>
      <c r="M81" s="29">
        <v>180</v>
      </c>
      <c r="N81" s="14">
        <f>IF(ISNUMBER(M81), (M81 - $B81) / $B81, "")</f>
        <v>-2.7027027027027029E-2</v>
      </c>
      <c r="O81" s="16">
        <f>IF(ISNUMBER(M81), $B91 * N81, "")</f>
        <v>-4054.0540540540542</v>
      </c>
      <c r="Q81" s="173"/>
      <c r="R81" s="174"/>
      <c r="S81" s="175"/>
    </row>
    <row r="82" spans="1:19" ht="17.25" thickBot="1">
      <c r="A82" s="109" t="s">
        <v>332</v>
      </c>
      <c r="B82" s="110">
        <v>233</v>
      </c>
      <c r="C82" s="70">
        <v>0</v>
      </c>
      <c r="D82" s="15">
        <v>222</v>
      </c>
      <c r="E82" s="32">
        <f t="shared" ref="E82:E85" si="38">IF(ISNUMBER(D82), (D82 - $B82) / $B82, "")</f>
        <v>-4.7210300429184553E-2</v>
      </c>
      <c r="F82" s="18">
        <f>IF(ISNUMBER(D82), $B91 * E82, "")</f>
        <v>-7081.545064377683</v>
      </c>
      <c r="G82" s="31">
        <v>220</v>
      </c>
      <c r="H82" s="32">
        <f t="shared" ref="H82:H85" si="39">IF(ISNUMBER(G82), (G82 - $B82) / $B82, "")</f>
        <v>-5.5793991416309016E-2</v>
      </c>
      <c r="I82" s="91">
        <f>IF(ISNUMBER(G82), $B91 * H82, "")</f>
        <v>-8369.0987124463518</v>
      </c>
      <c r="J82" s="15">
        <v>220</v>
      </c>
      <c r="K82" s="32">
        <f t="shared" ref="K82:K85" si="40">IF(ISNUMBER(J82), (J82 - $B82) / $B82, "")</f>
        <v>-5.5793991416309016E-2</v>
      </c>
      <c r="L82" s="18">
        <f>IF(ISNUMBER(J82), $B91 * K82, "")</f>
        <v>-8369.0987124463518</v>
      </c>
      <c r="M82" s="31">
        <v>219</v>
      </c>
      <c r="N82" s="32">
        <f t="shared" ref="N82:N85" si="41">IF(ISNUMBER(M82), (M82 - $B82) / $B82, "")</f>
        <v>-6.0085836909871244E-2</v>
      </c>
      <c r="O82" s="18">
        <f>IF(ISNUMBER(M82), $B91 * N82, "")</f>
        <v>-9012.8755364806875</v>
      </c>
      <c r="Q82" s="176"/>
      <c r="R82" s="177"/>
      <c r="S82" s="178"/>
    </row>
    <row r="83" spans="1:19" ht="17.25" thickBot="1">
      <c r="A83" s="109" t="s">
        <v>79</v>
      </c>
      <c r="B83" s="110">
        <v>245</v>
      </c>
      <c r="C83" s="70">
        <v>-4.0650406999999996E-3</v>
      </c>
      <c r="D83" s="15">
        <v>243</v>
      </c>
      <c r="E83" s="32">
        <f t="shared" si="38"/>
        <v>-8.1632653061224497E-3</v>
      </c>
      <c r="F83" s="18">
        <f>IF(ISNUMBER(D83), $B91 * E83, "")</f>
        <v>-1224.4897959183675</v>
      </c>
      <c r="G83" s="31">
        <v>242</v>
      </c>
      <c r="H83" s="32">
        <f t="shared" si="39"/>
        <v>-1.2244897959183673E-2</v>
      </c>
      <c r="I83" s="91">
        <f>IF(ISNUMBER(G83), $B91 * H83, "")</f>
        <v>-1836.7346938775509</v>
      </c>
      <c r="J83" s="15">
        <v>242</v>
      </c>
      <c r="K83" s="32">
        <f t="shared" si="40"/>
        <v>-1.2244897959183673E-2</v>
      </c>
      <c r="L83" s="18">
        <f>IF(ISNUMBER(J83), $B91 * K83, "")</f>
        <v>-1836.7346938775509</v>
      </c>
      <c r="M83" s="31">
        <v>242</v>
      </c>
      <c r="N83" s="32">
        <f t="shared" si="41"/>
        <v>-1.2244897959183673E-2</v>
      </c>
      <c r="O83" s="18">
        <f>IF(ISNUMBER(M83), $B91 * N83, "")</f>
        <v>-1836.7346938775509</v>
      </c>
      <c r="Q83" s="161"/>
      <c r="R83" s="161"/>
      <c r="S83" s="161"/>
    </row>
    <row r="84" spans="1:19" ht="17.25" thickBot="1">
      <c r="A84" s="109" t="s">
        <v>105</v>
      </c>
      <c r="B84" s="110">
        <v>195</v>
      </c>
      <c r="C84" s="70">
        <v>-5.1020407999999998E-3</v>
      </c>
      <c r="D84" s="15">
        <v>192</v>
      </c>
      <c r="E84" s="32">
        <f t="shared" si="38"/>
        <v>-1.5384615384615385E-2</v>
      </c>
      <c r="F84" s="18">
        <f>IF(ISNUMBER(D84), $B91 * E84, "")</f>
        <v>-2307.6923076923076</v>
      </c>
      <c r="G84" s="31">
        <v>192</v>
      </c>
      <c r="H84" s="32">
        <f t="shared" si="39"/>
        <v>-1.5384615384615385E-2</v>
      </c>
      <c r="I84" s="91">
        <f>IF(ISNUMBER(G84), $B91 * H84, "")</f>
        <v>-2307.6923076923076</v>
      </c>
      <c r="J84" s="15">
        <v>192</v>
      </c>
      <c r="K84" s="32">
        <f t="shared" si="40"/>
        <v>-1.5384615384615385E-2</v>
      </c>
      <c r="L84" s="18">
        <f>IF(ISNUMBER(J84), $B91 * K84, "")</f>
        <v>-2307.6923076923076</v>
      </c>
      <c r="M84" s="31">
        <v>191</v>
      </c>
      <c r="N84" s="32">
        <f t="shared" si="41"/>
        <v>-2.0512820512820513E-2</v>
      </c>
      <c r="O84" s="18">
        <f>IF(ISNUMBER(M84), $B91 * N84, "")</f>
        <v>-3076.9230769230771</v>
      </c>
      <c r="Q84" s="156"/>
      <c r="R84" s="156"/>
      <c r="S84" s="156"/>
    </row>
    <row r="85" spans="1:19" ht="17.25" thickBot="1">
      <c r="A85" s="111" t="s">
        <v>222</v>
      </c>
      <c r="B85" s="112">
        <v>378</v>
      </c>
      <c r="C85" s="71">
        <v>-5.2631579E-3</v>
      </c>
      <c r="D85" s="20">
        <v>389</v>
      </c>
      <c r="E85" s="21">
        <f t="shared" si="38"/>
        <v>2.9100529100529099E-2</v>
      </c>
      <c r="F85" s="22">
        <f>IF(ISNUMBER(D85), $B91 * E85, "")</f>
        <v>4365.0793650793648</v>
      </c>
      <c r="G85" s="30">
        <v>381</v>
      </c>
      <c r="H85" s="21">
        <f t="shared" si="39"/>
        <v>7.9365079365079361E-3</v>
      </c>
      <c r="I85" s="95">
        <f>IF(ISNUMBER(G85), $B91 * H85, "")</f>
        <v>1190.4761904761904</v>
      </c>
      <c r="J85" s="20">
        <v>381</v>
      </c>
      <c r="K85" s="21">
        <f t="shared" si="40"/>
        <v>7.9365079365079361E-3</v>
      </c>
      <c r="L85" s="22">
        <f>IF(ISNUMBER(J85), $B91 * K85, "")</f>
        <v>1190.4761904761904</v>
      </c>
      <c r="M85" s="30">
        <v>375</v>
      </c>
      <c r="N85" s="21">
        <f t="shared" si="41"/>
        <v>-7.9365079365079361E-3</v>
      </c>
      <c r="O85" s="22">
        <f>IF(ISNUMBER(M85), $B91 * N85, "")</f>
        <v>-1190.4761904761904</v>
      </c>
      <c r="Q85" s="156"/>
      <c r="R85" s="156"/>
      <c r="S85" s="156"/>
    </row>
    <row r="86" spans="1:19" ht="17.25" thickBot="1">
      <c r="A86" s="109" t="s">
        <v>149</v>
      </c>
      <c r="B86" s="113">
        <v>343</v>
      </c>
      <c r="C86" s="73">
        <v>-5.7971014E-3</v>
      </c>
      <c r="D86" s="96">
        <v>338</v>
      </c>
      <c r="E86" s="97">
        <f>IF(ISNUMBER(D86), (D86 - $B86) / $B86, "")</f>
        <v>-1.4577259475218658E-2</v>
      </c>
      <c r="F86" s="98">
        <f>IF(ISNUMBER(D86), $B91 * E86, "")</f>
        <v>-2186.5889212827988</v>
      </c>
      <c r="G86" s="99">
        <v>336</v>
      </c>
      <c r="H86" s="97">
        <f>IF(ISNUMBER(G86), (G86 - $B86) / $B86, "")</f>
        <v>-2.0408163265306121E-2</v>
      </c>
      <c r="I86" s="100">
        <f>IF(ISNUMBER(G86), $B91 * H86, "")</f>
        <v>-3061.2244897959181</v>
      </c>
      <c r="J86" s="96">
        <v>336</v>
      </c>
      <c r="K86" s="97">
        <f>IF(ISNUMBER(J86), (J86 - $B86) / $B86, "")</f>
        <v>-2.0408163265306121E-2</v>
      </c>
      <c r="L86" s="98">
        <f>IF(ISNUMBER(J86), $B91 * K86, "")</f>
        <v>-3061.2244897959181</v>
      </c>
      <c r="M86" s="99">
        <v>333</v>
      </c>
      <c r="N86" s="97">
        <f>IF(ISNUMBER(M86), (M86 - $B86) / $B86, "")</f>
        <v>-2.9154518950437316E-2</v>
      </c>
      <c r="O86" s="98">
        <f>IF(ISNUMBER(M86), $B91 * N86, "")</f>
        <v>-4373.1778425655975</v>
      </c>
      <c r="Q86" s="161"/>
      <c r="R86" s="161"/>
      <c r="S86" s="161"/>
    </row>
    <row r="87" spans="1:19" ht="17.25" thickBot="1">
      <c r="A87" s="109" t="s">
        <v>116</v>
      </c>
      <c r="B87" s="110">
        <v>970</v>
      </c>
      <c r="C87" s="70">
        <v>-6.1475410000000003E-3</v>
      </c>
      <c r="D87" s="15">
        <v>972</v>
      </c>
      <c r="E87" s="32">
        <f t="shared" ref="E87:E90" si="42">IF(ISNUMBER(D87), (D87 - $B87) / $B87, "")</f>
        <v>2.0618556701030928E-3</v>
      </c>
      <c r="F87" s="18">
        <f>IF(ISNUMBER(D87), $B91 * E87, "")</f>
        <v>309.2783505154639</v>
      </c>
      <c r="G87" s="31">
        <v>951</v>
      </c>
      <c r="H87" s="32">
        <f t="shared" ref="H87:H90" si="43">IF(ISNUMBER(G87), (G87 - $B87) / $B87, "")</f>
        <v>-1.9587628865979381E-2</v>
      </c>
      <c r="I87" s="91">
        <f>IF(ISNUMBER(G87), $B91 * H87, "")</f>
        <v>-2938.144329896907</v>
      </c>
      <c r="J87" s="15">
        <v>951</v>
      </c>
      <c r="K87" s="32">
        <f t="shared" ref="K87:K90" si="44">IF(ISNUMBER(J87), (J87 - $B87) / $B87, "")</f>
        <v>-1.9587628865979381E-2</v>
      </c>
      <c r="L87" s="18">
        <f>IF(ISNUMBER(J87), $B91 * K87, "")</f>
        <v>-2938.144329896907</v>
      </c>
      <c r="M87" s="31">
        <v>945</v>
      </c>
      <c r="N87" s="32">
        <f t="shared" ref="N87:N90" si="45">IF(ISNUMBER(M87), (M87 - $B87) / $B87, "")</f>
        <v>-2.5773195876288658E-2</v>
      </c>
      <c r="O87" s="18">
        <f>IF(ISNUMBER(M87), $B91 * N87, "")</f>
        <v>-3865.9793814432987</v>
      </c>
      <c r="Q87" s="161"/>
      <c r="R87" s="161"/>
      <c r="S87" s="161"/>
    </row>
    <row r="88" spans="1:19" ht="17.25" thickBot="1">
      <c r="A88" s="109" t="s">
        <v>216</v>
      </c>
      <c r="B88" s="110">
        <v>460</v>
      </c>
      <c r="C88" s="70">
        <v>-6.4794815999999998E-3</v>
      </c>
      <c r="D88" s="15">
        <v>460</v>
      </c>
      <c r="E88" s="32">
        <f t="shared" si="42"/>
        <v>0</v>
      </c>
      <c r="F88" s="18">
        <f>IF(ISNUMBER(D88), $B91 * E88, "")</f>
        <v>0</v>
      </c>
      <c r="G88" s="31">
        <v>453</v>
      </c>
      <c r="H88" s="32">
        <f t="shared" si="43"/>
        <v>-1.5217391304347827E-2</v>
      </c>
      <c r="I88" s="91">
        <f>IF(ISNUMBER(G88), $B91 * H88, "")</f>
        <v>-2282.608695652174</v>
      </c>
      <c r="J88" s="15">
        <v>453</v>
      </c>
      <c r="K88" s="32">
        <f t="shared" si="44"/>
        <v>-1.5217391304347827E-2</v>
      </c>
      <c r="L88" s="18">
        <f>IF(ISNUMBER(J88), $B91 * K88, "")</f>
        <v>-2282.608695652174</v>
      </c>
      <c r="M88" s="31">
        <v>451</v>
      </c>
      <c r="N88" s="32">
        <f t="shared" si="45"/>
        <v>-1.9565217391304349E-2</v>
      </c>
      <c r="O88" s="18">
        <f>IF(ISNUMBER(M88), $B91 * N88, "")</f>
        <v>-2934.7826086956525</v>
      </c>
      <c r="Q88" s="161"/>
      <c r="R88" s="161"/>
      <c r="S88" s="161"/>
    </row>
    <row r="89" spans="1:19">
      <c r="A89" s="109" t="s">
        <v>176</v>
      </c>
      <c r="B89" s="110">
        <v>300</v>
      </c>
      <c r="C89" s="70">
        <v>-6.6225166000000004E-3</v>
      </c>
      <c r="D89" s="15">
        <v>299</v>
      </c>
      <c r="E89" s="32">
        <f t="shared" si="42"/>
        <v>-3.3333333333333335E-3</v>
      </c>
      <c r="F89" s="18">
        <f>IF(ISNUMBER(D89), $B91 * E89, "")</f>
        <v>-500.00000000000006</v>
      </c>
      <c r="G89" s="31">
        <v>297</v>
      </c>
      <c r="H89" s="32">
        <f t="shared" si="43"/>
        <v>-0.01</v>
      </c>
      <c r="I89" s="91">
        <f>IF(ISNUMBER(G89), $B91 * H89, "")</f>
        <v>-1500</v>
      </c>
      <c r="J89" s="15">
        <v>297</v>
      </c>
      <c r="K89" s="32">
        <f t="shared" si="44"/>
        <v>-0.01</v>
      </c>
      <c r="L89" s="18">
        <f>IF(ISNUMBER(J89), $B91 * K89, "")</f>
        <v>-1500</v>
      </c>
      <c r="M89" s="31">
        <v>295</v>
      </c>
      <c r="N89" s="32">
        <f t="shared" si="45"/>
        <v>-1.6666666666666666E-2</v>
      </c>
      <c r="O89" s="18">
        <f>IF(ISNUMBER(M89), $B91 * N89, "")</f>
        <v>-2500</v>
      </c>
      <c r="Q89" s="183"/>
      <c r="R89" s="184"/>
      <c r="S89" s="185"/>
    </row>
    <row r="90" spans="1:19" ht="17.25" thickBot="1">
      <c r="A90" s="114" t="s">
        <v>183</v>
      </c>
      <c r="B90" s="115">
        <v>128</v>
      </c>
      <c r="C90" s="72">
        <v>-7.7519379999999999E-3</v>
      </c>
      <c r="D90" s="24">
        <v>129</v>
      </c>
      <c r="E90" s="25">
        <f t="shared" si="42"/>
        <v>7.8125E-3</v>
      </c>
      <c r="F90" s="94">
        <f>IF(ISNUMBER(D90), $B91 * E90, "")</f>
        <v>1171.875</v>
      </c>
      <c r="G90" s="92">
        <v>128</v>
      </c>
      <c r="H90" s="25">
        <f t="shared" si="43"/>
        <v>0</v>
      </c>
      <c r="I90" s="93">
        <f>IF(ISNUMBER(G90), $B91 * H90, "")</f>
        <v>0</v>
      </c>
      <c r="J90" s="24">
        <v>128</v>
      </c>
      <c r="K90" s="25">
        <f t="shared" si="44"/>
        <v>0</v>
      </c>
      <c r="L90" s="94">
        <f>IF(ISNUMBER(J90), $B91 * K90, "")</f>
        <v>0</v>
      </c>
      <c r="M90" s="92">
        <v>127</v>
      </c>
      <c r="N90" s="25">
        <f t="shared" si="45"/>
        <v>-7.8125E-3</v>
      </c>
      <c r="O90" s="94">
        <f>IF(ISNUMBER(M90), $B91 * N90, "")</f>
        <v>-1171.875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-1.8422577960559652E-3</v>
      </c>
      <c r="F91" s="28">
        <f>SUM(F71:F90)</f>
        <v>-5526.7733881678932</v>
      </c>
      <c r="G91" s="26" t="s">
        <v>261</v>
      </c>
      <c r="H91" s="27">
        <f>IF(COUNT(H71:H90), SUM(H71:H90) / COUNT(H71:H90), 0)</f>
        <v>-1.7312962981706245E-2</v>
      </c>
      <c r="I91" s="28">
        <f>SUM(I71:I90)</f>
        <v>-51938.888945118735</v>
      </c>
      <c r="J91" s="26" t="s">
        <v>261</v>
      </c>
      <c r="K91" s="27">
        <f>IF(COUNT(K71:K90), SUM(K71:K90) / COUNT(K71:K90), 0)</f>
        <v>-1.7312962981706245E-2</v>
      </c>
      <c r="L91" s="28">
        <f>SUM(L71:L90)</f>
        <v>-51938.888945118735</v>
      </c>
      <c r="M91" s="26" t="s">
        <v>261</v>
      </c>
      <c r="N91" s="27">
        <f>IF(COUNT(N71:N90), SUM(N71:N90) / COUNT(N71:N90), 0)</f>
        <v>-2.3013482348260176E-2</v>
      </c>
      <c r="O91" s="28">
        <f>SUM(O71:O90)</f>
        <v>-69040.447044780536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2022-12-22(목) 오전 00:00</v>
      </c>
      <c r="C96" s="199"/>
      <c r="D96" s="158" t="str">
        <f>TEXT($G$1, "[$-ko-KR]yyyy-mm-dd(ddd) ") &amp; "오후 14:00"</f>
        <v>2022-12-22(목) 오후 14:00</v>
      </c>
      <c r="E96" s="159"/>
      <c r="F96" s="160"/>
      <c r="G96" s="158" t="str">
        <f>TEXT($G$1, "[$-ko-KR]yyyy-mm-dd(ddd) ") &amp; "오후 19:00"</f>
        <v>2022-12-22(목) 오후 19:00</v>
      </c>
      <c r="H96" s="159"/>
      <c r="I96" s="160"/>
      <c r="J96" s="158" t="str">
        <f>TEXT($G$1, "[$-ko-KR]yyyy-mm-dd(ddd) ") &amp; "오후 21:00"</f>
        <v>2022-12-22(목) 오후 21:00</v>
      </c>
      <c r="K96" s="159"/>
      <c r="L96" s="160"/>
      <c r="M96" s="158" t="str">
        <f>TEXT($G$1+1, "[$-ko-KR]yyyy-mm-dd(ddd) ") &amp; "오전 00:00"</f>
        <v>2022-12-23(금)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97</v>
      </c>
      <c r="B98" s="108">
        <v>8.9999999999999998E-4</v>
      </c>
      <c r="C98" s="69">
        <v>0.125</v>
      </c>
      <c r="D98" s="13">
        <v>8.9999999999999998E-4</v>
      </c>
      <c r="E98" s="14">
        <f>IF(ISNUMBER(D98), (D98 - $B98) / $B98, "")</f>
        <v>0</v>
      </c>
      <c r="F98" s="16">
        <f>IF(ISNUMBER(D98), $B118 * E98, "")</f>
        <v>0</v>
      </c>
      <c r="G98" s="29">
        <v>8.9999999999999998E-4</v>
      </c>
      <c r="H98" s="14">
        <f>IF(ISNUMBER(G98), (G98 - $B98) / $B98, "")</f>
        <v>0</v>
      </c>
      <c r="I98" s="90">
        <f>IF(ISNUMBER(G98), $B118 * H98, "")</f>
        <v>0</v>
      </c>
      <c r="J98" s="13">
        <v>8.9999999999999998E-4</v>
      </c>
      <c r="K98" s="14">
        <f>IF(ISNUMBER(J98), (J98 - $B98) / $B98, "")</f>
        <v>0</v>
      </c>
      <c r="L98" s="16">
        <f>IF(ISNUMBER(J98), $B118 * K98, "")</f>
        <v>0</v>
      </c>
      <c r="M98" s="29">
        <v>8.0000000000000004E-4</v>
      </c>
      <c r="N98" s="14">
        <f>IF(ISNUMBER(M98), (M98 - $B98) / $B98, "")</f>
        <v>-0.11111111111111105</v>
      </c>
      <c r="O98" s="16">
        <f>IF(ISNUMBER(M98), $B118 * N98, "")</f>
        <v>-16666.666666666657</v>
      </c>
      <c r="Q98" s="156"/>
      <c r="R98" s="156"/>
      <c r="S98" s="156"/>
    </row>
    <row r="99" spans="1:19" ht="17.25" thickBot="1">
      <c r="A99" s="109" t="s">
        <v>167</v>
      </c>
      <c r="B99" s="110">
        <v>182</v>
      </c>
      <c r="C99" s="70">
        <v>6.4327485399999995E-2</v>
      </c>
      <c r="D99" s="15">
        <v>174</v>
      </c>
      <c r="E99" s="32">
        <f t="shared" ref="E99:E102" si="46">IF(ISNUMBER(D99), (D99 - $B99) / $B99, "")</f>
        <v>-4.3956043956043959E-2</v>
      </c>
      <c r="F99" s="18">
        <f>IF(ISNUMBER(D99), $B118 * E99, "")</f>
        <v>-6593.4065934065939</v>
      </c>
      <c r="G99" s="31">
        <v>169</v>
      </c>
      <c r="H99" s="32">
        <f t="shared" ref="H99:H102" si="47">IF(ISNUMBER(G99), (G99 - $B99) / $B99, "")</f>
        <v>-7.1428571428571425E-2</v>
      </c>
      <c r="I99" s="91">
        <f>IF(ISNUMBER(G99), $B118 * H99, "")</f>
        <v>-10714.285714285714</v>
      </c>
      <c r="J99" s="15">
        <v>169</v>
      </c>
      <c r="K99" s="32">
        <f t="shared" ref="K99:K102" si="48">IF(ISNUMBER(J99), (J99 - $B99) / $B99, "")</f>
        <v>-7.1428571428571425E-2</v>
      </c>
      <c r="L99" s="18">
        <f>IF(ISNUMBER(J99), $B118 * K99, "")</f>
        <v>-10714.285714285714</v>
      </c>
      <c r="M99" s="31">
        <v>168</v>
      </c>
      <c r="N99" s="32">
        <f t="shared" ref="N99:N102" si="49">IF(ISNUMBER(M99), (M99 - $B99) / $B99, "")</f>
        <v>-7.6923076923076927E-2</v>
      </c>
      <c r="O99" s="18">
        <f>IF(ISNUMBER(M99), $B118 * N99, "")</f>
        <v>-11538.461538461539</v>
      </c>
      <c r="Q99" s="156"/>
      <c r="R99" s="156"/>
      <c r="S99" s="156"/>
    </row>
    <row r="100" spans="1:19" ht="17.25" thickBot="1">
      <c r="A100" s="109" t="s">
        <v>212</v>
      </c>
      <c r="B100" s="110">
        <v>81.400000000000006</v>
      </c>
      <c r="C100" s="70">
        <v>4.6272493599999999E-2</v>
      </c>
      <c r="D100" s="15">
        <v>76.400000000000006</v>
      </c>
      <c r="E100" s="32">
        <f t="shared" si="46"/>
        <v>-6.142506142506142E-2</v>
      </c>
      <c r="F100" s="18">
        <f>IF(ISNUMBER(D100), $B118 * E100, "")</f>
        <v>-9213.7592137592128</v>
      </c>
      <c r="G100" s="31">
        <v>75.8</v>
      </c>
      <c r="H100" s="32">
        <f t="shared" si="47"/>
        <v>-6.8796068796068893E-2</v>
      </c>
      <c r="I100" s="91">
        <f>IF(ISNUMBER(G100), $B118 * H100, "")</f>
        <v>-10319.410319410334</v>
      </c>
      <c r="J100" s="15">
        <v>75.8</v>
      </c>
      <c r="K100" s="32">
        <f t="shared" si="48"/>
        <v>-6.8796068796068893E-2</v>
      </c>
      <c r="L100" s="18">
        <f>IF(ISNUMBER(J100), $B118 * K100, "")</f>
        <v>-10319.410319410334</v>
      </c>
      <c r="M100" s="31">
        <v>75.400000000000006</v>
      </c>
      <c r="N100" s="32">
        <f t="shared" si="49"/>
        <v>-7.3710073710073709E-2</v>
      </c>
      <c r="O100" s="18">
        <f>IF(ISNUMBER(M100), $B118 * N100, "")</f>
        <v>-11056.511056511057</v>
      </c>
      <c r="Q100" s="161"/>
      <c r="R100" s="161"/>
      <c r="S100" s="161"/>
    </row>
    <row r="101" spans="1:19" ht="17.25" thickBot="1">
      <c r="A101" s="109" t="s">
        <v>99</v>
      </c>
      <c r="B101" s="110">
        <v>21440</v>
      </c>
      <c r="C101" s="70">
        <v>3.2258064500000003E-2</v>
      </c>
      <c r="D101" s="15">
        <v>21360</v>
      </c>
      <c r="E101" s="32">
        <f t="shared" si="46"/>
        <v>-3.7313432835820895E-3</v>
      </c>
      <c r="F101" s="18">
        <f>IF(ISNUMBER(D101), $B118 * E101, "")</f>
        <v>-559.70149253731347</v>
      </c>
      <c r="G101" s="31">
        <v>21190</v>
      </c>
      <c r="H101" s="32">
        <f t="shared" si="47"/>
        <v>-1.1660447761194031E-2</v>
      </c>
      <c r="I101" s="91">
        <f>IF(ISNUMBER(G101), $B118 * H101, "")</f>
        <v>-1749.0671641791046</v>
      </c>
      <c r="J101" s="15">
        <v>21190</v>
      </c>
      <c r="K101" s="32">
        <f t="shared" si="48"/>
        <v>-1.1660447761194031E-2</v>
      </c>
      <c r="L101" s="18">
        <f>IF(ISNUMBER(J101), $B118 * K101, "")</f>
        <v>-1749.0671641791046</v>
      </c>
      <c r="M101" s="31">
        <v>21020</v>
      </c>
      <c r="N101" s="32">
        <f t="shared" si="49"/>
        <v>-1.9589552238805971E-2</v>
      </c>
      <c r="O101" s="18">
        <f>IF(ISNUMBER(M101), $B118 * N101, "")</f>
        <v>-2938.4328358208959</v>
      </c>
      <c r="Q101" s="161"/>
      <c r="R101" s="161"/>
      <c r="S101" s="161"/>
    </row>
    <row r="102" spans="1:19" ht="17.25" thickBot="1">
      <c r="A102" s="111" t="s">
        <v>68</v>
      </c>
      <c r="B102" s="112">
        <v>267</v>
      </c>
      <c r="C102" s="71">
        <v>2.6923076899999999E-2</v>
      </c>
      <c r="D102" s="20">
        <v>282</v>
      </c>
      <c r="E102" s="21">
        <f t="shared" si="46"/>
        <v>5.6179775280898875E-2</v>
      </c>
      <c r="F102" s="22">
        <f>IF(ISNUMBER(D102), $B118 * E102, "")</f>
        <v>8426.9662921348317</v>
      </c>
      <c r="G102" s="30">
        <v>263</v>
      </c>
      <c r="H102" s="21">
        <f t="shared" si="47"/>
        <v>-1.4981273408239701E-2</v>
      </c>
      <c r="I102" s="95">
        <f>IF(ISNUMBER(G102), $B118 * H102, "")</f>
        <v>-2247.1910112359551</v>
      </c>
      <c r="J102" s="20">
        <v>263</v>
      </c>
      <c r="K102" s="21">
        <f t="shared" si="48"/>
        <v>-1.4981273408239701E-2</v>
      </c>
      <c r="L102" s="22">
        <f>IF(ISNUMBER(J102), $B118 * K102, "")</f>
        <v>-2247.1910112359551</v>
      </c>
      <c r="M102" s="30">
        <v>262</v>
      </c>
      <c r="N102" s="21">
        <f t="shared" si="49"/>
        <v>-1.8726591760299626E-2</v>
      </c>
      <c r="O102" s="22">
        <f>IF(ISNUMBER(M102), $B118 * N102, "")</f>
        <v>-2808.9887640449438</v>
      </c>
      <c r="Q102" s="161"/>
      <c r="R102" s="161"/>
      <c r="S102" s="161"/>
    </row>
    <row r="103" spans="1:19" ht="17.25" thickBot="1">
      <c r="A103" s="109" t="s">
        <v>159</v>
      </c>
      <c r="B103" s="113">
        <v>157</v>
      </c>
      <c r="C103" s="73">
        <v>2.61437908E-2</v>
      </c>
      <c r="D103" s="96">
        <v>155</v>
      </c>
      <c r="E103" s="97">
        <f>IF(ISNUMBER(D103), (D103 - $B103) / $B103, "")</f>
        <v>-1.2738853503184714E-2</v>
      </c>
      <c r="F103" s="98">
        <f>IF(ISNUMBER(D103), $B118 * E103, "")</f>
        <v>-1910.8280254777071</v>
      </c>
      <c r="G103" s="99">
        <v>155</v>
      </c>
      <c r="H103" s="97">
        <f>IF(ISNUMBER(G103), (G103 - $B103) / $B103, "")</f>
        <v>-1.2738853503184714E-2</v>
      </c>
      <c r="I103" s="100">
        <f>IF(ISNUMBER(G103), $B118 * H103, "")</f>
        <v>-1910.8280254777071</v>
      </c>
      <c r="J103" s="96">
        <v>155</v>
      </c>
      <c r="K103" s="97">
        <f>IF(ISNUMBER(J103), (J103 - $B103) / $B103, "")</f>
        <v>-1.2738853503184714E-2</v>
      </c>
      <c r="L103" s="98">
        <f>IF(ISNUMBER(J103), $B118 * K103, "")</f>
        <v>-1910.8280254777071</v>
      </c>
      <c r="M103" s="99">
        <v>154</v>
      </c>
      <c r="N103" s="97">
        <f>IF(ISNUMBER(M103), (M103 - $B103) / $B103, "")</f>
        <v>-1.9108280254777069E-2</v>
      </c>
      <c r="O103" s="98">
        <f>IF(ISNUMBER(M103), $B118 * N103, "")</f>
        <v>-2866.2420382165606</v>
      </c>
      <c r="Q103" s="161"/>
      <c r="R103" s="161"/>
      <c r="S103" s="161"/>
    </row>
    <row r="104" spans="1:19" ht="17.25" thickBot="1">
      <c r="A104" s="109" t="s">
        <v>181</v>
      </c>
      <c r="B104" s="110">
        <v>4.28</v>
      </c>
      <c r="C104" s="70">
        <v>2.3923445000000002E-2</v>
      </c>
      <c r="D104" s="15">
        <v>4.21</v>
      </c>
      <c r="E104" s="32">
        <f t="shared" ref="E104:E107" si="50">IF(ISNUMBER(D104), (D104 - $B104) / $B104, "")</f>
        <v>-1.6355140186915952E-2</v>
      </c>
      <c r="F104" s="18">
        <f>IF(ISNUMBER(D104), $B118 * E104, "")</f>
        <v>-2453.2710280373926</v>
      </c>
      <c r="G104" s="31">
        <v>4.1399999999999997</v>
      </c>
      <c r="H104" s="32">
        <f t="shared" ref="H104:H107" si="51">IF(ISNUMBER(G104), (G104 - $B104) / $B104, "")</f>
        <v>-3.2710280373831904E-2</v>
      </c>
      <c r="I104" s="91">
        <f>IF(ISNUMBER(G104), $B118 * H104, "")</f>
        <v>-4906.5420560747853</v>
      </c>
      <c r="J104" s="15">
        <v>4.1399999999999997</v>
      </c>
      <c r="K104" s="32">
        <f t="shared" ref="K104:K107" si="52">IF(ISNUMBER(J104), (J104 - $B104) / $B104, "")</f>
        <v>-3.2710280373831904E-2</v>
      </c>
      <c r="L104" s="18">
        <f>IF(ISNUMBER(J104), $B118 * K104, "")</f>
        <v>-4906.5420560747853</v>
      </c>
      <c r="M104" s="31">
        <v>4.1100000000000003</v>
      </c>
      <c r="N104" s="32">
        <f t="shared" ref="N104:N107" si="53">IF(ISNUMBER(M104), (M104 - $B104) / $B104, "")</f>
        <v>-3.9719626168224283E-2</v>
      </c>
      <c r="O104" s="18">
        <f>IF(ISNUMBER(M104), $B118 * N104, "")</f>
        <v>-5957.9439252336424</v>
      </c>
      <c r="Q104" s="161"/>
      <c r="R104" s="161"/>
      <c r="S104" s="161"/>
    </row>
    <row r="105" spans="1:19" ht="17.25" thickBot="1">
      <c r="A105" s="109" t="s">
        <v>195</v>
      </c>
      <c r="B105" s="110">
        <v>6.05</v>
      </c>
      <c r="C105" s="70">
        <v>1.6806722699999999E-2</v>
      </c>
      <c r="D105" s="15">
        <v>6.02</v>
      </c>
      <c r="E105" s="32">
        <f t="shared" si="50"/>
        <v>-4.9586776859504543E-3</v>
      </c>
      <c r="F105" s="18">
        <f>IF(ISNUMBER(D105), $B118 * E105, "")</f>
        <v>-743.8016528925682</v>
      </c>
      <c r="G105" s="31">
        <v>5.96</v>
      </c>
      <c r="H105" s="32">
        <f t="shared" si="51"/>
        <v>-1.4876033057851217E-2</v>
      </c>
      <c r="I105" s="91">
        <f>IF(ISNUMBER(G105), $B118 * H105, "")</f>
        <v>-2231.4049586776828</v>
      </c>
      <c r="J105" s="15">
        <v>5.96</v>
      </c>
      <c r="K105" s="32">
        <f t="shared" si="52"/>
        <v>-1.4876033057851217E-2</v>
      </c>
      <c r="L105" s="18">
        <f>IF(ISNUMBER(J105), $B118 * K105, "")</f>
        <v>-2231.4049586776828</v>
      </c>
      <c r="M105" s="31">
        <v>5.95</v>
      </c>
      <c r="N105" s="32">
        <f t="shared" si="53"/>
        <v>-1.6528925619834652E-2</v>
      </c>
      <c r="O105" s="18">
        <f>IF(ISNUMBER(M105), $B118 * N105, "")</f>
        <v>-2479.3388429751976</v>
      </c>
      <c r="Q105" s="161"/>
      <c r="R105" s="161"/>
      <c r="S105" s="161"/>
    </row>
    <row r="106" spans="1:19" ht="17.25" thickBot="1">
      <c r="A106" s="109" t="s">
        <v>198</v>
      </c>
      <c r="B106" s="110">
        <v>6.96</v>
      </c>
      <c r="C106" s="70">
        <v>1.6058394199999999E-2</v>
      </c>
      <c r="D106" s="15">
        <v>6.92</v>
      </c>
      <c r="E106" s="32">
        <f t="shared" si="50"/>
        <v>-5.7471264367816143E-3</v>
      </c>
      <c r="F106" s="18">
        <f>IF(ISNUMBER(D106), $B118 * E106, "")</f>
        <v>-862.06896551724219</v>
      </c>
      <c r="G106" s="31">
        <v>6.69</v>
      </c>
      <c r="H106" s="32">
        <f t="shared" si="51"/>
        <v>-3.8793103448275801E-2</v>
      </c>
      <c r="I106" s="91">
        <f>IF(ISNUMBER(G106), $B118 * H106, "")</f>
        <v>-5818.9655172413704</v>
      </c>
      <c r="J106" s="15">
        <v>6.69</v>
      </c>
      <c r="K106" s="32">
        <f t="shared" si="52"/>
        <v>-3.8793103448275801E-2</v>
      </c>
      <c r="L106" s="18">
        <f>IF(ISNUMBER(J106), $B118 * K106, "")</f>
        <v>-5818.9655172413704</v>
      </c>
      <c r="M106" s="31">
        <v>6.67</v>
      </c>
      <c r="N106" s="32">
        <f t="shared" si="53"/>
        <v>-4.1666666666666671E-2</v>
      </c>
      <c r="O106" s="18">
        <f>IF(ISNUMBER(M106), $B118 * N106, "")</f>
        <v>-6250.0000000000009</v>
      </c>
      <c r="Q106" s="33"/>
      <c r="R106" s="33"/>
    </row>
    <row r="107" spans="1:19" ht="17.25" thickBot="1">
      <c r="A107" s="114" t="s">
        <v>153</v>
      </c>
      <c r="B107" s="115">
        <v>349</v>
      </c>
      <c r="C107" s="72">
        <v>1.4534883700000001E-2</v>
      </c>
      <c r="D107" s="24">
        <v>345</v>
      </c>
      <c r="E107" s="25">
        <f t="shared" si="50"/>
        <v>-1.1461318051575931E-2</v>
      </c>
      <c r="F107" s="94">
        <f>IF(ISNUMBER(D107), $B118 * E107, "")</f>
        <v>-1719.1977077363897</v>
      </c>
      <c r="G107" s="92">
        <v>342</v>
      </c>
      <c r="H107" s="25">
        <f t="shared" si="51"/>
        <v>-2.0057306590257881E-2</v>
      </c>
      <c r="I107" s="93">
        <f>IF(ISNUMBER(G107), $B118 * H107, "")</f>
        <v>-3008.5959885386824</v>
      </c>
      <c r="J107" s="24">
        <v>342</v>
      </c>
      <c r="K107" s="25">
        <f t="shared" si="52"/>
        <v>-2.0057306590257881E-2</v>
      </c>
      <c r="L107" s="94">
        <f>IF(ISNUMBER(J107), $B118 * K107, "")</f>
        <v>-3008.5959885386824</v>
      </c>
      <c r="M107" s="92">
        <v>339</v>
      </c>
      <c r="N107" s="25">
        <f t="shared" si="53"/>
        <v>-2.865329512893983E-2</v>
      </c>
      <c r="O107" s="94">
        <f>IF(ISNUMBER(M107), $B118 * N107, "")</f>
        <v>-4297.9942693409748</v>
      </c>
      <c r="Q107" s="170"/>
      <c r="R107" s="171"/>
      <c r="S107" s="172"/>
    </row>
    <row r="108" spans="1:19">
      <c r="A108" s="107" t="s">
        <v>155</v>
      </c>
      <c r="B108" s="108">
        <v>27.4</v>
      </c>
      <c r="C108" s="69">
        <v>1.10701107E-2</v>
      </c>
      <c r="D108" s="13">
        <v>27.2</v>
      </c>
      <c r="E108" s="14">
        <f>IF(ISNUMBER(D108), (D108 - $B108) / $B108, "")</f>
        <v>-7.2992700729926753E-3</v>
      </c>
      <c r="F108" s="16">
        <f>IF(ISNUMBER(D108), $B118 * E108, "")</f>
        <v>-1094.8905109489012</v>
      </c>
      <c r="G108" s="29">
        <v>27.3</v>
      </c>
      <c r="H108" s="14">
        <f>IF(ISNUMBER(G108), (G108 - $B108) / $B108, "")</f>
        <v>-3.6496350364962726E-3</v>
      </c>
      <c r="I108" s="90">
        <f>IF(ISNUMBER(G108), $B118 * H108, "")</f>
        <v>-547.44525547444084</v>
      </c>
      <c r="J108" s="13">
        <v>27.3</v>
      </c>
      <c r="K108" s="14">
        <f>IF(ISNUMBER(J108), (J108 - $B108) / $B108, "")</f>
        <v>-3.6496350364962726E-3</v>
      </c>
      <c r="L108" s="16">
        <f>IF(ISNUMBER(J108), $B118 * K108, "")</f>
        <v>-547.44525547444084</v>
      </c>
      <c r="M108" s="29">
        <v>27</v>
      </c>
      <c r="N108" s="14">
        <f>IF(ISNUMBER(M108), (M108 - $B108) / $B108, "")</f>
        <v>-1.4598540145985351E-2</v>
      </c>
      <c r="O108" s="16">
        <f>IF(ISNUMBER(M108), $B118 * N108, "")</f>
        <v>-2189.7810218978025</v>
      </c>
      <c r="Q108" s="173"/>
      <c r="R108" s="174"/>
      <c r="S108" s="175"/>
    </row>
    <row r="109" spans="1:19" ht="17.25" thickBot="1">
      <c r="A109" s="109" t="s">
        <v>202</v>
      </c>
      <c r="B109" s="110">
        <v>305</v>
      </c>
      <c r="C109" s="70">
        <v>9.9337747999999997E-3</v>
      </c>
      <c r="D109" s="15">
        <v>309</v>
      </c>
      <c r="E109" s="32">
        <f t="shared" ref="E109:E112" si="54">IF(ISNUMBER(D109), (D109 - $B109) / $B109, "")</f>
        <v>1.3114754098360656E-2</v>
      </c>
      <c r="F109" s="18">
        <f>IF(ISNUMBER(D109), $B118 * E109, "")</f>
        <v>1967.2131147540983</v>
      </c>
      <c r="G109" s="31">
        <v>302</v>
      </c>
      <c r="H109" s="32">
        <f t="shared" ref="H109:H112" si="55">IF(ISNUMBER(G109), (G109 - $B109) / $B109, "")</f>
        <v>-9.8360655737704927E-3</v>
      </c>
      <c r="I109" s="91">
        <f>IF(ISNUMBER(G109), $B118 * H109, "")</f>
        <v>-1475.4098360655739</v>
      </c>
      <c r="J109" s="15">
        <v>302</v>
      </c>
      <c r="K109" s="32">
        <f t="shared" ref="K109:K112" si="56">IF(ISNUMBER(J109), (J109 - $B109) / $B109, "")</f>
        <v>-9.8360655737704927E-3</v>
      </c>
      <c r="L109" s="18">
        <f>IF(ISNUMBER(J109), $B118 * K109, "")</f>
        <v>-1475.4098360655739</v>
      </c>
      <c r="M109" s="31">
        <v>299</v>
      </c>
      <c r="N109" s="32">
        <f t="shared" ref="N109:N112" si="57">IF(ISNUMBER(M109), (M109 - $B109) / $B109, "")</f>
        <v>-1.9672131147540985E-2</v>
      </c>
      <c r="O109" s="18">
        <f>IF(ISNUMBER(M109), $B118 * N109, "")</f>
        <v>-2950.8196721311479</v>
      </c>
      <c r="Q109" s="176"/>
      <c r="R109" s="177"/>
      <c r="S109" s="178"/>
    </row>
    <row r="110" spans="1:19" ht="17.25" thickBot="1">
      <c r="A110" s="109" t="s">
        <v>218</v>
      </c>
      <c r="B110" s="110">
        <v>308</v>
      </c>
      <c r="C110" s="70">
        <v>9.8360656000000008E-3</v>
      </c>
      <c r="D110" s="15">
        <v>320</v>
      </c>
      <c r="E110" s="32">
        <f t="shared" si="54"/>
        <v>3.896103896103896E-2</v>
      </c>
      <c r="F110" s="18">
        <f>IF(ISNUMBER(D110), $B118 * E110, "")</f>
        <v>5844.1558441558436</v>
      </c>
      <c r="G110" s="31">
        <v>307</v>
      </c>
      <c r="H110" s="32">
        <f t="shared" si="55"/>
        <v>-3.246753246753247E-3</v>
      </c>
      <c r="I110" s="91">
        <f>IF(ISNUMBER(G110), $B118 * H110, "")</f>
        <v>-487.01298701298703</v>
      </c>
      <c r="J110" s="15">
        <v>307</v>
      </c>
      <c r="K110" s="32">
        <f t="shared" si="56"/>
        <v>-3.246753246753247E-3</v>
      </c>
      <c r="L110" s="18">
        <f>IF(ISNUMBER(J110), $B118 * K110, "")</f>
        <v>-487.01298701298703</v>
      </c>
      <c r="M110" s="31">
        <v>309</v>
      </c>
      <c r="N110" s="32">
        <f t="shared" si="57"/>
        <v>3.246753246753247E-3</v>
      </c>
      <c r="O110" s="18">
        <f>IF(ISNUMBER(M110), $B118 * N110, "")</f>
        <v>487.01298701298703</v>
      </c>
      <c r="Q110" s="161"/>
      <c r="R110" s="161"/>
      <c r="S110" s="161"/>
    </row>
    <row r="111" spans="1:19" ht="17.25" thickBot="1">
      <c r="A111" s="109" t="s">
        <v>101</v>
      </c>
      <c r="B111" s="110">
        <v>213</v>
      </c>
      <c r="C111" s="70">
        <v>9.478673E-3</v>
      </c>
      <c r="D111" s="15">
        <v>210</v>
      </c>
      <c r="E111" s="32">
        <f t="shared" si="54"/>
        <v>-1.4084507042253521E-2</v>
      </c>
      <c r="F111" s="18">
        <f>IF(ISNUMBER(D111), $B118 * E111, "")</f>
        <v>-2112.676056338028</v>
      </c>
      <c r="G111" s="31">
        <v>211</v>
      </c>
      <c r="H111" s="32">
        <f t="shared" si="55"/>
        <v>-9.3896713615023476E-3</v>
      </c>
      <c r="I111" s="91">
        <f>IF(ISNUMBER(G111), $B118 * H111, "")</f>
        <v>-1408.4507042253522</v>
      </c>
      <c r="J111" s="15">
        <v>211</v>
      </c>
      <c r="K111" s="32">
        <f t="shared" si="56"/>
        <v>-9.3896713615023476E-3</v>
      </c>
      <c r="L111" s="18">
        <f>IF(ISNUMBER(J111), $B118 * K111, "")</f>
        <v>-1408.4507042253522</v>
      </c>
      <c r="M111" s="31">
        <v>210</v>
      </c>
      <c r="N111" s="32">
        <f t="shared" si="57"/>
        <v>-1.4084507042253521E-2</v>
      </c>
      <c r="O111" s="18">
        <f>IF(ISNUMBER(M111), $B118 * N111, "")</f>
        <v>-2112.676056338028</v>
      </c>
      <c r="Q111" s="156"/>
      <c r="R111" s="156"/>
      <c r="S111" s="156"/>
    </row>
    <row r="112" spans="1:19" ht="17.25" thickBot="1">
      <c r="A112" s="111" t="s">
        <v>230</v>
      </c>
      <c r="B112" s="112">
        <v>36.5</v>
      </c>
      <c r="C112" s="71">
        <v>8.2872928000000002E-3</v>
      </c>
      <c r="D112" s="20">
        <v>36.4</v>
      </c>
      <c r="E112" s="21">
        <f t="shared" si="54"/>
        <v>-2.7397260273972993E-3</v>
      </c>
      <c r="F112" s="22">
        <f>IF(ISNUMBER(D112), $B118 * E112, "")</f>
        <v>-410.95890410959493</v>
      </c>
      <c r="G112" s="30">
        <v>36</v>
      </c>
      <c r="H112" s="21">
        <f t="shared" si="55"/>
        <v>-1.3698630136986301E-2</v>
      </c>
      <c r="I112" s="95">
        <f>IF(ISNUMBER(G112), $B118 * H112, "")</f>
        <v>-2054.794520547945</v>
      </c>
      <c r="J112" s="20">
        <v>36</v>
      </c>
      <c r="K112" s="21">
        <f t="shared" si="56"/>
        <v>-1.3698630136986301E-2</v>
      </c>
      <c r="L112" s="22">
        <f>IF(ISNUMBER(J112), $B118 * K112, "")</f>
        <v>-2054.794520547945</v>
      </c>
      <c r="M112" s="30">
        <v>35.700000000000003</v>
      </c>
      <c r="N112" s="21">
        <f t="shared" si="57"/>
        <v>-2.1917808219178006E-2</v>
      </c>
      <c r="O112" s="22">
        <f>IF(ISNUMBER(M112), $B118 * N112, "")</f>
        <v>-3287.6712328767007</v>
      </c>
      <c r="Q112" s="156"/>
      <c r="R112" s="156"/>
      <c r="S112" s="156"/>
    </row>
    <row r="113" spans="1:19" ht="17.25" thickBot="1">
      <c r="A113" s="109" t="s">
        <v>185</v>
      </c>
      <c r="B113" s="113">
        <v>27</v>
      </c>
      <c r="C113" s="73">
        <v>7.4626865999999998E-3</v>
      </c>
      <c r="D113" s="96">
        <v>27.2</v>
      </c>
      <c r="E113" s="97">
        <f>IF(ISNUMBER(D113), (D113 - $B113) / $B113, "")</f>
        <v>7.4074074074073808E-3</v>
      </c>
      <c r="F113" s="98">
        <f>IF(ISNUMBER(D113), $B118 * E113, "")</f>
        <v>1111.1111111111072</v>
      </c>
      <c r="G113" s="99">
        <v>26.8</v>
      </c>
      <c r="H113" s="97">
        <f>IF(ISNUMBER(G113), (G113 - $B113) / $B113, "")</f>
        <v>-7.4074074074073808E-3</v>
      </c>
      <c r="I113" s="100">
        <f>IF(ISNUMBER(G113), $B118 * H113, "")</f>
        <v>-1111.1111111111072</v>
      </c>
      <c r="J113" s="96">
        <v>26.8</v>
      </c>
      <c r="K113" s="97">
        <f>IF(ISNUMBER(J113), (J113 - $B113) / $B113, "")</f>
        <v>-7.4074074074073808E-3</v>
      </c>
      <c r="L113" s="98">
        <f>IF(ISNUMBER(J113), $B118 * K113, "")</f>
        <v>-1111.1111111111072</v>
      </c>
      <c r="M113" s="99">
        <v>26.7</v>
      </c>
      <c r="N113" s="97">
        <f>IF(ISNUMBER(M113), (M113 - $B113) / $B113, "")</f>
        <v>-1.1111111111111138E-2</v>
      </c>
      <c r="O113" s="98">
        <f>IF(ISNUMBER(M113), $B118 * N113, "")</f>
        <v>-1666.6666666666706</v>
      </c>
      <c r="Q113" s="161"/>
      <c r="R113" s="161"/>
      <c r="S113" s="161"/>
    </row>
    <row r="114" spans="1:19" ht="17.25" thickBot="1">
      <c r="A114" s="109" t="s">
        <v>322</v>
      </c>
      <c r="B114" s="110">
        <v>73090</v>
      </c>
      <c r="C114" s="70">
        <v>7.3042999000000001E-3</v>
      </c>
      <c r="D114" s="15">
        <v>72070</v>
      </c>
      <c r="E114" s="32">
        <f t="shared" ref="E114:E117" si="58">IF(ISNUMBER(D114), (D114 - $B114) / $B114, "")</f>
        <v>-1.3955397455192229E-2</v>
      </c>
      <c r="F114" s="18">
        <f>IF(ISNUMBER(D114), $B118 * E114, "")</f>
        <v>-2093.3096182788345</v>
      </c>
      <c r="G114" s="31">
        <v>71220</v>
      </c>
      <c r="H114" s="32">
        <f t="shared" ref="H114:H117" si="59">IF(ISNUMBER(G114), (G114 - $B114) / $B114, "")</f>
        <v>-2.5584895334519086E-2</v>
      </c>
      <c r="I114" s="91">
        <f>IF(ISNUMBER(G114), $B118 * H114, "")</f>
        <v>-3837.7343001778627</v>
      </c>
      <c r="J114" s="15">
        <v>71220</v>
      </c>
      <c r="K114" s="32">
        <f t="shared" ref="K114:K117" si="60">IF(ISNUMBER(J114), (J114 - $B114) / $B114, "")</f>
        <v>-2.5584895334519086E-2</v>
      </c>
      <c r="L114" s="18">
        <f>IF(ISNUMBER(J114), $B118 * K114, "")</f>
        <v>-3837.7343001778627</v>
      </c>
      <c r="M114" s="31">
        <v>70910</v>
      </c>
      <c r="N114" s="32">
        <f t="shared" ref="N114:N117" si="61">IF(ISNUMBER(M114), (M114 - $B114) / $B114, "")</f>
        <v>-2.9826241619920646E-2</v>
      </c>
      <c r="O114" s="18">
        <f>IF(ISNUMBER(M114), $B118 * N114, "")</f>
        <v>-4473.9362429880966</v>
      </c>
      <c r="Q114" s="161"/>
      <c r="R114" s="161"/>
      <c r="S114" s="161"/>
    </row>
    <row r="115" spans="1:19" ht="17.25" thickBot="1">
      <c r="A115" s="109" t="s">
        <v>200</v>
      </c>
      <c r="B115" s="110">
        <v>6.23</v>
      </c>
      <c r="C115" s="70">
        <v>6.4620355000000003E-3</v>
      </c>
      <c r="D115" s="15">
        <v>6.2</v>
      </c>
      <c r="E115" s="32">
        <f t="shared" si="58"/>
        <v>-4.8154093097913719E-3</v>
      </c>
      <c r="F115" s="18">
        <f>IF(ISNUMBER(D115), $B118 * E115, "")</f>
        <v>-722.31139646870577</v>
      </c>
      <c r="G115" s="31">
        <v>6.13</v>
      </c>
      <c r="H115" s="32">
        <f t="shared" si="59"/>
        <v>-1.6051364365971193E-2</v>
      </c>
      <c r="I115" s="91">
        <f>IF(ISNUMBER(G115), $B118 * H115, "")</f>
        <v>-2407.7046548956791</v>
      </c>
      <c r="J115" s="15">
        <v>6.13</v>
      </c>
      <c r="K115" s="32">
        <f t="shared" si="60"/>
        <v>-1.6051364365971193E-2</v>
      </c>
      <c r="L115" s="18">
        <f>IF(ISNUMBER(J115), $B118 * K115, "")</f>
        <v>-2407.7046548956791</v>
      </c>
      <c r="M115" s="31">
        <v>6.08</v>
      </c>
      <c r="N115" s="32">
        <f t="shared" si="61"/>
        <v>-2.4077046548956718E-2</v>
      </c>
      <c r="O115" s="18">
        <f>IF(ISNUMBER(M115), $B118 * N115, "")</f>
        <v>-3611.5569823435076</v>
      </c>
      <c r="Q115" s="161"/>
      <c r="R115" s="161"/>
      <c r="S115" s="161"/>
    </row>
    <row r="116" spans="1:19">
      <c r="A116" s="109" t="s">
        <v>187</v>
      </c>
      <c r="B116" s="110">
        <v>813</v>
      </c>
      <c r="C116" s="70">
        <v>6.1881187999999997E-3</v>
      </c>
      <c r="D116" s="15">
        <v>813</v>
      </c>
      <c r="E116" s="32">
        <f t="shared" si="58"/>
        <v>0</v>
      </c>
      <c r="F116" s="18">
        <f>IF(ISNUMBER(D116), $B118 * E116, "")</f>
        <v>0</v>
      </c>
      <c r="G116" s="31">
        <v>800</v>
      </c>
      <c r="H116" s="32">
        <f t="shared" si="59"/>
        <v>-1.5990159901599015E-2</v>
      </c>
      <c r="I116" s="91">
        <f>IF(ISNUMBER(G116), $B118 * H116, "")</f>
        <v>-2398.5239852398522</v>
      </c>
      <c r="J116" s="15">
        <v>800</v>
      </c>
      <c r="K116" s="32">
        <f t="shared" si="60"/>
        <v>-1.5990159901599015E-2</v>
      </c>
      <c r="L116" s="18">
        <f>IF(ISNUMBER(J116), $B118 * K116, "")</f>
        <v>-2398.5239852398522</v>
      </c>
      <c r="M116" s="31">
        <v>794</v>
      </c>
      <c r="N116" s="32">
        <f t="shared" si="61"/>
        <v>-2.3370233702337023E-2</v>
      </c>
      <c r="O116" s="18">
        <f>IF(ISNUMBER(M116), $B118 * N116, "")</f>
        <v>-3505.5350553505532</v>
      </c>
      <c r="Q116" s="183"/>
      <c r="R116" s="184"/>
      <c r="S116" s="185"/>
    </row>
    <row r="117" spans="1:19" ht="17.25" thickBot="1">
      <c r="A117" s="114" t="s">
        <v>206</v>
      </c>
      <c r="B117" s="115">
        <v>3.27</v>
      </c>
      <c r="C117" s="72">
        <v>6.1538462000000002E-3</v>
      </c>
      <c r="D117" s="24">
        <v>3.21</v>
      </c>
      <c r="E117" s="25">
        <f t="shared" si="58"/>
        <v>-1.8348623853211024E-2</v>
      </c>
      <c r="F117" s="94">
        <f>IF(ISNUMBER(D117), $B118 * E117, "")</f>
        <v>-2752.2935779816535</v>
      </c>
      <c r="G117" s="92">
        <v>3.22</v>
      </c>
      <c r="H117" s="25">
        <f t="shared" si="59"/>
        <v>-1.5290519877675787E-2</v>
      </c>
      <c r="I117" s="93">
        <f>IF(ISNUMBER(G117), $B118 * H117, "")</f>
        <v>-2293.5779816513682</v>
      </c>
      <c r="J117" s="24">
        <v>3.22</v>
      </c>
      <c r="K117" s="25">
        <f t="shared" si="60"/>
        <v>-1.5290519877675787E-2</v>
      </c>
      <c r="L117" s="94">
        <f>IF(ISNUMBER(J117), $B118 * K117, "")</f>
        <v>-2293.5779816513682</v>
      </c>
      <c r="M117" s="92">
        <v>3.18</v>
      </c>
      <c r="N117" s="25">
        <f t="shared" si="61"/>
        <v>-2.752293577981647E-2</v>
      </c>
      <c r="O117" s="94">
        <f>IF(ISNUMBER(M117), $B118 * N117, "")</f>
        <v>-4128.4403669724707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-5.2976761271114189E-3</v>
      </c>
      <c r="F118" s="28">
        <f>SUM(F98:F117)</f>
        <v>-15893.028381334254</v>
      </c>
      <c r="G118" s="26" t="s">
        <v>261</v>
      </c>
      <c r="H118" s="27">
        <f>IF(COUNT(H98:H117), SUM(H98:H117) / COUNT(H98:H117), 0)</f>
        <v>-2.0309352030507832E-2</v>
      </c>
      <c r="I118" s="28">
        <f>SUM(I98:I117)</f>
        <v>-60928.056091523518</v>
      </c>
      <c r="J118" s="26" t="s">
        <v>261</v>
      </c>
      <c r="K118" s="27">
        <f>IF(COUNT(K98:K117), SUM(K98:K117) / COUNT(K98:K117), 0)</f>
        <v>-2.0309352030507832E-2</v>
      </c>
      <c r="L118" s="28">
        <f>SUM(L98:L117)</f>
        <v>-60928.056091523518</v>
      </c>
      <c r="M118" s="26" t="s">
        <v>261</v>
      </c>
      <c r="N118" s="27">
        <f>IF(COUNT(N98:N117), SUM(N98:N117) / COUNT(N98:N117), 0)</f>
        <v>-3.1433550082607821E-2</v>
      </c>
      <c r="O118" s="28">
        <f>SUM(O98:O117)</f>
        <v>-94300.650247823462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2022-12-22(목) 오전 00:00</v>
      </c>
      <c r="C123" s="199"/>
      <c r="D123" s="158" t="str">
        <f>TEXT($G$1, "[$-ko-KR]yyyy-mm-dd(ddd) ") &amp; "오후 14:00"</f>
        <v>2022-12-22(목) 오후 14:00</v>
      </c>
      <c r="E123" s="159"/>
      <c r="F123" s="160"/>
      <c r="G123" s="158" t="str">
        <f>TEXT($G$1, "[$-ko-KR]yyyy-mm-dd(ddd) ") &amp; "오후 19:00"</f>
        <v>2022-12-22(목) 오후 19:00</v>
      </c>
      <c r="H123" s="159"/>
      <c r="I123" s="160"/>
      <c r="J123" s="158" t="str">
        <f>TEXT($G$1, "[$-ko-KR]yyyy-mm-dd(ddd) ") &amp; "오후 21:00"</f>
        <v>2022-12-22(목) 오후 21:00</v>
      </c>
      <c r="K123" s="159"/>
      <c r="L123" s="160"/>
      <c r="M123" s="158" t="str">
        <f>TEXT($G$1+1, "[$-ko-KR]yyyy-mm-dd(ddd) ") &amp; "오전 00:00"</f>
        <v>2022-12-23(금)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132</v>
      </c>
      <c r="B125" s="108">
        <v>47.3</v>
      </c>
      <c r="C125" s="69">
        <v>-4.2105262999999997E-3</v>
      </c>
      <c r="D125" s="13">
        <v>48.5</v>
      </c>
      <c r="E125" s="14">
        <f>IF(ISNUMBER(D125), (D125 - $B125) / $B125, "")</f>
        <v>2.5369978858351013E-2</v>
      </c>
      <c r="F125" s="16">
        <f>IF(ISNUMBER(D125), $B145 * E125, "")</f>
        <v>3805.4968287526522</v>
      </c>
      <c r="G125" s="29">
        <v>46.7</v>
      </c>
      <c r="H125" s="14">
        <f>IF(ISNUMBER(G125), (G125 - $B125) / $B125, "")</f>
        <v>-1.2684989429175356E-2</v>
      </c>
      <c r="I125" s="90">
        <f>IF(ISNUMBER(G125), $B145 * H125, "")</f>
        <v>-1902.7484143763033</v>
      </c>
      <c r="J125" s="13">
        <v>46.7</v>
      </c>
      <c r="K125" s="14">
        <f>IF(ISNUMBER(J125), (J125 - $B125) / $B125, "")</f>
        <v>-1.2684989429175356E-2</v>
      </c>
      <c r="L125" s="16">
        <f>IF(ISNUMBER(J125), $B145 * K125, "")</f>
        <v>-1902.7484143763033</v>
      </c>
      <c r="M125" s="29">
        <v>46.1</v>
      </c>
      <c r="N125" s="14">
        <f>IF(ISNUMBER(M125), (M125 - $B125) / $B125, "")</f>
        <v>-2.5369978858350864E-2</v>
      </c>
      <c r="O125" s="16">
        <f>IF(ISNUMBER(M125), $B145 * N125, "")</f>
        <v>-3805.4968287526294</v>
      </c>
      <c r="Q125" s="156"/>
      <c r="R125" s="156"/>
      <c r="S125" s="156"/>
    </row>
    <row r="126" spans="1:19" ht="17.25" thickBot="1">
      <c r="A126" s="109" t="s">
        <v>210</v>
      </c>
      <c r="B126" s="110">
        <v>65.2</v>
      </c>
      <c r="C126" s="70">
        <v>-4.5801527000000003E-3</v>
      </c>
      <c r="D126" s="15">
        <v>64</v>
      </c>
      <c r="E126" s="32">
        <f t="shared" ref="E126:E129" si="62">IF(ISNUMBER(D126), (D126 - $B126) / $B126, "")</f>
        <v>-1.8404907975460166E-2</v>
      </c>
      <c r="F126" s="18">
        <f>IF(ISNUMBER(D126), $B145 * E126, "")</f>
        <v>-2760.7361963190247</v>
      </c>
      <c r="G126" s="31">
        <v>64.2</v>
      </c>
      <c r="H126" s="32">
        <f t="shared" ref="H126:H129" si="63">IF(ISNUMBER(G126), (G126 - $B126) / $B126, "")</f>
        <v>-1.5337423312883436E-2</v>
      </c>
      <c r="I126" s="91">
        <f>IF(ISNUMBER(G126), $B145 * H126, "")</f>
        <v>-2300.6134969325153</v>
      </c>
      <c r="J126" s="15">
        <v>64.2</v>
      </c>
      <c r="K126" s="32">
        <f t="shared" ref="K126:K129" si="64">IF(ISNUMBER(J126), (J126 - $B126) / $B126, "")</f>
        <v>-1.5337423312883436E-2</v>
      </c>
      <c r="L126" s="18">
        <f>IF(ISNUMBER(J126), $B145 * K126, "")</f>
        <v>-2300.6134969325153</v>
      </c>
      <c r="M126" s="31">
        <v>63.2</v>
      </c>
      <c r="N126" s="32">
        <f t="shared" ref="N126:N129" si="65">IF(ISNUMBER(M126), (M126 - $B126) / $B126, "")</f>
        <v>-3.0674846625766871E-2</v>
      </c>
      <c r="O126" s="18">
        <f>IF(ISNUMBER(M126), $B145 * N126, "")</f>
        <v>-4601.2269938650306</v>
      </c>
      <c r="Q126" s="156"/>
      <c r="R126" s="156"/>
      <c r="S126" s="156"/>
    </row>
    <row r="127" spans="1:19" ht="17.25" thickBot="1">
      <c r="A127" s="109" t="s">
        <v>122</v>
      </c>
      <c r="B127" s="110">
        <v>21.2</v>
      </c>
      <c r="C127" s="70">
        <v>-4.6948357000000003E-3</v>
      </c>
      <c r="D127" s="15">
        <v>21.2</v>
      </c>
      <c r="E127" s="32">
        <f t="shared" si="62"/>
        <v>0</v>
      </c>
      <c r="F127" s="18">
        <f>IF(ISNUMBER(D127), $B145 * E127, "")</f>
        <v>0</v>
      </c>
      <c r="G127" s="31">
        <v>21.1</v>
      </c>
      <c r="H127" s="32">
        <f t="shared" si="63"/>
        <v>-4.7169811320753709E-3</v>
      </c>
      <c r="I127" s="91">
        <f>IF(ISNUMBER(G127), $B145 * H127, "")</f>
        <v>-707.54716981130559</v>
      </c>
      <c r="J127" s="15">
        <v>21.1</v>
      </c>
      <c r="K127" s="32">
        <f t="shared" si="64"/>
        <v>-4.7169811320753709E-3</v>
      </c>
      <c r="L127" s="18">
        <f>IF(ISNUMBER(J127), $B145 * K127, "")</f>
        <v>-707.54716981130559</v>
      </c>
      <c r="M127" s="31">
        <v>20.8</v>
      </c>
      <c r="N127" s="32">
        <f t="shared" si="65"/>
        <v>-1.886792452830182E-2</v>
      </c>
      <c r="O127" s="18">
        <f>IF(ISNUMBER(M127), $B145 * N127, "")</f>
        <v>-2830.1886792452729</v>
      </c>
      <c r="Q127" s="161"/>
      <c r="R127" s="161"/>
      <c r="S127" s="161"/>
    </row>
    <row r="128" spans="1:19" ht="17.25" thickBot="1">
      <c r="A128" s="109" t="s">
        <v>64</v>
      </c>
      <c r="B128" s="110">
        <v>9.33</v>
      </c>
      <c r="C128" s="70">
        <v>-5.3304904000000004E-3</v>
      </c>
      <c r="D128" s="15">
        <v>9.25</v>
      </c>
      <c r="E128" s="32">
        <f t="shared" si="62"/>
        <v>-8.5744908896034366E-3</v>
      </c>
      <c r="F128" s="18">
        <f>IF(ISNUMBER(D128), $B145 * E128, "")</f>
        <v>-1286.1736334405155</v>
      </c>
      <c r="G128" s="31">
        <v>9.27</v>
      </c>
      <c r="H128" s="32">
        <f t="shared" si="63"/>
        <v>-6.4308681672026252E-3</v>
      </c>
      <c r="I128" s="91">
        <f>IF(ISNUMBER(G128), $B145 * H128, "")</f>
        <v>-964.63022508039376</v>
      </c>
      <c r="J128" s="15">
        <v>9.27</v>
      </c>
      <c r="K128" s="32">
        <f t="shared" si="64"/>
        <v>-6.4308681672026252E-3</v>
      </c>
      <c r="L128" s="18">
        <f>IF(ISNUMBER(J128), $B145 * K128, "")</f>
        <v>-964.63022508039376</v>
      </c>
      <c r="M128" s="31">
        <v>9.2100000000000009</v>
      </c>
      <c r="N128" s="32">
        <f t="shared" si="65"/>
        <v>-1.2861736334405061E-2</v>
      </c>
      <c r="O128" s="18">
        <f>IF(ISNUMBER(M128), $B145 * N128, "")</f>
        <v>-1929.2604501607591</v>
      </c>
      <c r="Q128" s="161"/>
      <c r="R128" s="161"/>
      <c r="S128" s="161"/>
    </row>
    <row r="129" spans="1:19" ht="17.25" thickBot="1">
      <c r="A129" s="111" t="s">
        <v>193</v>
      </c>
      <c r="B129" s="112">
        <v>17.2</v>
      </c>
      <c r="C129" s="71">
        <v>-5.7803467999999998E-3</v>
      </c>
      <c r="D129" s="20">
        <v>17.3</v>
      </c>
      <c r="E129" s="21">
        <f t="shared" si="62"/>
        <v>5.8139534883721762E-3</v>
      </c>
      <c r="F129" s="22">
        <f>IF(ISNUMBER(D129), $B145 * E129, "")</f>
        <v>872.09302325582644</v>
      </c>
      <c r="G129" s="30">
        <v>17.2</v>
      </c>
      <c r="H129" s="21">
        <f t="shared" si="63"/>
        <v>0</v>
      </c>
      <c r="I129" s="95">
        <f>IF(ISNUMBER(G129), $B145 * H129, "")</f>
        <v>0</v>
      </c>
      <c r="J129" s="20">
        <v>17.2</v>
      </c>
      <c r="K129" s="21">
        <f t="shared" si="64"/>
        <v>0</v>
      </c>
      <c r="L129" s="22">
        <f>IF(ISNUMBER(J129), $B145 * K129, "")</f>
        <v>0</v>
      </c>
      <c r="M129" s="30">
        <v>17</v>
      </c>
      <c r="N129" s="21">
        <f t="shared" si="65"/>
        <v>-1.1627906976744146E-2</v>
      </c>
      <c r="O129" s="22">
        <f>IF(ISNUMBER(M129), $B145 * N129, "")</f>
        <v>-1744.186046511622</v>
      </c>
      <c r="Q129" s="161"/>
      <c r="R129" s="161"/>
      <c r="S129" s="161"/>
    </row>
    <row r="130" spans="1:19" ht="17.25" thickBot="1">
      <c r="A130" s="109" t="s">
        <v>336</v>
      </c>
      <c r="B130" s="113">
        <v>73.900000000000006</v>
      </c>
      <c r="C130" s="73">
        <v>-6.7204300999999999E-3</v>
      </c>
      <c r="D130" s="96">
        <v>74</v>
      </c>
      <c r="E130" s="97">
        <f>IF(ISNUMBER(D130), (D130 - $B130) / $B130, "")</f>
        <v>1.3531799729363234E-3</v>
      </c>
      <c r="F130" s="98">
        <f>IF(ISNUMBER(D130), $B145 * E130, "")</f>
        <v>202.97699594044852</v>
      </c>
      <c r="G130" s="99">
        <v>74.599999999999994</v>
      </c>
      <c r="H130" s="97">
        <f>IF(ISNUMBER(G130), (G130 - $B130) / $B130, "")</f>
        <v>9.4722598105546497E-3</v>
      </c>
      <c r="I130" s="100">
        <f>IF(ISNUMBER(G130), $B145 * H130, "")</f>
        <v>1420.8389715831975</v>
      </c>
      <c r="J130" s="96">
        <v>74.599999999999994</v>
      </c>
      <c r="K130" s="97">
        <f>IF(ISNUMBER(J130), (J130 - $B130) / $B130, "")</f>
        <v>9.4722598105546497E-3</v>
      </c>
      <c r="L130" s="98">
        <f>IF(ISNUMBER(J130), $B145 * K130, "")</f>
        <v>1420.8389715831975</v>
      </c>
      <c r="M130" s="99">
        <v>74.2</v>
      </c>
      <c r="N130" s="97">
        <f>IF(ISNUMBER(M130), (M130 - $B130) / $B130, "")</f>
        <v>4.0595399188091625E-3</v>
      </c>
      <c r="O130" s="98">
        <f>IF(ISNUMBER(M130), $B145 * N130, "")</f>
        <v>608.9309878213744</v>
      </c>
      <c r="Q130" s="161"/>
      <c r="R130" s="161"/>
      <c r="S130" s="161"/>
    </row>
    <row r="131" spans="1:19" ht="17.25" thickBot="1">
      <c r="A131" s="109" t="s">
        <v>244</v>
      </c>
      <c r="B131" s="110">
        <v>87.9</v>
      </c>
      <c r="C131" s="70">
        <v>-6.7796610000000002E-3</v>
      </c>
      <c r="D131" s="15">
        <v>99.2</v>
      </c>
      <c r="E131" s="32">
        <f t="shared" ref="E131:E134" si="66">IF(ISNUMBER(D131), (D131 - $B131) / $B131, "")</f>
        <v>0.12855517633674626</v>
      </c>
      <c r="F131" s="18">
        <f>IF(ISNUMBER(D131), $B145 * E131, "")</f>
        <v>19283.276450511941</v>
      </c>
      <c r="G131" s="31">
        <v>90.1</v>
      </c>
      <c r="H131" s="32">
        <f t="shared" ref="H131:H134" si="67">IF(ISNUMBER(G131), (G131 - $B131) / $B131, "")</f>
        <v>2.5028441410693839E-2</v>
      </c>
      <c r="I131" s="91">
        <f>IF(ISNUMBER(G131), $B145 * H131, "")</f>
        <v>3754.2662116040756</v>
      </c>
      <c r="J131" s="15">
        <v>90.1</v>
      </c>
      <c r="K131" s="32">
        <f t="shared" ref="K131:K134" si="68">IF(ISNUMBER(J131), (J131 - $B131) / $B131, "")</f>
        <v>2.5028441410693839E-2</v>
      </c>
      <c r="L131" s="18">
        <f>IF(ISNUMBER(J131), $B145 * K131, "")</f>
        <v>3754.2662116040756</v>
      </c>
      <c r="M131" s="31">
        <v>89.6</v>
      </c>
      <c r="N131" s="32">
        <f t="shared" ref="N131:N134" si="69">IF(ISNUMBER(M131), (M131 - $B131) / $B131, "")</f>
        <v>1.9340159271899755E-2</v>
      </c>
      <c r="O131" s="18">
        <f>IF(ISNUMBER(M131), $B145 * N131, "")</f>
        <v>2901.0238907849634</v>
      </c>
      <c r="Q131" s="161"/>
      <c r="R131" s="161"/>
      <c r="S131" s="161"/>
    </row>
    <row r="132" spans="1:19" ht="17.25" thickBot="1">
      <c r="A132" s="109" t="s">
        <v>51</v>
      </c>
      <c r="B132" s="110">
        <v>98.1</v>
      </c>
      <c r="C132" s="70">
        <v>-7.0850202000000001E-3</v>
      </c>
      <c r="D132" s="15">
        <v>97.1</v>
      </c>
      <c r="E132" s="32">
        <f t="shared" si="66"/>
        <v>-1.0193679918450561E-2</v>
      </c>
      <c r="F132" s="18">
        <f>IF(ISNUMBER(D132), $B145 * E132, "")</f>
        <v>-1529.0519877675843</v>
      </c>
      <c r="G132" s="31">
        <v>97.4</v>
      </c>
      <c r="H132" s="32">
        <f t="shared" si="67"/>
        <v>-7.135575942915277E-3</v>
      </c>
      <c r="I132" s="91">
        <f>IF(ISNUMBER(G132), $B145 * H132, "")</f>
        <v>-1070.3363914372915</v>
      </c>
      <c r="J132" s="15">
        <v>97.4</v>
      </c>
      <c r="K132" s="32">
        <f t="shared" si="68"/>
        <v>-7.135575942915277E-3</v>
      </c>
      <c r="L132" s="18">
        <f>IF(ISNUMBER(J132), $B145 * K132, "")</f>
        <v>-1070.3363914372915</v>
      </c>
      <c r="M132" s="31">
        <v>97.1</v>
      </c>
      <c r="N132" s="32">
        <f t="shared" si="69"/>
        <v>-1.0193679918450561E-2</v>
      </c>
      <c r="O132" s="18">
        <f>IF(ISNUMBER(M132), $B145 * N132, "")</f>
        <v>-1529.0519877675843</v>
      </c>
      <c r="Q132" s="161"/>
      <c r="R132" s="161"/>
      <c r="S132" s="161"/>
    </row>
    <row r="133" spans="1:19" ht="17.25" thickBot="1">
      <c r="A133" s="109" t="s">
        <v>126</v>
      </c>
      <c r="B133" s="110">
        <v>23.3</v>
      </c>
      <c r="C133" s="70">
        <v>-8.5106382999999997E-3</v>
      </c>
      <c r="D133" s="15">
        <v>23.3</v>
      </c>
      <c r="E133" s="32">
        <f t="shared" si="66"/>
        <v>0</v>
      </c>
      <c r="F133" s="18">
        <f>IF(ISNUMBER(D133), $B145 * E133, "")</f>
        <v>0</v>
      </c>
      <c r="G133" s="31">
        <v>23.4</v>
      </c>
      <c r="H133" s="32">
        <f t="shared" si="67"/>
        <v>4.2918454935621398E-3</v>
      </c>
      <c r="I133" s="91">
        <f>IF(ISNUMBER(G133), $B145 * H133, "")</f>
        <v>643.77682403432095</v>
      </c>
      <c r="J133" s="15">
        <v>23.4</v>
      </c>
      <c r="K133" s="32">
        <f t="shared" si="68"/>
        <v>4.2918454935621398E-3</v>
      </c>
      <c r="L133" s="18">
        <f>IF(ISNUMBER(J133), $B145 * K133, "")</f>
        <v>643.77682403432095</v>
      </c>
      <c r="M133" s="31">
        <v>23.2</v>
      </c>
      <c r="N133" s="32">
        <f t="shared" si="69"/>
        <v>-4.2918454935622925E-3</v>
      </c>
      <c r="O133" s="18">
        <f>IF(ISNUMBER(M133), $B145 * N133, "")</f>
        <v>-643.77682403434392</v>
      </c>
      <c r="Q133" s="33"/>
      <c r="R133" s="33"/>
    </row>
    <row r="134" spans="1:19" ht="17.25" thickBot="1">
      <c r="A134" s="114" t="s">
        <v>333</v>
      </c>
      <c r="B134" s="115">
        <v>55.5</v>
      </c>
      <c r="C134" s="72">
        <v>-8.9285713999999999E-3</v>
      </c>
      <c r="D134" s="24">
        <v>55.6</v>
      </c>
      <c r="E134" s="25">
        <f t="shared" si="66"/>
        <v>1.8018018018018274E-3</v>
      </c>
      <c r="F134" s="94">
        <f>IF(ISNUMBER(D134), $B145 * E134, "")</f>
        <v>270.27027027027412</v>
      </c>
      <c r="G134" s="92">
        <v>56.3</v>
      </c>
      <c r="H134" s="25">
        <f t="shared" si="67"/>
        <v>1.4414414414414363E-2</v>
      </c>
      <c r="I134" s="93">
        <f>IF(ISNUMBER(G134), $B145 * H134, "")</f>
        <v>2162.1621621621543</v>
      </c>
      <c r="J134" s="24">
        <v>56.3</v>
      </c>
      <c r="K134" s="25">
        <f t="shared" si="68"/>
        <v>1.4414414414414363E-2</v>
      </c>
      <c r="L134" s="94">
        <f>IF(ISNUMBER(J134), $B145 * K134, "")</f>
        <v>2162.1621621621543</v>
      </c>
      <c r="M134" s="92">
        <v>56.1</v>
      </c>
      <c r="N134" s="25">
        <f t="shared" si="69"/>
        <v>1.0810810810810836E-2</v>
      </c>
      <c r="O134" s="94">
        <f>IF(ISNUMBER(M134), $B145 * N134, "")</f>
        <v>1621.6216216216253</v>
      </c>
      <c r="Q134" s="170"/>
      <c r="R134" s="171"/>
      <c r="S134" s="172"/>
    </row>
    <row r="135" spans="1:19">
      <c r="A135" s="107" t="s">
        <v>326</v>
      </c>
      <c r="B135" s="108">
        <v>21.2</v>
      </c>
      <c r="C135" s="69">
        <v>-9.3457943999999994E-3</v>
      </c>
      <c r="D135" s="13">
        <v>20.9</v>
      </c>
      <c r="E135" s="14">
        <f>IF(ISNUMBER(D135), (D135 - $B135) / $B135, "")</f>
        <v>-1.4150943396226448E-2</v>
      </c>
      <c r="F135" s="16">
        <f>IF(ISNUMBER(D135), $B145 * E135, "")</f>
        <v>-2122.6415094339673</v>
      </c>
      <c r="G135" s="29">
        <v>20.8</v>
      </c>
      <c r="H135" s="14">
        <f>IF(ISNUMBER(G135), (G135 - $B135) / $B135, "")</f>
        <v>-1.886792452830182E-2</v>
      </c>
      <c r="I135" s="90">
        <f>IF(ISNUMBER(G135), $B145 * H135, "")</f>
        <v>-2830.1886792452729</v>
      </c>
      <c r="J135" s="13">
        <v>20.8</v>
      </c>
      <c r="K135" s="14">
        <f>IF(ISNUMBER(J135), (J135 - $B135) / $B135, "")</f>
        <v>-1.886792452830182E-2</v>
      </c>
      <c r="L135" s="16">
        <f>IF(ISNUMBER(J135), $B145 * K135, "")</f>
        <v>-2830.1886792452729</v>
      </c>
      <c r="M135" s="29">
        <v>20.5</v>
      </c>
      <c r="N135" s="14">
        <f>IF(ISNUMBER(M135), (M135 - $B135) / $B135, "")</f>
        <v>-3.3018867924528267E-2</v>
      </c>
      <c r="O135" s="16">
        <f>IF(ISNUMBER(M135), $B145 * N135, "")</f>
        <v>-4952.8301886792397</v>
      </c>
      <c r="Q135" s="173"/>
      <c r="R135" s="174"/>
      <c r="S135" s="175"/>
    </row>
    <row r="136" spans="1:19" ht="17.25" thickBot="1">
      <c r="A136" s="109" t="s">
        <v>124</v>
      </c>
      <c r="B136" s="110">
        <v>29.7</v>
      </c>
      <c r="C136" s="70">
        <v>-0.01</v>
      </c>
      <c r="D136" s="15">
        <v>29.7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30</v>
      </c>
      <c r="H136" s="32">
        <f t="shared" ref="H136:H139" si="71">IF(ISNUMBER(G136), (G136 - $B136) / $B136, "")</f>
        <v>1.0101010101010124E-2</v>
      </c>
      <c r="I136" s="91">
        <f>IF(ISNUMBER(G136), $B145 * H136, "")</f>
        <v>1515.1515151515187</v>
      </c>
      <c r="J136" s="15">
        <v>30</v>
      </c>
      <c r="K136" s="32">
        <f t="shared" ref="K136:K139" si="72">IF(ISNUMBER(J136), (J136 - $B136) / $B136, "")</f>
        <v>1.0101010101010124E-2</v>
      </c>
      <c r="L136" s="18">
        <f>IF(ISNUMBER(J136), $B145 * K136, "")</f>
        <v>1515.1515151515187</v>
      </c>
      <c r="M136" s="31">
        <v>29.7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176"/>
      <c r="R136" s="177"/>
      <c r="S136" s="178"/>
    </row>
    <row r="137" spans="1:19" ht="17.25" thickBot="1">
      <c r="A137" s="109" t="s">
        <v>56</v>
      </c>
      <c r="B137" s="110">
        <v>39.200000000000003</v>
      </c>
      <c r="C137" s="70">
        <v>-1.01010101E-2</v>
      </c>
      <c r="D137" s="15">
        <v>38.700000000000003</v>
      </c>
      <c r="E137" s="32">
        <f t="shared" si="70"/>
        <v>-1.2755102040816325E-2</v>
      </c>
      <c r="F137" s="18">
        <f>IF(ISNUMBER(D137), $B145 * E137, "")</f>
        <v>-1913.2653061224487</v>
      </c>
      <c r="G137" s="31">
        <v>39.200000000000003</v>
      </c>
      <c r="H137" s="32">
        <f t="shared" si="71"/>
        <v>0</v>
      </c>
      <c r="I137" s="91">
        <f>IF(ISNUMBER(G137), $B145 * H137, "")</f>
        <v>0</v>
      </c>
      <c r="J137" s="15">
        <v>39.200000000000003</v>
      </c>
      <c r="K137" s="32">
        <f t="shared" si="72"/>
        <v>0</v>
      </c>
      <c r="L137" s="18">
        <f>IF(ISNUMBER(J137), $B145 * K137, "")</f>
        <v>0</v>
      </c>
      <c r="M137" s="31">
        <v>39.1</v>
      </c>
      <c r="N137" s="32">
        <f t="shared" si="73"/>
        <v>-2.5510204081633015E-3</v>
      </c>
      <c r="O137" s="18">
        <f>IF(ISNUMBER(M137), $B145 * N137, "")</f>
        <v>-382.65306122449522</v>
      </c>
      <c r="Q137" s="161"/>
      <c r="R137" s="161"/>
      <c r="S137" s="161"/>
    </row>
    <row r="138" spans="1:19" ht="17.25" thickBot="1">
      <c r="A138" s="109" t="s">
        <v>107</v>
      </c>
      <c r="B138" s="110">
        <v>35.799999999999997</v>
      </c>
      <c r="C138" s="70">
        <v>-1.1049723799999999E-2</v>
      </c>
      <c r="D138" s="15">
        <v>37.799999999999997</v>
      </c>
      <c r="E138" s="32">
        <f t="shared" si="70"/>
        <v>5.5865921787709501E-2</v>
      </c>
      <c r="F138" s="18">
        <f>IF(ISNUMBER(D138), $B145 * E138, "")</f>
        <v>8379.8882681564246</v>
      </c>
      <c r="G138" s="31">
        <v>37.200000000000003</v>
      </c>
      <c r="H138" s="32">
        <f t="shared" si="71"/>
        <v>3.9106145251396808E-2</v>
      </c>
      <c r="I138" s="91">
        <f>IF(ISNUMBER(G138), $B145 * H138, "")</f>
        <v>5865.9217877095216</v>
      </c>
      <c r="J138" s="15">
        <v>37.200000000000003</v>
      </c>
      <c r="K138" s="32">
        <f t="shared" si="72"/>
        <v>3.9106145251396808E-2</v>
      </c>
      <c r="L138" s="18">
        <f>IF(ISNUMBER(J138), $B145 * K138, "")</f>
        <v>5865.9217877095216</v>
      </c>
      <c r="M138" s="31">
        <v>36.799999999999997</v>
      </c>
      <c r="N138" s="32">
        <f t="shared" si="73"/>
        <v>2.793296089385475E-2</v>
      </c>
      <c r="O138" s="18">
        <f>IF(ISNUMBER(M138), $B145 * N138, "")</f>
        <v>4189.9441340782123</v>
      </c>
      <c r="Q138" s="156"/>
      <c r="R138" s="156"/>
      <c r="S138" s="156"/>
    </row>
    <row r="139" spans="1:19" ht="17.25" thickBot="1">
      <c r="A139" s="111" t="s">
        <v>335</v>
      </c>
      <c r="B139" s="112">
        <v>3.1199999999999999E-2</v>
      </c>
      <c r="C139" s="71">
        <v>-1.57728707E-2</v>
      </c>
      <c r="D139" s="20">
        <v>3.0800000000000001E-2</v>
      </c>
      <c r="E139" s="21">
        <f t="shared" si="70"/>
        <v>-1.2820512820512744E-2</v>
      </c>
      <c r="F139" s="22">
        <f>IF(ISNUMBER(D139), $B145 * E139, "")</f>
        <v>-1923.0769230769115</v>
      </c>
      <c r="G139" s="30">
        <v>3.09E-2</v>
      </c>
      <c r="H139" s="21">
        <f t="shared" si="71"/>
        <v>-9.6153846153845569E-3</v>
      </c>
      <c r="I139" s="95">
        <f>IF(ISNUMBER(G139), $B145 * H139, "")</f>
        <v>-1442.3076923076835</v>
      </c>
      <c r="J139" s="20">
        <v>3.09E-2</v>
      </c>
      <c r="K139" s="21">
        <f t="shared" si="72"/>
        <v>-9.6153846153845569E-3</v>
      </c>
      <c r="L139" s="22">
        <f>IF(ISNUMBER(J139), $B145 * K139, "")</f>
        <v>-1442.3076923076835</v>
      </c>
      <c r="M139" s="30">
        <v>3.0599999999999999E-2</v>
      </c>
      <c r="N139" s="21">
        <f t="shared" si="73"/>
        <v>-1.9230769230769225E-2</v>
      </c>
      <c r="O139" s="22">
        <f>IF(ISNUMBER(M139), $B145 * N139, "")</f>
        <v>-2884.6153846153838</v>
      </c>
      <c r="Q139" s="156"/>
      <c r="R139" s="156"/>
      <c r="S139" s="156"/>
    </row>
    <row r="140" spans="1:19" ht="17.25" thickBot="1">
      <c r="A140" s="109" t="s">
        <v>256</v>
      </c>
      <c r="B140" s="113">
        <v>95.8</v>
      </c>
      <c r="C140" s="73">
        <v>-1.64271047E-2</v>
      </c>
      <c r="D140" s="96">
        <v>95.2</v>
      </c>
      <c r="E140" s="97">
        <f>IF(ISNUMBER(D140), (D140 - $B140) / $B140, "")</f>
        <v>-6.2630480167014026E-3</v>
      </c>
      <c r="F140" s="98">
        <f>IF(ISNUMBER(D140), $B145 * E140, "")</f>
        <v>-939.45720250521038</v>
      </c>
      <c r="G140" s="99">
        <v>99.1</v>
      </c>
      <c r="H140" s="97">
        <f>IF(ISNUMBER(G140), (G140 - $B140) / $B140, "")</f>
        <v>3.4446764091858012E-2</v>
      </c>
      <c r="I140" s="100">
        <f>IF(ISNUMBER(G140), $B145 * H140, "")</f>
        <v>5167.0146137787015</v>
      </c>
      <c r="J140" s="96">
        <v>99.1</v>
      </c>
      <c r="K140" s="97">
        <f>IF(ISNUMBER(J140), (J140 - $B140) / $B140, "")</f>
        <v>3.4446764091858012E-2</v>
      </c>
      <c r="L140" s="98">
        <f>IF(ISNUMBER(J140), $B145 * K140, "")</f>
        <v>5167.0146137787015</v>
      </c>
      <c r="M140" s="99">
        <v>98.3</v>
      </c>
      <c r="N140" s="97">
        <f>IF(ISNUMBER(M140), (M140 - $B140) / $B140, "")</f>
        <v>2.6096033402922755E-2</v>
      </c>
      <c r="O140" s="98">
        <f>IF(ISNUMBER(M140), $B145 * N140, "")</f>
        <v>3914.4050104384132</v>
      </c>
      <c r="Q140" s="161"/>
      <c r="R140" s="161"/>
      <c r="S140" s="161"/>
    </row>
    <row r="141" spans="1:19" ht="17.25" thickBot="1">
      <c r="A141" s="109" t="s">
        <v>191</v>
      </c>
      <c r="B141" s="110">
        <v>51.2</v>
      </c>
      <c r="C141" s="70">
        <v>-1.9157088100000001E-2</v>
      </c>
      <c r="D141" s="15">
        <v>52</v>
      </c>
      <c r="E141" s="32">
        <f t="shared" ref="E141:E144" si="74">IF(ISNUMBER(D141), (D141 - $B141) / $B141, "")</f>
        <v>1.5624999999999944E-2</v>
      </c>
      <c r="F141" s="18">
        <f>IF(ISNUMBER(D141), $B145 * E141, "")</f>
        <v>2343.7499999999918</v>
      </c>
      <c r="G141" s="31">
        <v>50.1</v>
      </c>
      <c r="H141" s="32">
        <f t="shared" ref="H141:H144" si="75">IF(ISNUMBER(G141), (G141 - $B141) / $B141, "")</f>
        <v>-2.1484375000000028E-2</v>
      </c>
      <c r="I141" s="91">
        <f>IF(ISNUMBER(G141), $B145 * H141, "")</f>
        <v>-3222.6562500000041</v>
      </c>
      <c r="J141" s="15">
        <v>50.1</v>
      </c>
      <c r="K141" s="32">
        <f t="shared" ref="K141:K144" si="76">IF(ISNUMBER(J141), (J141 - $B141) / $B141, "")</f>
        <v>-2.1484375000000028E-2</v>
      </c>
      <c r="L141" s="18">
        <f>IF(ISNUMBER(J141), $B145 * K141, "")</f>
        <v>-3222.6562500000041</v>
      </c>
      <c r="M141" s="31">
        <v>50.2</v>
      </c>
      <c r="N141" s="32">
        <f t="shared" ref="N141:N144" si="77">IF(ISNUMBER(M141), (M141 - $B141) / $B141, "")</f>
        <v>-1.953125E-2</v>
      </c>
      <c r="O141" s="18">
        <f>IF(ISNUMBER(M141), $B145 * N141, "")</f>
        <v>-2929.6875</v>
      </c>
      <c r="Q141" s="161"/>
      <c r="R141" s="161"/>
      <c r="S141" s="161"/>
    </row>
    <row r="142" spans="1:19" ht="17.25" thickBot="1">
      <c r="A142" s="109" t="s">
        <v>350</v>
      </c>
      <c r="B142" s="110">
        <v>6.39</v>
      </c>
      <c r="C142" s="70">
        <v>-2.44274809E-2</v>
      </c>
      <c r="D142" s="15">
        <v>6.23</v>
      </c>
      <c r="E142" s="32">
        <f t="shared" si="74"/>
        <v>-2.5039123630672813E-2</v>
      </c>
      <c r="F142" s="18">
        <f>IF(ISNUMBER(D142), $B145 * E142, "")</f>
        <v>-3755.8685446009217</v>
      </c>
      <c r="G142" s="31">
        <v>6.18</v>
      </c>
      <c r="H142" s="32">
        <f t="shared" si="75"/>
        <v>-3.2863849765258211E-2</v>
      </c>
      <c r="I142" s="91">
        <f>IF(ISNUMBER(G142), $B145 * H142, "")</f>
        <v>-4929.577464788732</v>
      </c>
      <c r="J142" s="15">
        <v>6.18</v>
      </c>
      <c r="K142" s="32">
        <f t="shared" si="76"/>
        <v>-3.2863849765258211E-2</v>
      </c>
      <c r="L142" s="18">
        <f>IF(ISNUMBER(J142), $B145 * K142, "")</f>
        <v>-4929.577464788732</v>
      </c>
      <c r="M142" s="31">
        <v>6.15</v>
      </c>
      <c r="N142" s="32">
        <f t="shared" si="77"/>
        <v>-3.7558685446009286E-2</v>
      </c>
      <c r="O142" s="18">
        <f>IF(ISNUMBER(M142), $B145 * N142, "")</f>
        <v>-5633.8028169013933</v>
      </c>
      <c r="Q142" s="161"/>
      <c r="R142" s="161"/>
      <c r="S142" s="161"/>
    </row>
    <row r="143" spans="1:19">
      <c r="A143" s="109" t="s">
        <v>138</v>
      </c>
      <c r="B143" s="110">
        <v>22.8</v>
      </c>
      <c r="C143" s="70">
        <v>-2.5641025599999999E-2</v>
      </c>
      <c r="D143" s="15">
        <v>22.7</v>
      </c>
      <c r="E143" s="32">
        <f t="shared" si="74"/>
        <v>-4.385964912280764E-3</v>
      </c>
      <c r="F143" s="18">
        <f>IF(ISNUMBER(D143), $B145 * E143, "")</f>
        <v>-657.89473684211464</v>
      </c>
      <c r="G143" s="31">
        <v>22.6</v>
      </c>
      <c r="H143" s="32">
        <f t="shared" si="75"/>
        <v>-8.7719298245613718E-3</v>
      </c>
      <c r="I143" s="91">
        <f>IF(ISNUMBER(G143), $B145 * H143, "")</f>
        <v>-1315.7894736842059</v>
      </c>
      <c r="J143" s="15">
        <v>22.6</v>
      </c>
      <c r="K143" s="32">
        <f t="shared" si="76"/>
        <v>-8.7719298245613718E-3</v>
      </c>
      <c r="L143" s="18">
        <f>IF(ISNUMBER(J143), $B145 * K143, "")</f>
        <v>-1315.7894736842059</v>
      </c>
      <c r="M143" s="31">
        <v>22.5</v>
      </c>
      <c r="N143" s="32">
        <f t="shared" si="77"/>
        <v>-1.3157894736842136E-2</v>
      </c>
      <c r="O143" s="18">
        <f>IF(ISNUMBER(M143), $B145 * N143, "")</f>
        <v>-1973.6842105263204</v>
      </c>
      <c r="Q143" s="183"/>
      <c r="R143" s="184"/>
      <c r="S143" s="185"/>
    </row>
    <row r="144" spans="1:19" ht="17.25" thickBot="1">
      <c r="A144" s="114" t="s">
        <v>208</v>
      </c>
      <c r="B144" s="115">
        <v>94</v>
      </c>
      <c r="C144" s="72">
        <v>-5.6224899600000003E-2</v>
      </c>
      <c r="D144" s="24">
        <v>92.3</v>
      </c>
      <c r="E144" s="25">
        <f t="shared" si="74"/>
        <v>-1.8085106382978753E-2</v>
      </c>
      <c r="F144" s="94">
        <f>IF(ISNUMBER(D144), $B145 * E144, "")</f>
        <v>-2712.765957446813</v>
      </c>
      <c r="G144" s="92">
        <v>91.2</v>
      </c>
      <c r="H144" s="25">
        <f t="shared" si="75"/>
        <v>-2.9787234042553162E-2</v>
      </c>
      <c r="I144" s="93">
        <f>IF(ISNUMBER(G144), $B145 * H144, "")</f>
        <v>-4468.0851063829741</v>
      </c>
      <c r="J144" s="24">
        <v>91.2</v>
      </c>
      <c r="K144" s="25">
        <f t="shared" si="76"/>
        <v>-2.9787234042553162E-2</v>
      </c>
      <c r="L144" s="94">
        <f>IF(ISNUMBER(J144), $B145 * K144, "")</f>
        <v>-4468.0851063829741</v>
      </c>
      <c r="M144" s="92">
        <v>90.8</v>
      </c>
      <c r="N144" s="25">
        <f t="shared" si="77"/>
        <v>-3.404255319148939E-2</v>
      </c>
      <c r="O144" s="94">
        <f>IF(ISNUMBER(M144), $B145 * N144, "")</f>
        <v>-5106.3829787234081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5.18560661311068E-3</v>
      </c>
      <c r="F145" s="28">
        <f>SUM(F125:F144)</f>
        <v>15556.819839332049</v>
      </c>
      <c r="G145" s="26" t="s">
        <v>261</v>
      </c>
      <c r="H145" s="27">
        <f>IF(COUNT(H125:H144), SUM(H125:H144) / COUNT(H125:H144), 0)</f>
        <v>-1.5417827593410642E-3</v>
      </c>
      <c r="I145" s="28">
        <f>SUM(I125:I144)</f>
        <v>-4625.3482780231916</v>
      </c>
      <c r="J145" s="26" t="s">
        <v>261</v>
      </c>
      <c r="K145" s="27">
        <f>IF(COUNT(K125:K144), SUM(K125:K144) / COUNT(K125:K144), 0)</f>
        <v>-1.5417827593410642E-3</v>
      </c>
      <c r="L145" s="28">
        <f>SUM(L125:L144)</f>
        <v>-4625.3482780231916</v>
      </c>
      <c r="M145" s="26" t="s">
        <v>261</v>
      </c>
      <c r="N145" s="27">
        <f>IF(COUNT(N125:N144), SUM(N125:N144) / COUNT(N125:N144), 0)</f>
        <v>-9.2369727687542976E-3</v>
      </c>
      <c r="O145" s="28">
        <f>SUM(O125:O144)</f>
        <v>-27710.918306262894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2022-12-22(목) 오전 00:00</v>
      </c>
      <c r="C150" s="199"/>
      <c r="D150" s="158" t="str">
        <f>TEXT($G$1, "[$-ko-KR]yyyy-mm-dd(ddd) ") &amp; "오후 14:00"</f>
        <v>2022-12-22(목) 오후 14:00</v>
      </c>
      <c r="E150" s="159"/>
      <c r="F150" s="160"/>
      <c r="G150" s="158" t="str">
        <f>TEXT($G$1, "[$-ko-KR]yyyy-mm-dd(ddd) ") &amp; "오후 19:00"</f>
        <v>2022-12-22(목) 오후 19:00</v>
      </c>
      <c r="H150" s="159"/>
      <c r="I150" s="160"/>
      <c r="J150" s="158" t="str">
        <f>TEXT($G$1, "[$-ko-KR]yyyy-mm-dd(ddd) ") &amp; "오후 21:00"</f>
        <v>2022-12-22(목) 오후 21:00</v>
      </c>
      <c r="K150" s="159"/>
      <c r="L150" s="160"/>
      <c r="M150" s="158" t="str">
        <f>TEXT($G$1+1, "[$-ko-KR]yyyy-mm-dd(ddd) ") &amp; "오전 00:00"</f>
        <v>2022-12-23(금)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340</v>
      </c>
      <c r="B152" s="108">
        <v>521</v>
      </c>
      <c r="C152" s="69">
        <v>-9.5057033999999992E-3</v>
      </c>
      <c r="D152" s="13">
        <v>515</v>
      </c>
      <c r="E152" s="14">
        <f>IF(ISNUMBER(D152), (D152 - $B152) / $B152, "")</f>
        <v>-1.1516314779270634E-2</v>
      </c>
      <c r="F152" s="16">
        <f>IF(ISNUMBER(D152), $B172 * E152, "")</f>
        <v>-1727.447216890595</v>
      </c>
      <c r="G152" s="29">
        <v>519</v>
      </c>
      <c r="H152" s="14">
        <f>IF(ISNUMBER(G152), (G152 - $B152) / $B152, "")</f>
        <v>-3.838771593090211E-3</v>
      </c>
      <c r="I152" s="90">
        <f>IF(ISNUMBER(G152), $B172 * H152, "")</f>
        <v>-575.81573896353166</v>
      </c>
      <c r="J152" s="13">
        <v>519</v>
      </c>
      <c r="K152" s="14">
        <f>IF(ISNUMBER(J152), (J152 - $B152) / $B152, "")</f>
        <v>-3.838771593090211E-3</v>
      </c>
      <c r="L152" s="16">
        <f>IF(ISNUMBER(J152), $B172 * K152, "")</f>
        <v>-575.81573896353166</v>
      </c>
      <c r="M152" s="29">
        <v>516</v>
      </c>
      <c r="N152" s="14">
        <f>IF(ISNUMBER(M152), (M152 - $B152) / $B152, "")</f>
        <v>-9.5969289827255271E-3</v>
      </c>
      <c r="O152" s="16">
        <f>IF(ISNUMBER(M152), $B172 * N152, "")</f>
        <v>-1439.5393474088291</v>
      </c>
      <c r="Q152" s="156"/>
      <c r="R152" s="156"/>
      <c r="S152" s="156"/>
    </row>
    <row r="153" spans="1:19" ht="17.25" thickBot="1">
      <c r="A153" s="109" t="s">
        <v>226</v>
      </c>
      <c r="B153" s="110">
        <v>206</v>
      </c>
      <c r="C153" s="70">
        <v>-9.6153846000000005E-3</v>
      </c>
      <c r="D153" s="15">
        <v>206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206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206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203</v>
      </c>
      <c r="N153" s="32">
        <f t="shared" ref="N153:N156" si="81">IF(ISNUMBER(M153), (M153 - $B153) / $B153, "")</f>
        <v>-1.4563106796116505E-2</v>
      </c>
      <c r="O153" s="18">
        <f>IF(ISNUMBER(M153), $B172 * N153, "")</f>
        <v>-2184.4660194174758</v>
      </c>
      <c r="Q153" s="156"/>
      <c r="R153" s="156"/>
      <c r="S153" s="156"/>
    </row>
    <row r="154" spans="1:19" ht="17.25" thickBot="1">
      <c r="A154" s="109" t="s">
        <v>234</v>
      </c>
      <c r="B154" s="110">
        <v>342</v>
      </c>
      <c r="C154" s="70">
        <v>-1.15606936E-2</v>
      </c>
      <c r="D154" s="15">
        <v>337</v>
      </c>
      <c r="E154" s="32">
        <f t="shared" si="78"/>
        <v>-1.4619883040935672E-2</v>
      </c>
      <c r="F154" s="18">
        <f>IF(ISNUMBER(D154), $B172 * E154, "")</f>
        <v>-2192.9824561403507</v>
      </c>
      <c r="G154" s="31">
        <v>336</v>
      </c>
      <c r="H154" s="32">
        <f t="shared" si="79"/>
        <v>-1.7543859649122806E-2</v>
      </c>
      <c r="I154" s="91">
        <f>IF(ISNUMBER(G154), $B172 * H154, "")</f>
        <v>-2631.5789473684208</v>
      </c>
      <c r="J154" s="15">
        <v>336</v>
      </c>
      <c r="K154" s="32">
        <f t="shared" si="80"/>
        <v>-1.7543859649122806E-2</v>
      </c>
      <c r="L154" s="18">
        <f>IF(ISNUMBER(J154), $B172 * K154, "")</f>
        <v>-2631.5789473684208</v>
      </c>
      <c r="M154" s="31">
        <v>329</v>
      </c>
      <c r="N154" s="32">
        <f t="shared" si="81"/>
        <v>-3.8011695906432746E-2</v>
      </c>
      <c r="O154" s="18">
        <f>IF(ISNUMBER(M154), $B172 * N154, "")</f>
        <v>-5701.7543859649122</v>
      </c>
      <c r="Q154" s="161"/>
      <c r="R154" s="161"/>
      <c r="S154" s="161"/>
    </row>
    <row r="155" spans="1:19" ht="17.25" thickBot="1">
      <c r="A155" s="109" t="s">
        <v>238</v>
      </c>
      <c r="B155" s="110">
        <v>558</v>
      </c>
      <c r="C155" s="70">
        <v>-1.23893805E-2</v>
      </c>
      <c r="D155" s="15">
        <v>554</v>
      </c>
      <c r="E155" s="32">
        <f t="shared" si="78"/>
        <v>-7.1684587813620072E-3</v>
      </c>
      <c r="F155" s="18">
        <f>IF(ISNUMBER(D155), $B172 * E155, "")</f>
        <v>-1075.2688172043011</v>
      </c>
      <c r="G155" s="31">
        <v>552</v>
      </c>
      <c r="H155" s="32">
        <f t="shared" si="79"/>
        <v>-1.0752688172043012E-2</v>
      </c>
      <c r="I155" s="91">
        <f>IF(ISNUMBER(G155), $B172 * H155, "")</f>
        <v>-1612.9032258064517</v>
      </c>
      <c r="J155" s="15">
        <v>552</v>
      </c>
      <c r="K155" s="32">
        <f t="shared" si="80"/>
        <v>-1.0752688172043012E-2</v>
      </c>
      <c r="L155" s="18">
        <f>IF(ISNUMBER(J155), $B172 * K155, "")</f>
        <v>-1612.9032258064517</v>
      </c>
      <c r="M155" s="31">
        <v>546</v>
      </c>
      <c r="N155" s="32">
        <f t="shared" si="81"/>
        <v>-2.1505376344086023E-2</v>
      </c>
      <c r="O155" s="18">
        <f>IF(ISNUMBER(M155), $B172 * N155, "")</f>
        <v>-3225.8064516129034</v>
      </c>
      <c r="Q155" s="161"/>
      <c r="R155" s="161"/>
      <c r="S155" s="161"/>
    </row>
    <row r="156" spans="1:19" ht="17.25" thickBot="1">
      <c r="A156" s="111" t="s">
        <v>66</v>
      </c>
      <c r="B156" s="112">
        <v>661</v>
      </c>
      <c r="C156" s="71">
        <v>-1.3432835799999999E-2</v>
      </c>
      <c r="D156" s="20">
        <v>657</v>
      </c>
      <c r="E156" s="21">
        <f t="shared" si="78"/>
        <v>-6.0514372163388806E-3</v>
      </c>
      <c r="F156" s="22">
        <f>IF(ISNUMBER(D156), $B172 * E156, "")</f>
        <v>-907.71558245083213</v>
      </c>
      <c r="G156" s="30">
        <v>657</v>
      </c>
      <c r="H156" s="21">
        <f t="shared" si="79"/>
        <v>-6.0514372163388806E-3</v>
      </c>
      <c r="I156" s="95">
        <f>IF(ISNUMBER(G156), $B172 * H156, "")</f>
        <v>-907.71558245083213</v>
      </c>
      <c r="J156" s="20">
        <v>657</v>
      </c>
      <c r="K156" s="21">
        <f t="shared" si="80"/>
        <v>-6.0514372163388806E-3</v>
      </c>
      <c r="L156" s="22">
        <f>IF(ISNUMBER(J156), $B172 * K156, "")</f>
        <v>-907.71558245083213</v>
      </c>
      <c r="M156" s="30">
        <v>648</v>
      </c>
      <c r="N156" s="21">
        <f t="shared" si="81"/>
        <v>-1.9667170953101363E-2</v>
      </c>
      <c r="O156" s="22">
        <f>IF(ISNUMBER(M156), $B172 * N156, "")</f>
        <v>-2950.0756429652042</v>
      </c>
      <c r="Q156" s="161"/>
      <c r="R156" s="161"/>
      <c r="S156" s="161"/>
    </row>
    <row r="157" spans="1:19" ht="17.25" thickBot="1">
      <c r="A157" s="109" t="s">
        <v>204</v>
      </c>
      <c r="B157" s="113">
        <v>212</v>
      </c>
      <c r="C157" s="73">
        <v>-1.39534884E-2</v>
      </c>
      <c r="D157" s="96">
        <v>208</v>
      </c>
      <c r="E157" s="97">
        <f>IF(ISNUMBER(D157), (D157 - $B157) / $B157, "")</f>
        <v>-1.8867924528301886E-2</v>
      </c>
      <c r="F157" s="98">
        <f>IF(ISNUMBER(D157), $B172 * E157, "")</f>
        <v>-2830.1886792452829</v>
      </c>
      <c r="G157" s="99">
        <v>209</v>
      </c>
      <c r="H157" s="97">
        <f>IF(ISNUMBER(G157), (G157 - $B157) / $B157, "")</f>
        <v>-1.4150943396226415E-2</v>
      </c>
      <c r="I157" s="100">
        <f>IF(ISNUMBER(G157), $B172 * H157, "")</f>
        <v>-2122.6415094339623</v>
      </c>
      <c r="J157" s="96">
        <v>209</v>
      </c>
      <c r="K157" s="97">
        <f>IF(ISNUMBER(J157), (J157 - $B157) / $B157, "")</f>
        <v>-1.4150943396226415E-2</v>
      </c>
      <c r="L157" s="98">
        <f>IF(ISNUMBER(J157), $B172 * K157, "")</f>
        <v>-2122.6415094339623</v>
      </c>
      <c r="M157" s="99">
        <v>206</v>
      </c>
      <c r="N157" s="97">
        <f>IF(ISNUMBER(M157), (M157 - $B157) / $B157, "")</f>
        <v>-2.8301886792452831E-2</v>
      </c>
      <c r="O157" s="98">
        <f>IF(ISNUMBER(M157), $B172 * N157, "")</f>
        <v>-4245.2830188679245</v>
      </c>
      <c r="Q157" s="161"/>
      <c r="R157" s="161"/>
      <c r="S157" s="161"/>
    </row>
    <row r="158" spans="1:19" ht="17.25" thickBot="1">
      <c r="A158" s="109" t="s">
        <v>337</v>
      </c>
      <c r="B158" s="110">
        <v>272</v>
      </c>
      <c r="C158" s="70">
        <v>-1.44927536E-2</v>
      </c>
      <c r="D158" s="15">
        <v>273</v>
      </c>
      <c r="E158" s="32">
        <f t="shared" ref="E158:E161" si="82">IF(ISNUMBER(D158), (D158 - $B158) / $B158, "")</f>
        <v>3.6764705882352941E-3</v>
      </c>
      <c r="F158" s="18">
        <f>IF(ISNUMBER(D158), $B172 * E158, "")</f>
        <v>551.47058823529414</v>
      </c>
      <c r="G158" s="31">
        <v>277</v>
      </c>
      <c r="H158" s="32">
        <f t="shared" ref="H158:H161" si="83">IF(ISNUMBER(G158), (G158 - $B158) / $B158, "")</f>
        <v>1.8382352941176471E-2</v>
      </c>
      <c r="I158" s="91">
        <f>IF(ISNUMBER(G158), $B172 * H158, "")</f>
        <v>2757.3529411764707</v>
      </c>
      <c r="J158" s="15">
        <v>277</v>
      </c>
      <c r="K158" s="32">
        <f t="shared" ref="K158:K161" si="84">IF(ISNUMBER(J158), (J158 - $B158) / $B158, "")</f>
        <v>1.8382352941176471E-2</v>
      </c>
      <c r="L158" s="18">
        <f>IF(ISNUMBER(J158), $B172 * K158, "")</f>
        <v>2757.3529411764707</v>
      </c>
      <c r="M158" s="31">
        <v>274</v>
      </c>
      <c r="N158" s="32">
        <f t="shared" ref="N158:N161" si="85">IF(ISNUMBER(M158), (M158 - $B158) / $B158, "")</f>
        <v>7.3529411764705881E-3</v>
      </c>
      <c r="O158" s="18">
        <f>IF(ISNUMBER(M158), $B172 * N158, "")</f>
        <v>1102.9411764705883</v>
      </c>
      <c r="Q158" s="161"/>
      <c r="R158" s="161"/>
      <c r="S158" s="161"/>
    </row>
    <row r="159" spans="1:19" ht="17.25" thickBot="1">
      <c r="A159" s="109" t="s">
        <v>89</v>
      </c>
      <c r="B159" s="110">
        <v>448</v>
      </c>
      <c r="C159" s="70">
        <v>-1.5384615399999999E-2</v>
      </c>
      <c r="D159" s="15">
        <v>446</v>
      </c>
      <c r="E159" s="32">
        <f t="shared" si="82"/>
        <v>-4.464285714285714E-3</v>
      </c>
      <c r="F159" s="18">
        <f>IF(ISNUMBER(D159), $B172 * E159, "")</f>
        <v>-669.64285714285711</v>
      </c>
      <c r="G159" s="31">
        <v>450</v>
      </c>
      <c r="H159" s="32">
        <f t="shared" si="83"/>
        <v>4.464285714285714E-3</v>
      </c>
      <c r="I159" s="91">
        <f>IF(ISNUMBER(G159), $B172 * H159, "")</f>
        <v>669.64285714285711</v>
      </c>
      <c r="J159" s="15">
        <v>450</v>
      </c>
      <c r="K159" s="32">
        <f t="shared" si="84"/>
        <v>4.464285714285714E-3</v>
      </c>
      <c r="L159" s="18">
        <f>IF(ISNUMBER(J159), $B172 * K159, "")</f>
        <v>669.64285714285711</v>
      </c>
      <c r="M159" s="31">
        <v>447</v>
      </c>
      <c r="N159" s="32">
        <f t="shared" si="85"/>
        <v>-2.232142857142857E-3</v>
      </c>
      <c r="O159" s="18">
        <f>IF(ISNUMBER(M159), $B172 * N159, "")</f>
        <v>-334.82142857142856</v>
      </c>
      <c r="Q159" s="161"/>
      <c r="R159" s="161"/>
      <c r="S159" s="161"/>
    </row>
    <row r="160" spans="1:19" ht="17.25" thickBot="1">
      <c r="A160" s="109" t="s">
        <v>342</v>
      </c>
      <c r="B160" s="110">
        <v>118</v>
      </c>
      <c r="C160" s="70">
        <v>-1.6666666699999999E-2</v>
      </c>
      <c r="D160" s="15">
        <v>118</v>
      </c>
      <c r="E160" s="32">
        <f t="shared" si="82"/>
        <v>0</v>
      </c>
      <c r="F160" s="18">
        <f>IF(ISNUMBER(D160), $B172 * E160, "")</f>
        <v>0</v>
      </c>
      <c r="G160" s="31">
        <v>118</v>
      </c>
      <c r="H160" s="32">
        <f t="shared" si="83"/>
        <v>0</v>
      </c>
      <c r="I160" s="91">
        <f>IF(ISNUMBER(G160), $B172 * H160, "")</f>
        <v>0</v>
      </c>
      <c r="J160" s="15">
        <v>118</v>
      </c>
      <c r="K160" s="32">
        <f t="shared" si="84"/>
        <v>0</v>
      </c>
      <c r="L160" s="18">
        <f>IF(ISNUMBER(J160), $B172 * K160, "")</f>
        <v>0</v>
      </c>
      <c r="M160" s="31">
        <v>117</v>
      </c>
      <c r="N160" s="32">
        <f t="shared" si="85"/>
        <v>-8.4745762711864406E-3</v>
      </c>
      <c r="O160" s="18">
        <f>IF(ISNUMBER(M160), $B172 * N160, "")</f>
        <v>-1271.1864406779662</v>
      </c>
      <c r="Q160" s="33"/>
      <c r="R160" s="33"/>
    </row>
    <row r="161" spans="1:19" ht="17.25" thickBot="1">
      <c r="A161" s="114" t="s">
        <v>120</v>
      </c>
      <c r="B161" s="115">
        <v>112</v>
      </c>
      <c r="C161" s="72">
        <v>-1.75438596E-2</v>
      </c>
      <c r="D161" s="24">
        <v>113</v>
      </c>
      <c r="E161" s="25">
        <f t="shared" si="82"/>
        <v>8.9285714285714281E-3</v>
      </c>
      <c r="F161" s="94">
        <f>IF(ISNUMBER(D161), $B172 * E161, "")</f>
        <v>1339.2857142857142</v>
      </c>
      <c r="G161" s="92">
        <v>112</v>
      </c>
      <c r="H161" s="25">
        <f t="shared" si="83"/>
        <v>0</v>
      </c>
      <c r="I161" s="93">
        <f>IF(ISNUMBER(G161), $B172 * H161, "")</f>
        <v>0</v>
      </c>
      <c r="J161" s="24">
        <v>112</v>
      </c>
      <c r="K161" s="25">
        <f t="shared" si="84"/>
        <v>0</v>
      </c>
      <c r="L161" s="94">
        <f>IF(ISNUMBER(J161), $B172 * K161, "")</f>
        <v>0</v>
      </c>
      <c r="M161" s="92">
        <v>111</v>
      </c>
      <c r="N161" s="25">
        <f t="shared" si="85"/>
        <v>-8.9285714285714281E-3</v>
      </c>
      <c r="O161" s="94">
        <f>IF(ISNUMBER(M161), $B172 * N161, "")</f>
        <v>-1339.2857142857142</v>
      </c>
      <c r="Q161" s="170"/>
      <c r="R161" s="171"/>
      <c r="S161" s="172"/>
    </row>
    <row r="162" spans="1:19">
      <c r="A162" s="107" t="s">
        <v>189</v>
      </c>
      <c r="B162" s="108">
        <v>997</v>
      </c>
      <c r="C162" s="69">
        <v>-1.7733990099999999E-2</v>
      </c>
      <c r="D162" s="13">
        <v>992</v>
      </c>
      <c r="E162" s="14">
        <f>IF(ISNUMBER(D162), (D162 - $B162) / $B162, "")</f>
        <v>-5.0150451354062184E-3</v>
      </c>
      <c r="F162" s="16">
        <f>IF(ISNUMBER(D162), $B172 * E162, "")</f>
        <v>-752.25677031093278</v>
      </c>
      <c r="G162" s="29">
        <v>992</v>
      </c>
      <c r="H162" s="14">
        <f>IF(ISNUMBER(G162), (G162 - $B162) / $B162, "")</f>
        <v>-5.0150451354062184E-3</v>
      </c>
      <c r="I162" s="90">
        <f>IF(ISNUMBER(G162), $B172 * H162, "")</f>
        <v>-752.25677031093278</v>
      </c>
      <c r="J162" s="13">
        <v>992</v>
      </c>
      <c r="K162" s="14">
        <f>IF(ISNUMBER(J162), (J162 - $B162) / $B162, "")</f>
        <v>-5.0150451354062184E-3</v>
      </c>
      <c r="L162" s="16">
        <f>IF(ISNUMBER(J162), $B172 * K162, "")</f>
        <v>-752.25677031093278</v>
      </c>
      <c r="M162" s="29">
        <v>984</v>
      </c>
      <c r="N162" s="14">
        <f>IF(ISNUMBER(M162), (M162 - $B162) / $B162, "")</f>
        <v>-1.3039117352056168E-2</v>
      </c>
      <c r="O162" s="16">
        <f>IF(ISNUMBER(M162), $B172 * N162, "")</f>
        <v>-1955.8676028084253</v>
      </c>
      <c r="Q162" s="173"/>
      <c r="R162" s="174"/>
      <c r="S162" s="175"/>
    </row>
    <row r="163" spans="1:19" ht="17.25" thickBot="1">
      <c r="A163" s="109" t="s">
        <v>60</v>
      </c>
      <c r="B163" s="110">
        <v>401</v>
      </c>
      <c r="C163" s="70">
        <v>-1.95599022E-2</v>
      </c>
      <c r="D163" s="15">
        <v>398</v>
      </c>
      <c r="E163" s="32">
        <f t="shared" ref="E163:E166" si="86">IF(ISNUMBER(D163), (D163 - $B163) / $B163, "")</f>
        <v>-7.481296758104738E-3</v>
      </c>
      <c r="F163" s="18">
        <f>IF(ISNUMBER(D163), $B172 * E163, "")</f>
        <v>-1122.1945137157106</v>
      </c>
      <c r="G163" s="31">
        <v>397</v>
      </c>
      <c r="H163" s="32">
        <f t="shared" ref="H163:H166" si="87">IF(ISNUMBER(G163), (G163 - $B163) / $B163, "")</f>
        <v>-9.9750623441396506E-3</v>
      </c>
      <c r="I163" s="91">
        <f>IF(ISNUMBER(G163), $B172 * H163, "")</f>
        <v>-1496.2593516209477</v>
      </c>
      <c r="J163" s="15">
        <v>397</v>
      </c>
      <c r="K163" s="32">
        <f t="shared" ref="K163:K166" si="88">IF(ISNUMBER(J163), (J163 - $B163) / $B163, "")</f>
        <v>-9.9750623441396506E-3</v>
      </c>
      <c r="L163" s="18">
        <f>IF(ISNUMBER(J163), $B172 * K163, "")</f>
        <v>-1496.2593516209477</v>
      </c>
      <c r="M163" s="31">
        <v>396</v>
      </c>
      <c r="N163" s="32">
        <f t="shared" ref="N163:N166" si="89">IF(ISNUMBER(M163), (M163 - $B163) / $B163, "")</f>
        <v>-1.2468827930174564E-2</v>
      </c>
      <c r="O163" s="18">
        <f>IF(ISNUMBER(M163), $B172 * N163, "")</f>
        <v>-1870.3241895261847</v>
      </c>
      <c r="Q163" s="176"/>
      <c r="R163" s="177"/>
      <c r="S163" s="178"/>
    </row>
    <row r="164" spans="1:19" ht="17.25" thickBot="1">
      <c r="A164" s="109" t="s">
        <v>130</v>
      </c>
      <c r="B164" s="110">
        <v>685</v>
      </c>
      <c r="C164" s="70">
        <v>-2.0028612300000002E-2</v>
      </c>
      <c r="D164" s="15">
        <v>675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677</v>
      </c>
      <c r="H164" s="32">
        <f t="shared" si="87"/>
        <v>-1.167883211678832E-2</v>
      </c>
      <c r="I164" s="91">
        <f>IF(ISNUMBER(G164), $B172 * H164, "")</f>
        <v>-1751.824817518248</v>
      </c>
      <c r="J164" s="15">
        <v>677</v>
      </c>
      <c r="K164" s="32">
        <f t="shared" si="88"/>
        <v>-1.167883211678832E-2</v>
      </c>
      <c r="L164" s="18">
        <f>IF(ISNUMBER(J164), $B172 * K164, "")</f>
        <v>-1751.824817518248</v>
      </c>
      <c r="M164" s="31">
        <v>672</v>
      </c>
      <c r="N164" s="32">
        <f t="shared" si="89"/>
        <v>-1.8978102189781021E-2</v>
      </c>
      <c r="O164" s="18">
        <f>IF(ISNUMBER(M164), $B172 * N164, "")</f>
        <v>-2846.7153284671531</v>
      </c>
      <c r="Q164" s="161"/>
      <c r="R164" s="161"/>
      <c r="S164" s="161"/>
    </row>
    <row r="165" spans="1:19" ht="17.25" thickBot="1">
      <c r="A165" s="109" t="s">
        <v>81</v>
      </c>
      <c r="B165" s="110">
        <v>331</v>
      </c>
      <c r="C165" s="70">
        <v>-2.0710059199999999E-2</v>
      </c>
      <c r="D165" s="15">
        <v>327</v>
      </c>
      <c r="E165" s="32">
        <f t="shared" si="86"/>
        <v>-1.2084592145015106E-2</v>
      </c>
      <c r="F165" s="18">
        <f>IF(ISNUMBER(D165), $B172 * E165, "")</f>
        <v>-1812.6888217522658</v>
      </c>
      <c r="G165" s="31">
        <v>328</v>
      </c>
      <c r="H165" s="32">
        <f t="shared" si="87"/>
        <v>-9.0634441087613302E-3</v>
      </c>
      <c r="I165" s="91">
        <f>IF(ISNUMBER(G165), $B172 * H165, "")</f>
        <v>-1359.5166163141996</v>
      </c>
      <c r="J165" s="15">
        <v>328</v>
      </c>
      <c r="K165" s="32">
        <f t="shared" si="88"/>
        <v>-9.0634441087613302E-3</v>
      </c>
      <c r="L165" s="18">
        <f>IF(ISNUMBER(J165), $B172 * K165, "")</f>
        <v>-1359.5166163141996</v>
      </c>
      <c r="M165" s="31">
        <v>327</v>
      </c>
      <c r="N165" s="32">
        <f t="shared" si="89"/>
        <v>-1.2084592145015106E-2</v>
      </c>
      <c r="O165" s="18">
        <f>IF(ISNUMBER(M165), $B172 * N165, "")</f>
        <v>-1812.6888217522658</v>
      </c>
      <c r="Q165" s="156"/>
      <c r="R165" s="156"/>
      <c r="S165" s="156"/>
    </row>
    <row r="166" spans="1:19" ht="17.25" thickBot="1">
      <c r="A166" s="111" t="s">
        <v>161</v>
      </c>
      <c r="B166" s="112">
        <v>295</v>
      </c>
      <c r="C166" s="71">
        <v>-2.3178807900000001E-2</v>
      </c>
      <c r="D166" s="20">
        <v>296</v>
      </c>
      <c r="E166" s="21">
        <f t="shared" si="86"/>
        <v>3.3898305084745762E-3</v>
      </c>
      <c r="F166" s="22">
        <f>IF(ISNUMBER(D166), $B172 * E166, "")</f>
        <v>508.47457627118644</v>
      </c>
      <c r="G166" s="30">
        <v>295</v>
      </c>
      <c r="H166" s="21">
        <f t="shared" si="87"/>
        <v>0</v>
      </c>
      <c r="I166" s="95">
        <f>IF(ISNUMBER(G166), $B172 * H166, "")</f>
        <v>0</v>
      </c>
      <c r="J166" s="20">
        <v>295</v>
      </c>
      <c r="K166" s="21">
        <f t="shared" si="88"/>
        <v>0</v>
      </c>
      <c r="L166" s="22">
        <f>IF(ISNUMBER(J166), $B172 * K166, "")</f>
        <v>0</v>
      </c>
      <c r="M166" s="30">
        <v>292</v>
      </c>
      <c r="N166" s="21">
        <f t="shared" si="89"/>
        <v>-1.0169491525423728E-2</v>
      </c>
      <c r="O166" s="22">
        <f>IF(ISNUMBER(M166), $B172 * N166, "")</f>
        <v>-1525.4237288135591</v>
      </c>
      <c r="Q166" s="156"/>
      <c r="R166" s="156"/>
      <c r="S166" s="156"/>
    </row>
    <row r="167" spans="1:19" ht="17.25" thickBot="1">
      <c r="A167" s="109" t="s">
        <v>111</v>
      </c>
      <c r="B167" s="113">
        <v>574</v>
      </c>
      <c r="C167" s="73">
        <v>-2.3809523799999999E-2</v>
      </c>
      <c r="D167" s="96">
        <v>574</v>
      </c>
      <c r="E167" s="97">
        <f>IF(ISNUMBER(D167), (D167 - $B167) / $B167, "")</f>
        <v>0</v>
      </c>
      <c r="F167" s="98">
        <f>IF(ISNUMBER(D167), $B172 * E167, "")</f>
        <v>0</v>
      </c>
      <c r="G167" s="99">
        <v>572</v>
      </c>
      <c r="H167" s="97">
        <f>IF(ISNUMBER(G167), (G167 - $B167) / $B167, "")</f>
        <v>-3.4843205574912892E-3</v>
      </c>
      <c r="I167" s="100">
        <f>IF(ISNUMBER(G167), $B172 * H167, "")</f>
        <v>-522.64808362369342</v>
      </c>
      <c r="J167" s="96">
        <v>572</v>
      </c>
      <c r="K167" s="97">
        <f>IF(ISNUMBER(J167), (J167 - $B167) / $B167, "")</f>
        <v>-3.4843205574912892E-3</v>
      </c>
      <c r="L167" s="98">
        <f>IF(ISNUMBER(J167), $B172 * K167, "")</f>
        <v>-522.64808362369342</v>
      </c>
      <c r="M167" s="99">
        <v>565</v>
      </c>
      <c r="N167" s="97">
        <f>IF(ISNUMBER(M167), (M167 - $B167) / $B167, "")</f>
        <v>-1.5679442508710801E-2</v>
      </c>
      <c r="O167" s="98">
        <f>IF(ISNUMBER(M167), $B172 * N167, "")</f>
        <v>-2351.9163763066204</v>
      </c>
      <c r="Q167" s="161"/>
      <c r="R167" s="161"/>
      <c r="S167" s="161"/>
    </row>
    <row r="168" spans="1:19" ht="17.25" thickBot="1">
      <c r="A168" s="109" t="s">
        <v>85</v>
      </c>
      <c r="B168" s="110">
        <v>143</v>
      </c>
      <c r="C168" s="70">
        <v>-2.72108844E-2</v>
      </c>
      <c r="D168" s="15">
        <v>144</v>
      </c>
      <c r="E168" s="32">
        <f t="shared" ref="E168:E171" si="90">IF(ISNUMBER(D168), (D168 - $B168) / $B168, "")</f>
        <v>6.993006993006993E-3</v>
      </c>
      <c r="F168" s="18">
        <f>IF(ISNUMBER(D168), $B172 * E168, "")</f>
        <v>1048.951048951049</v>
      </c>
      <c r="G168" s="31">
        <v>145</v>
      </c>
      <c r="H168" s="32">
        <f t="shared" ref="H168:H171" si="91">IF(ISNUMBER(G168), (G168 - $B168) / $B168, "")</f>
        <v>1.3986013986013986E-2</v>
      </c>
      <c r="I168" s="91">
        <f>IF(ISNUMBER(G168), $B172 * H168, "")</f>
        <v>2097.9020979020979</v>
      </c>
      <c r="J168" s="15">
        <v>145</v>
      </c>
      <c r="K168" s="32">
        <f t="shared" ref="K168:K171" si="92">IF(ISNUMBER(J168), (J168 - $B168) / $B168, "")</f>
        <v>1.3986013986013986E-2</v>
      </c>
      <c r="L168" s="18">
        <f>IF(ISNUMBER(J168), $B172 * K168, "")</f>
        <v>2097.9020979020979</v>
      </c>
      <c r="M168" s="31">
        <v>144</v>
      </c>
      <c r="N168" s="32">
        <f t="shared" ref="N168:N171" si="93">IF(ISNUMBER(M168), (M168 - $B168) / $B168, "")</f>
        <v>6.993006993006993E-3</v>
      </c>
      <c r="O168" s="18">
        <f>IF(ISNUMBER(M168), $B172 * N168, "")</f>
        <v>1048.951048951049</v>
      </c>
      <c r="Q168" s="161"/>
      <c r="R168" s="161"/>
      <c r="S168" s="161"/>
    </row>
    <row r="169" spans="1:19" ht="17.25" thickBot="1">
      <c r="A169" s="109" t="s">
        <v>346</v>
      </c>
      <c r="B169" s="110">
        <v>377</v>
      </c>
      <c r="C169" s="70">
        <v>-3.0848329000000001E-2</v>
      </c>
      <c r="D169" s="15">
        <v>375</v>
      </c>
      <c r="E169" s="32">
        <f t="shared" si="90"/>
        <v>-5.3050397877984082E-3</v>
      </c>
      <c r="F169" s="18">
        <f>IF(ISNUMBER(D169), $B172 * E169, "")</f>
        <v>-795.75596816976122</v>
      </c>
      <c r="G169" s="31">
        <v>375</v>
      </c>
      <c r="H169" s="32">
        <f t="shared" si="91"/>
        <v>-5.3050397877984082E-3</v>
      </c>
      <c r="I169" s="91">
        <f>IF(ISNUMBER(G169), $B172 * H169, "")</f>
        <v>-795.75596816976122</v>
      </c>
      <c r="J169" s="15">
        <v>375</v>
      </c>
      <c r="K169" s="32">
        <f t="shared" si="92"/>
        <v>-5.3050397877984082E-3</v>
      </c>
      <c r="L169" s="18">
        <f>IF(ISNUMBER(J169), $B172 * K169, "")</f>
        <v>-795.75596816976122</v>
      </c>
      <c r="M169" s="31">
        <v>372</v>
      </c>
      <c r="N169" s="32">
        <f t="shared" si="93"/>
        <v>-1.3262599469496022E-2</v>
      </c>
      <c r="O169" s="18">
        <f>IF(ISNUMBER(M169), $B172 * N169, "")</f>
        <v>-1989.3899204244033</v>
      </c>
      <c r="Q169" s="161"/>
      <c r="R169" s="161"/>
      <c r="S169" s="161"/>
    </row>
    <row r="170" spans="1:19">
      <c r="A170" s="109" t="s">
        <v>349</v>
      </c>
      <c r="B170" s="110">
        <v>650</v>
      </c>
      <c r="C170" s="70">
        <v>-3.4175334299999999E-2</v>
      </c>
      <c r="D170" s="15">
        <v>652</v>
      </c>
      <c r="E170" s="32">
        <f t="shared" si="90"/>
        <v>3.0769230769230769E-3</v>
      </c>
      <c r="F170" s="18">
        <f>IF(ISNUMBER(D170), $B172 * E170, "")</f>
        <v>461.53846153846155</v>
      </c>
      <c r="G170" s="31">
        <v>644</v>
      </c>
      <c r="H170" s="32">
        <f t="shared" si="91"/>
        <v>-9.2307692307692316E-3</v>
      </c>
      <c r="I170" s="91">
        <f>IF(ISNUMBER(G170), $B172 * H170, "")</f>
        <v>-1384.6153846153848</v>
      </c>
      <c r="J170" s="15">
        <v>644</v>
      </c>
      <c r="K170" s="32">
        <f t="shared" si="92"/>
        <v>-9.2307692307692316E-3</v>
      </c>
      <c r="L170" s="18">
        <f>IF(ISNUMBER(J170), $B172 * K170, "")</f>
        <v>-1384.6153846153848</v>
      </c>
      <c r="M170" s="31">
        <v>633</v>
      </c>
      <c r="N170" s="32">
        <f t="shared" si="93"/>
        <v>-2.6153846153846153E-2</v>
      </c>
      <c r="O170" s="18">
        <f>IF(ISNUMBER(M170), $B172 * N170, "")</f>
        <v>-3923.0769230769229</v>
      </c>
      <c r="Q170" s="183"/>
      <c r="R170" s="184"/>
      <c r="S170" s="185"/>
    </row>
    <row r="171" spans="1:19" ht="17.25" thickBot="1">
      <c r="A171" s="114" t="s">
        <v>165</v>
      </c>
      <c r="B171" s="115">
        <v>937</v>
      </c>
      <c r="C171" s="72">
        <v>-8.5853658499999999E-2</v>
      </c>
      <c r="D171" s="24">
        <v>879</v>
      </c>
      <c r="E171" s="25">
        <f t="shared" si="90"/>
        <v>-6.1899679829242264E-2</v>
      </c>
      <c r="F171" s="94">
        <f>IF(ISNUMBER(D171), $B172 * E171, "")</f>
        <v>-9284.9519743863402</v>
      </c>
      <c r="G171" s="92">
        <v>871</v>
      </c>
      <c r="H171" s="25">
        <f t="shared" si="91"/>
        <v>-7.0437566702241189E-2</v>
      </c>
      <c r="I171" s="93">
        <f>IF(ISNUMBER(G171), $B172 * H171, "")</f>
        <v>-10565.635005336178</v>
      </c>
      <c r="J171" s="24">
        <v>871</v>
      </c>
      <c r="K171" s="25">
        <f t="shared" si="92"/>
        <v>-7.0437566702241189E-2</v>
      </c>
      <c r="L171" s="94">
        <f>IF(ISNUMBER(J171), $B172 * K171, "")</f>
        <v>-10565.635005336178</v>
      </c>
      <c r="M171" s="92">
        <v>866</v>
      </c>
      <c r="N171" s="25">
        <f t="shared" si="93"/>
        <v>-7.577374599786553E-2</v>
      </c>
      <c r="O171" s="94">
        <f>IF(ISNUMBER(M171), $B172 * N171, "")</f>
        <v>-11366.061899679829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-7.150384763341777E-3</v>
      </c>
      <c r="F172" s="28">
        <f>SUM(F152:F171)</f>
        <v>-21451.154290025333</v>
      </c>
      <c r="G172" s="26" t="s">
        <v>261</v>
      </c>
      <c r="H172" s="27">
        <f>IF(COUNT(H152:H171), SUM(H152:H171) / COUNT(H152:H171), 0)</f>
        <v>-6.9847563684370395E-3</v>
      </c>
      <c r="I172" s="28">
        <f>SUM(I152:I171)</f>
        <v>-20954.269105311119</v>
      </c>
      <c r="J172" s="26" t="s">
        <v>261</v>
      </c>
      <c r="K172" s="27">
        <f>IF(COUNT(K152:K171), SUM(K152:K171) / COUNT(K152:K171), 0)</f>
        <v>-6.9847563684370395E-3</v>
      </c>
      <c r="L172" s="28">
        <f>SUM(L152:L171)</f>
        <v>-20954.269105311119</v>
      </c>
      <c r="M172" s="26" t="s">
        <v>261</v>
      </c>
      <c r="N172" s="27">
        <f>IF(COUNT(N152:N171), SUM(N152:N171) / COUNT(N152:N171), 0)</f>
        <v>-1.6727263671735361E-2</v>
      </c>
      <c r="O172" s="28">
        <f>SUM(O152:O171)</f>
        <v>-50181.791015206079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2022-12-22(목) 오전 00:00</v>
      </c>
      <c r="C177" s="199"/>
      <c r="D177" s="158" t="str">
        <f>TEXT($G$1, "[$-ko-KR]yyyy-mm-dd(ddd) ") &amp; "오후 14:00"</f>
        <v>2022-12-22(목) 오후 14:00</v>
      </c>
      <c r="E177" s="159"/>
      <c r="F177" s="160"/>
      <c r="G177" s="158" t="str">
        <f>TEXT($G$1, "[$-ko-KR]yyyy-mm-dd(ddd) ") &amp; "오후 19:00"</f>
        <v>2022-12-22(목) 오후 19:00</v>
      </c>
      <c r="H177" s="159"/>
      <c r="I177" s="160"/>
      <c r="J177" s="158" t="str">
        <f>TEXT($G$1, "[$-ko-KR]yyyy-mm-dd(ddd) ") &amp; "오후 21:00"</f>
        <v>2022-12-22(목) 오후 21:00</v>
      </c>
      <c r="K177" s="159"/>
      <c r="L177" s="160"/>
      <c r="M177" s="158" t="str">
        <f>TEXT($G$1+1, "[$-ko-KR]yyyy-mm-dd(ddd) ") &amp; "오전 00:00"</f>
        <v>2022-12-23(금)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62</v>
      </c>
      <c r="B179" s="108">
        <v>8370</v>
      </c>
      <c r="C179" s="69">
        <v>-2.04798128E-2</v>
      </c>
      <c r="D179" s="13">
        <v>8375</v>
      </c>
      <c r="E179" s="14">
        <f>IF(ISNUMBER(D179), (D179 - $B179) / $B179, "")</f>
        <v>5.9737156511350056E-4</v>
      </c>
      <c r="F179" s="16">
        <f>IF(ISNUMBER(D179), $B199 * E179, "")</f>
        <v>89.605734767025083</v>
      </c>
      <c r="G179" s="29">
        <v>8360</v>
      </c>
      <c r="H179" s="14">
        <f>IF(ISNUMBER(G179), (G179 - $B179) / $B179, "")</f>
        <v>-1.1947431302270011E-3</v>
      </c>
      <c r="I179" s="90">
        <f>IF(ISNUMBER(G179), $B199 * H179, "")</f>
        <v>-179.21146953405017</v>
      </c>
      <c r="J179" s="13">
        <v>8360</v>
      </c>
      <c r="K179" s="14">
        <f>IF(ISNUMBER(J179), (J179 - $B179) / $B179, "")</f>
        <v>-1.1947431302270011E-3</v>
      </c>
      <c r="L179" s="16">
        <f>IF(ISNUMBER(J179), $B199 * K179, "")</f>
        <v>-179.21146953405017</v>
      </c>
      <c r="M179" s="29">
        <v>8265</v>
      </c>
      <c r="N179" s="14">
        <f>IF(ISNUMBER(M179), (M179 - $B179) / $B179, "")</f>
        <v>-1.2544802867383513E-2</v>
      </c>
      <c r="O179" s="16">
        <f>IF(ISNUMBER(M179), $B199 * N179, "")</f>
        <v>-1881.7204301075269</v>
      </c>
      <c r="Q179" s="156"/>
      <c r="R179" s="156"/>
      <c r="S179" s="156"/>
    </row>
    <row r="180" spans="1:19" ht="17.25" thickBot="1">
      <c r="A180" s="109" t="s">
        <v>81</v>
      </c>
      <c r="B180" s="110">
        <v>331</v>
      </c>
      <c r="C180" s="70">
        <v>-2.0710059199999999E-2</v>
      </c>
      <c r="D180" s="15">
        <v>327</v>
      </c>
      <c r="E180" s="32">
        <f t="shared" ref="E180:E183" si="94">IF(ISNUMBER(D180), (D180 - $B180) / $B180, "")</f>
        <v>-1.2084592145015106E-2</v>
      </c>
      <c r="F180" s="18">
        <f>IF(ISNUMBER(D180), $B199 * E180, "")</f>
        <v>-1812.6888217522658</v>
      </c>
      <c r="G180" s="31">
        <v>328</v>
      </c>
      <c r="H180" s="32">
        <f t="shared" ref="H180:H183" si="95">IF(ISNUMBER(G180), (G180 - $B180) / $B180, "")</f>
        <v>-9.0634441087613302E-3</v>
      </c>
      <c r="I180" s="91">
        <f>IF(ISNUMBER(G180), $B199 * H180, "")</f>
        <v>-1359.5166163141996</v>
      </c>
      <c r="J180" s="15">
        <v>328</v>
      </c>
      <c r="K180" s="32">
        <f t="shared" ref="K180:K183" si="96">IF(ISNUMBER(J180), (J180 - $B180) / $B180, "")</f>
        <v>-9.0634441087613302E-3</v>
      </c>
      <c r="L180" s="18">
        <f>IF(ISNUMBER(J180), $B199 * K180, "")</f>
        <v>-1359.5166163141996</v>
      </c>
      <c r="M180" s="31">
        <v>327</v>
      </c>
      <c r="N180" s="32">
        <f t="shared" ref="N180:N183" si="97">IF(ISNUMBER(M180), (M180 - $B180) / $B180, "")</f>
        <v>-1.2084592145015106E-2</v>
      </c>
      <c r="O180" s="18">
        <f>IF(ISNUMBER(M180), $B199 * N180, "")</f>
        <v>-1812.6888217522658</v>
      </c>
      <c r="Q180" s="156"/>
      <c r="R180" s="156"/>
      <c r="S180" s="156"/>
    </row>
    <row r="181" spans="1:19" ht="17.25" thickBot="1">
      <c r="A181" s="109" t="s">
        <v>236</v>
      </c>
      <c r="B181" s="110">
        <v>2930</v>
      </c>
      <c r="C181" s="70">
        <v>-2.17028381E-2</v>
      </c>
      <c r="D181" s="15">
        <v>2900</v>
      </c>
      <c r="E181" s="32">
        <f t="shared" si="94"/>
        <v>-1.0238907849829351E-2</v>
      </c>
      <c r="F181" s="18">
        <f>IF(ISNUMBER(D181), $B199 * E181, "")</f>
        <v>-1535.8361774744026</v>
      </c>
      <c r="G181" s="31">
        <v>2895</v>
      </c>
      <c r="H181" s="32">
        <f t="shared" si="95"/>
        <v>-1.1945392491467578E-2</v>
      </c>
      <c r="I181" s="91">
        <f>IF(ISNUMBER(G181), $B199 * H181, "")</f>
        <v>-1791.8088737201367</v>
      </c>
      <c r="J181" s="15">
        <v>2895</v>
      </c>
      <c r="K181" s="32">
        <f t="shared" si="96"/>
        <v>-1.1945392491467578E-2</v>
      </c>
      <c r="L181" s="18">
        <f>IF(ISNUMBER(J181), $B199 * K181, "")</f>
        <v>-1791.8088737201367</v>
      </c>
      <c r="M181" s="31">
        <v>2875</v>
      </c>
      <c r="N181" s="32">
        <f t="shared" si="97"/>
        <v>-1.877133105802048E-2</v>
      </c>
      <c r="O181" s="18">
        <f>IF(ISNUMBER(M181), $B199 * N181, "")</f>
        <v>-2815.6996587030721</v>
      </c>
      <c r="Q181" s="161"/>
      <c r="R181" s="161"/>
      <c r="S181" s="161"/>
    </row>
    <row r="182" spans="1:19" ht="17.25" thickBot="1">
      <c r="A182" s="109" t="s">
        <v>174</v>
      </c>
      <c r="B182" s="110">
        <v>13030</v>
      </c>
      <c r="C182" s="70">
        <v>-2.1771771799999999E-2</v>
      </c>
      <c r="D182" s="15">
        <v>12960</v>
      </c>
      <c r="E182" s="32">
        <f t="shared" si="94"/>
        <v>-5.3722179585571758E-3</v>
      </c>
      <c r="F182" s="18">
        <f>IF(ISNUMBER(D182), $B199 * E182, "")</f>
        <v>-805.83269378357636</v>
      </c>
      <c r="G182" s="31">
        <v>12910</v>
      </c>
      <c r="H182" s="32">
        <f t="shared" si="95"/>
        <v>-9.2095165003837302E-3</v>
      </c>
      <c r="I182" s="91">
        <f>IF(ISNUMBER(G182), $B199 * H182, "")</f>
        <v>-1381.4274750575596</v>
      </c>
      <c r="J182" s="15">
        <v>12910</v>
      </c>
      <c r="K182" s="32">
        <f t="shared" si="96"/>
        <v>-9.2095165003837302E-3</v>
      </c>
      <c r="L182" s="18">
        <f>IF(ISNUMBER(J182), $B199 * K182, "")</f>
        <v>-1381.4274750575596</v>
      </c>
      <c r="M182" s="31">
        <v>12890</v>
      </c>
      <c r="N182" s="32">
        <f t="shared" si="97"/>
        <v>-1.0744435917114352E-2</v>
      </c>
      <c r="O182" s="18">
        <f>IF(ISNUMBER(M182), $B199 * N182, "")</f>
        <v>-1611.6653875671527</v>
      </c>
      <c r="Q182" s="161"/>
      <c r="R182" s="161"/>
      <c r="S182" s="161"/>
    </row>
    <row r="183" spans="1:19" ht="17.25" thickBot="1">
      <c r="A183" s="111" t="s">
        <v>161</v>
      </c>
      <c r="B183" s="112">
        <v>295</v>
      </c>
      <c r="C183" s="71">
        <v>-2.3178807900000001E-2</v>
      </c>
      <c r="D183" s="20">
        <v>296</v>
      </c>
      <c r="E183" s="21">
        <f t="shared" si="94"/>
        <v>3.3898305084745762E-3</v>
      </c>
      <c r="F183" s="22">
        <f>IF(ISNUMBER(D183), $B199 * E183, "")</f>
        <v>508.47457627118644</v>
      </c>
      <c r="G183" s="30">
        <v>295</v>
      </c>
      <c r="H183" s="21">
        <f t="shared" si="95"/>
        <v>0</v>
      </c>
      <c r="I183" s="95">
        <f>IF(ISNUMBER(G183), $B199 * H183, "")</f>
        <v>0</v>
      </c>
      <c r="J183" s="20">
        <v>295</v>
      </c>
      <c r="K183" s="21">
        <f t="shared" si="96"/>
        <v>0</v>
      </c>
      <c r="L183" s="22">
        <f>IF(ISNUMBER(J183), $B199 * K183, "")</f>
        <v>0</v>
      </c>
      <c r="M183" s="30">
        <v>292</v>
      </c>
      <c r="N183" s="21">
        <f t="shared" si="97"/>
        <v>-1.0169491525423728E-2</v>
      </c>
      <c r="O183" s="22">
        <f>IF(ISNUMBER(M183), $B199 * N183, "")</f>
        <v>-1525.4237288135591</v>
      </c>
      <c r="Q183" s="161"/>
      <c r="R183" s="161"/>
      <c r="S183" s="161"/>
    </row>
    <row r="184" spans="1:19" ht="17.25" thickBot="1">
      <c r="A184" s="109" t="s">
        <v>87</v>
      </c>
      <c r="B184" s="113">
        <v>58640</v>
      </c>
      <c r="C184" s="73">
        <v>-2.36430236E-2</v>
      </c>
      <c r="D184" s="96">
        <v>58020</v>
      </c>
      <c r="E184" s="97">
        <f>IF(ISNUMBER(D184), (D184 - $B184) / $B184, "")</f>
        <v>-1.0572987721691678E-2</v>
      </c>
      <c r="F184" s="98">
        <f>IF(ISNUMBER(D184), $B199 * E184, "")</f>
        <v>-1585.9481582537517</v>
      </c>
      <c r="G184" s="99">
        <v>57810</v>
      </c>
      <c r="H184" s="97">
        <f>IF(ISNUMBER(G184), (G184 - $B184) / $B184, "")</f>
        <v>-1.4154160982264666E-2</v>
      </c>
      <c r="I184" s="100">
        <f>IF(ISNUMBER(G184), $B199 * H184, "")</f>
        <v>-2123.1241473396999</v>
      </c>
      <c r="J184" s="96">
        <v>57810</v>
      </c>
      <c r="K184" s="97">
        <f>IF(ISNUMBER(J184), (J184 - $B184) / $B184, "")</f>
        <v>-1.4154160982264666E-2</v>
      </c>
      <c r="L184" s="98">
        <f>IF(ISNUMBER(J184), $B199 * K184, "")</f>
        <v>-2123.1241473396999</v>
      </c>
      <c r="M184" s="99">
        <v>57750</v>
      </c>
      <c r="N184" s="97">
        <f>IF(ISNUMBER(M184), (M184 - $B184) / $B184, "")</f>
        <v>-1.5177353342428377E-2</v>
      </c>
      <c r="O184" s="98">
        <f>IF(ISNUMBER(M184), $B199 * N184, "")</f>
        <v>-2276.6030013642567</v>
      </c>
      <c r="Q184" s="161"/>
      <c r="R184" s="161"/>
      <c r="S184" s="161"/>
    </row>
    <row r="185" spans="1:19" ht="17.25" thickBot="1">
      <c r="A185" s="109" t="s">
        <v>111</v>
      </c>
      <c r="B185" s="110">
        <v>574</v>
      </c>
      <c r="C185" s="70">
        <v>-2.3809523799999999E-2</v>
      </c>
      <c r="D185" s="15">
        <v>574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572</v>
      </c>
      <c r="H185" s="32">
        <f t="shared" ref="H185:H188" si="99">IF(ISNUMBER(G185), (G185 - $B185) / $B185, "")</f>
        <v>-3.4843205574912892E-3</v>
      </c>
      <c r="I185" s="91">
        <f>IF(ISNUMBER(G185), $B199 * H185, "")</f>
        <v>-522.64808362369342</v>
      </c>
      <c r="J185" s="15">
        <v>572</v>
      </c>
      <c r="K185" s="32">
        <f t="shared" ref="K185:K188" si="100">IF(ISNUMBER(J185), (J185 - $B185) / $B185, "")</f>
        <v>-3.4843205574912892E-3</v>
      </c>
      <c r="L185" s="18">
        <f>IF(ISNUMBER(J185), $B199 * K185, "")</f>
        <v>-522.64808362369342</v>
      </c>
      <c r="M185" s="31">
        <v>565</v>
      </c>
      <c r="N185" s="32">
        <f t="shared" ref="N185:N188" si="101">IF(ISNUMBER(M185), (M185 - $B185) / $B185, "")</f>
        <v>-1.5679442508710801E-2</v>
      </c>
      <c r="O185" s="18">
        <f>IF(ISNUMBER(M185), $B199 * N185, "")</f>
        <v>-2351.9163763066204</v>
      </c>
      <c r="Q185" s="161"/>
      <c r="R185" s="161"/>
      <c r="S185" s="161"/>
    </row>
    <row r="186" spans="1:19" ht="17.25" thickBot="1">
      <c r="A186" s="109" t="s">
        <v>350</v>
      </c>
      <c r="B186" s="110">
        <v>6.39</v>
      </c>
      <c r="C186" s="70">
        <v>-2.44274809E-2</v>
      </c>
      <c r="D186" s="15">
        <v>6.23</v>
      </c>
      <c r="E186" s="32">
        <f t="shared" si="98"/>
        <v>-2.5039123630672813E-2</v>
      </c>
      <c r="F186" s="18">
        <f>IF(ISNUMBER(D186), $B199 * E186, "")</f>
        <v>-3755.8685446009217</v>
      </c>
      <c r="G186" s="31">
        <v>6.18</v>
      </c>
      <c r="H186" s="32">
        <f t="shared" si="99"/>
        <v>-3.2863849765258211E-2</v>
      </c>
      <c r="I186" s="91">
        <f>IF(ISNUMBER(G186), $B199 * H186, "")</f>
        <v>-4929.577464788732</v>
      </c>
      <c r="J186" s="15">
        <v>6.18</v>
      </c>
      <c r="K186" s="32">
        <f t="shared" si="100"/>
        <v>-3.2863849765258211E-2</v>
      </c>
      <c r="L186" s="18">
        <f>IF(ISNUMBER(J186), $B199 * K186, "")</f>
        <v>-4929.577464788732</v>
      </c>
      <c r="M186" s="31">
        <v>6.15</v>
      </c>
      <c r="N186" s="32">
        <f t="shared" si="101"/>
        <v>-3.7558685446009286E-2</v>
      </c>
      <c r="O186" s="18">
        <f>IF(ISNUMBER(M186), $B199 * N186, "")</f>
        <v>-5633.8028169013933</v>
      </c>
      <c r="Q186" s="161"/>
      <c r="R186" s="161"/>
      <c r="S186" s="161"/>
    </row>
    <row r="187" spans="1:19" ht="17.25" thickBot="1">
      <c r="A187" s="109" t="s">
        <v>138</v>
      </c>
      <c r="B187" s="110">
        <v>22.8</v>
      </c>
      <c r="C187" s="70">
        <v>-2.5641025599999999E-2</v>
      </c>
      <c r="D187" s="15">
        <v>22.7</v>
      </c>
      <c r="E187" s="32">
        <f t="shared" si="98"/>
        <v>-4.385964912280764E-3</v>
      </c>
      <c r="F187" s="18">
        <f>IF(ISNUMBER(D187), $B199 * E187, "")</f>
        <v>-657.89473684211464</v>
      </c>
      <c r="G187" s="31">
        <v>22.6</v>
      </c>
      <c r="H187" s="32">
        <f t="shared" si="99"/>
        <v>-8.7719298245613718E-3</v>
      </c>
      <c r="I187" s="91">
        <f>IF(ISNUMBER(G187), $B199 * H187, "")</f>
        <v>-1315.7894736842059</v>
      </c>
      <c r="J187" s="15">
        <v>22.6</v>
      </c>
      <c r="K187" s="32">
        <f t="shared" si="100"/>
        <v>-8.7719298245613718E-3</v>
      </c>
      <c r="L187" s="18">
        <f>IF(ISNUMBER(J187), $B199 * K187, "")</f>
        <v>-1315.7894736842059</v>
      </c>
      <c r="M187" s="31">
        <v>22.5</v>
      </c>
      <c r="N187" s="32">
        <f t="shared" si="101"/>
        <v>-1.3157894736842136E-2</v>
      </c>
      <c r="O187" s="18">
        <f>IF(ISNUMBER(M187), $B199 * N187, "")</f>
        <v>-1973.6842105263204</v>
      </c>
      <c r="Q187" s="33"/>
      <c r="R187" s="33"/>
    </row>
    <row r="188" spans="1:19" ht="17.25" thickBot="1">
      <c r="A188" s="114" t="s">
        <v>320</v>
      </c>
      <c r="B188" s="115">
        <v>1700</v>
      </c>
      <c r="C188" s="72">
        <v>-2.5787965600000001E-2</v>
      </c>
      <c r="D188" s="24">
        <v>1695</v>
      </c>
      <c r="E188" s="25">
        <f t="shared" si="98"/>
        <v>-2.9411764705882353E-3</v>
      </c>
      <c r="F188" s="94">
        <f>IF(ISNUMBER(D188), $B199 * E188, "")</f>
        <v>-441.1764705882353</v>
      </c>
      <c r="G188" s="92">
        <v>1705</v>
      </c>
      <c r="H188" s="25">
        <f t="shared" si="99"/>
        <v>2.9411764705882353E-3</v>
      </c>
      <c r="I188" s="93">
        <f>IF(ISNUMBER(G188), $B199 * H188, "")</f>
        <v>441.1764705882353</v>
      </c>
      <c r="J188" s="24">
        <v>1705</v>
      </c>
      <c r="K188" s="25">
        <f t="shared" si="100"/>
        <v>2.9411764705882353E-3</v>
      </c>
      <c r="L188" s="94">
        <f>IF(ISNUMBER(J188), $B199 * K188, "")</f>
        <v>441.1764705882353</v>
      </c>
      <c r="M188" s="92">
        <v>1685</v>
      </c>
      <c r="N188" s="25">
        <f t="shared" si="101"/>
        <v>-8.8235294117647058E-3</v>
      </c>
      <c r="O188" s="94">
        <f>IF(ISNUMBER(M188), $B199 * N188, "")</f>
        <v>-1323.5294117647059</v>
      </c>
      <c r="Q188" s="170"/>
      <c r="R188" s="171"/>
      <c r="S188" s="172"/>
    </row>
    <row r="189" spans="1:19">
      <c r="A189" s="107" t="s">
        <v>85</v>
      </c>
      <c r="B189" s="108">
        <v>143</v>
      </c>
      <c r="C189" s="69">
        <v>-2.72108844E-2</v>
      </c>
      <c r="D189" s="13">
        <v>144</v>
      </c>
      <c r="E189" s="14">
        <f>IF(ISNUMBER(D189), (D189 - $B189) / $B189, "")</f>
        <v>6.993006993006993E-3</v>
      </c>
      <c r="F189" s="16">
        <f>IF(ISNUMBER(D189), $B199 * E189, "")</f>
        <v>1048.951048951049</v>
      </c>
      <c r="G189" s="29">
        <v>145</v>
      </c>
      <c r="H189" s="14">
        <f>IF(ISNUMBER(G189), (G189 - $B189) / $B189, "")</f>
        <v>1.3986013986013986E-2</v>
      </c>
      <c r="I189" s="90">
        <f>IF(ISNUMBER(G189), $B199 * H189, "")</f>
        <v>2097.9020979020979</v>
      </c>
      <c r="J189" s="13">
        <v>145</v>
      </c>
      <c r="K189" s="14">
        <f>IF(ISNUMBER(J189), (J189 - $B189) / $B189, "")</f>
        <v>1.3986013986013986E-2</v>
      </c>
      <c r="L189" s="16">
        <f>IF(ISNUMBER(J189), $B199 * K189, "")</f>
        <v>2097.9020979020979</v>
      </c>
      <c r="M189" s="29">
        <v>144</v>
      </c>
      <c r="N189" s="14">
        <f>IF(ISNUMBER(M189), (M189 - $B189) / $B189, "")</f>
        <v>6.993006993006993E-3</v>
      </c>
      <c r="O189" s="16">
        <f>IF(ISNUMBER(M189), $B199 * N189, "")</f>
        <v>1048.951048951049</v>
      </c>
      <c r="Q189" s="173"/>
      <c r="R189" s="174"/>
      <c r="S189" s="175"/>
    </row>
    <row r="190" spans="1:19" ht="17.25" thickBot="1">
      <c r="A190" s="109" t="s">
        <v>128</v>
      </c>
      <c r="B190" s="110">
        <v>5835</v>
      </c>
      <c r="C190" s="70">
        <v>-2.9118136400000001E-2</v>
      </c>
      <c r="D190" s="15">
        <v>5785</v>
      </c>
      <c r="E190" s="32">
        <f t="shared" ref="E190:E193" si="102">IF(ISNUMBER(D190), (D190 - $B190) / $B190, "")</f>
        <v>-8.5689802913453302E-3</v>
      </c>
      <c r="F190" s="18">
        <f>IF(ISNUMBER(D190), $B199 * E190, "")</f>
        <v>-1285.3470437017995</v>
      </c>
      <c r="G190" s="31">
        <v>5785</v>
      </c>
      <c r="H190" s="32">
        <f t="shared" ref="H190:H193" si="103">IF(ISNUMBER(G190), (G190 - $B190) / $B190, "")</f>
        <v>-8.5689802913453302E-3</v>
      </c>
      <c r="I190" s="91">
        <f>IF(ISNUMBER(G190), $B199 * H190, "")</f>
        <v>-1285.3470437017995</v>
      </c>
      <c r="J190" s="15">
        <v>5785</v>
      </c>
      <c r="K190" s="32">
        <f t="shared" ref="K190:K193" si="104">IF(ISNUMBER(J190), (J190 - $B190) / $B190, "")</f>
        <v>-8.5689802913453302E-3</v>
      </c>
      <c r="L190" s="18">
        <f>IF(ISNUMBER(J190), $B199 * K190, "")</f>
        <v>-1285.3470437017995</v>
      </c>
      <c r="M190" s="31">
        <v>5770</v>
      </c>
      <c r="N190" s="32">
        <f t="shared" ref="N190:N193" si="105">IF(ISNUMBER(M190), (M190 - $B190) / $B190, "")</f>
        <v>-1.1139674378748929E-2</v>
      </c>
      <c r="O190" s="18">
        <f>IF(ISNUMBER(M190), $B199 * N190, "")</f>
        <v>-1670.9511568123394</v>
      </c>
      <c r="Q190" s="176"/>
      <c r="R190" s="177"/>
      <c r="S190" s="178"/>
    </row>
    <row r="191" spans="1:19" ht="17.25" thickBot="1">
      <c r="A191" s="109" t="s">
        <v>344</v>
      </c>
      <c r="B191" s="110">
        <v>4930</v>
      </c>
      <c r="C191" s="70">
        <v>-2.95275591E-2</v>
      </c>
      <c r="D191" s="15">
        <v>4855</v>
      </c>
      <c r="E191" s="32">
        <f t="shared" si="102"/>
        <v>-1.5212981744421906E-2</v>
      </c>
      <c r="F191" s="18">
        <f>IF(ISNUMBER(D191), $B199 * E191, "")</f>
        <v>-2281.9472616632861</v>
      </c>
      <c r="G191" s="31">
        <v>4845</v>
      </c>
      <c r="H191" s="32">
        <f t="shared" si="103"/>
        <v>-1.7241379310344827E-2</v>
      </c>
      <c r="I191" s="91">
        <f>IF(ISNUMBER(G191), $B199 * H191, "")</f>
        <v>-2586.2068965517242</v>
      </c>
      <c r="J191" s="15">
        <v>4845</v>
      </c>
      <c r="K191" s="32">
        <f t="shared" si="104"/>
        <v>-1.7241379310344827E-2</v>
      </c>
      <c r="L191" s="18">
        <f>IF(ISNUMBER(J191), $B199 * K191, "")</f>
        <v>-2586.2068965517242</v>
      </c>
      <c r="M191" s="31">
        <v>4765</v>
      </c>
      <c r="N191" s="32">
        <f t="shared" si="105"/>
        <v>-3.3468559837728194E-2</v>
      </c>
      <c r="O191" s="18">
        <f>IF(ISNUMBER(M191), $B199 * N191, "")</f>
        <v>-5020.2839756592293</v>
      </c>
      <c r="Q191" s="161"/>
      <c r="R191" s="161"/>
      <c r="S191" s="161"/>
    </row>
    <row r="192" spans="1:19" ht="17.25" thickBot="1">
      <c r="A192" s="109" t="s">
        <v>346</v>
      </c>
      <c r="B192" s="110">
        <v>377</v>
      </c>
      <c r="C192" s="70">
        <v>-3.0848329000000001E-2</v>
      </c>
      <c r="D192" s="15">
        <v>375</v>
      </c>
      <c r="E192" s="32">
        <f t="shared" si="102"/>
        <v>-5.3050397877984082E-3</v>
      </c>
      <c r="F192" s="18">
        <f>IF(ISNUMBER(D192), $B199 * E192, "")</f>
        <v>-795.75596816976122</v>
      </c>
      <c r="G192" s="31">
        <v>375</v>
      </c>
      <c r="H192" s="32">
        <f t="shared" si="103"/>
        <v>-5.3050397877984082E-3</v>
      </c>
      <c r="I192" s="91">
        <f>IF(ISNUMBER(G192), $B199 * H192, "")</f>
        <v>-795.75596816976122</v>
      </c>
      <c r="J192" s="15">
        <v>375</v>
      </c>
      <c r="K192" s="32">
        <f t="shared" si="104"/>
        <v>-5.3050397877984082E-3</v>
      </c>
      <c r="L192" s="18">
        <f>IF(ISNUMBER(J192), $B199 * K192, "")</f>
        <v>-795.75596816976122</v>
      </c>
      <c r="M192" s="31">
        <v>372</v>
      </c>
      <c r="N192" s="32">
        <f t="shared" si="105"/>
        <v>-1.3262599469496022E-2</v>
      </c>
      <c r="O192" s="18">
        <f>IF(ISNUMBER(M192), $B199 * N192, "")</f>
        <v>-1989.3899204244033</v>
      </c>
      <c r="Q192" s="156"/>
      <c r="R192" s="156"/>
      <c r="S192" s="156"/>
    </row>
    <row r="193" spans="1:19" ht="17.25" thickBot="1">
      <c r="A193" s="111" t="s">
        <v>349</v>
      </c>
      <c r="B193" s="112">
        <v>650</v>
      </c>
      <c r="C193" s="71">
        <v>-3.4175334299999999E-2</v>
      </c>
      <c r="D193" s="20">
        <v>652</v>
      </c>
      <c r="E193" s="21">
        <f t="shared" si="102"/>
        <v>3.0769230769230769E-3</v>
      </c>
      <c r="F193" s="22">
        <f>IF(ISNUMBER(D193), $B199 * E193, "")</f>
        <v>461.53846153846155</v>
      </c>
      <c r="G193" s="30">
        <v>644</v>
      </c>
      <c r="H193" s="21">
        <f t="shared" si="103"/>
        <v>-9.2307692307692316E-3</v>
      </c>
      <c r="I193" s="95">
        <f>IF(ISNUMBER(G193), $B199 * H193, "")</f>
        <v>-1384.6153846153848</v>
      </c>
      <c r="J193" s="20">
        <v>644</v>
      </c>
      <c r="K193" s="21">
        <f t="shared" si="104"/>
        <v>-9.2307692307692316E-3</v>
      </c>
      <c r="L193" s="22">
        <f>IF(ISNUMBER(J193), $B199 * K193, "")</f>
        <v>-1384.6153846153848</v>
      </c>
      <c r="M193" s="30">
        <v>633</v>
      </c>
      <c r="N193" s="21">
        <f t="shared" si="105"/>
        <v>-2.6153846153846153E-2</v>
      </c>
      <c r="O193" s="22">
        <f>IF(ISNUMBER(M193), $B199 * N193, "")</f>
        <v>-3923.0769230769229</v>
      </c>
      <c r="Q193" s="156"/>
      <c r="R193" s="156"/>
      <c r="S193" s="156"/>
    </row>
    <row r="194" spans="1:19" ht="17.25" thickBot="1">
      <c r="A194" s="109" t="s">
        <v>113</v>
      </c>
      <c r="B194" s="113">
        <v>1345</v>
      </c>
      <c r="C194" s="73">
        <v>-3.9285714300000003E-2</v>
      </c>
      <c r="D194" s="96">
        <v>1350</v>
      </c>
      <c r="E194" s="97">
        <f>IF(ISNUMBER(D194), (D194 - $B194) / $B194, "")</f>
        <v>3.7174721189591076E-3</v>
      </c>
      <c r="F194" s="98">
        <f>IF(ISNUMBER(D194), $B199 * E194, "")</f>
        <v>557.62081784386612</v>
      </c>
      <c r="G194" s="99">
        <v>1355</v>
      </c>
      <c r="H194" s="97">
        <f>IF(ISNUMBER(G194), (G194 - $B194) / $B194, "")</f>
        <v>7.4349442379182153E-3</v>
      </c>
      <c r="I194" s="100">
        <f>IF(ISNUMBER(G194), $B199 * H194, "")</f>
        <v>1115.2416356877322</v>
      </c>
      <c r="J194" s="96">
        <v>1355</v>
      </c>
      <c r="K194" s="97">
        <f>IF(ISNUMBER(J194), (J194 - $B194) / $B194, "")</f>
        <v>7.4349442379182153E-3</v>
      </c>
      <c r="L194" s="98">
        <f>IF(ISNUMBER(J194), $B199 * K194, "")</f>
        <v>1115.2416356877322</v>
      </c>
      <c r="M194" s="99">
        <v>1335</v>
      </c>
      <c r="N194" s="97">
        <f>IF(ISNUMBER(M194), (M194 - $B194) / $B194, "")</f>
        <v>-7.4349442379182153E-3</v>
      </c>
      <c r="O194" s="98">
        <f>IF(ISNUMBER(M194), $B199 * N194, "")</f>
        <v>-1115.2416356877322</v>
      </c>
      <c r="Q194" s="161"/>
      <c r="R194" s="161"/>
      <c r="S194" s="161"/>
    </row>
    <row r="195" spans="1:19" ht="17.25" thickBot="1">
      <c r="A195" s="109" t="s">
        <v>151</v>
      </c>
      <c r="B195" s="110">
        <v>1985</v>
      </c>
      <c r="C195" s="70">
        <v>-4.5673076899999998E-2</v>
      </c>
      <c r="D195" s="15">
        <v>1985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2125</v>
      </c>
      <c r="H195" s="32">
        <f t="shared" ref="H195:H198" si="107">IF(ISNUMBER(G195), (G195 - $B195) / $B195, "")</f>
        <v>7.0528967254408062E-2</v>
      </c>
      <c r="I195" s="91">
        <f>IF(ISNUMBER(G195), $B199 * H195, "")</f>
        <v>10579.34508816121</v>
      </c>
      <c r="J195" s="15">
        <v>2125</v>
      </c>
      <c r="K195" s="32">
        <f t="shared" ref="K195:K198" si="108">IF(ISNUMBER(J195), (J195 - $B195) / $B195, "")</f>
        <v>7.0528967254408062E-2</v>
      </c>
      <c r="L195" s="18">
        <f>IF(ISNUMBER(J195), $B199 * K195, "")</f>
        <v>10579.34508816121</v>
      </c>
      <c r="M195" s="31">
        <v>2095</v>
      </c>
      <c r="N195" s="32">
        <f t="shared" ref="N195:N198" si="109">IF(ISNUMBER(M195), (M195 - $B195) / $B195, "")</f>
        <v>5.5415617128463476E-2</v>
      </c>
      <c r="O195" s="18">
        <f>IF(ISNUMBER(M195), $B199 * N195, "")</f>
        <v>8312.3425692695218</v>
      </c>
      <c r="Q195" s="161"/>
      <c r="R195" s="161"/>
      <c r="S195" s="161"/>
    </row>
    <row r="196" spans="1:19" ht="17.25" thickBot="1">
      <c r="A196" s="109" t="s">
        <v>208</v>
      </c>
      <c r="B196" s="110">
        <v>94</v>
      </c>
      <c r="C196" s="70">
        <v>-5.6224899600000003E-2</v>
      </c>
      <c r="D196" s="15">
        <v>92.3</v>
      </c>
      <c r="E196" s="32">
        <f t="shared" si="106"/>
        <v>-1.8085106382978753E-2</v>
      </c>
      <c r="F196" s="18">
        <f>IF(ISNUMBER(D196), $B199 * E196, "")</f>
        <v>-2712.765957446813</v>
      </c>
      <c r="G196" s="31">
        <v>91.2</v>
      </c>
      <c r="H196" s="32">
        <f t="shared" si="107"/>
        <v>-2.9787234042553162E-2</v>
      </c>
      <c r="I196" s="91">
        <f>IF(ISNUMBER(G196), $B199 * H196, "")</f>
        <v>-4468.0851063829741</v>
      </c>
      <c r="J196" s="15">
        <v>91.2</v>
      </c>
      <c r="K196" s="32">
        <f t="shared" si="108"/>
        <v>-2.9787234042553162E-2</v>
      </c>
      <c r="L196" s="18">
        <f>IF(ISNUMBER(J196), $B199 * K196, "")</f>
        <v>-4468.0851063829741</v>
      </c>
      <c r="M196" s="31">
        <v>90.8</v>
      </c>
      <c r="N196" s="32">
        <f t="shared" si="109"/>
        <v>-3.404255319148939E-2</v>
      </c>
      <c r="O196" s="18">
        <f>IF(ISNUMBER(M196), $B199 * N196, "")</f>
        <v>-5106.3829787234081</v>
      </c>
      <c r="Q196" s="161"/>
      <c r="R196" s="161"/>
      <c r="S196" s="161"/>
    </row>
    <row r="197" spans="1:19">
      <c r="A197" s="109" t="s">
        <v>165</v>
      </c>
      <c r="B197" s="110">
        <v>937</v>
      </c>
      <c r="C197" s="70">
        <v>-8.5853658499999999E-2</v>
      </c>
      <c r="D197" s="15">
        <v>879</v>
      </c>
      <c r="E197" s="32">
        <f t="shared" si="106"/>
        <v>-6.1899679829242264E-2</v>
      </c>
      <c r="F197" s="18">
        <f>IF(ISNUMBER(D197), $B199 * E197, "")</f>
        <v>-9284.9519743863402</v>
      </c>
      <c r="G197" s="31">
        <v>871</v>
      </c>
      <c r="H197" s="32">
        <f t="shared" si="107"/>
        <v>-7.0437566702241189E-2</v>
      </c>
      <c r="I197" s="91">
        <f>IF(ISNUMBER(G197), $B199 * H197, "")</f>
        <v>-10565.635005336178</v>
      </c>
      <c r="J197" s="15">
        <v>871</v>
      </c>
      <c r="K197" s="32">
        <f t="shared" si="108"/>
        <v>-7.0437566702241189E-2</v>
      </c>
      <c r="L197" s="18">
        <f>IF(ISNUMBER(J197), $B199 * K197, "")</f>
        <v>-10565.635005336178</v>
      </c>
      <c r="M197" s="31">
        <v>866</v>
      </c>
      <c r="N197" s="32">
        <f t="shared" si="109"/>
        <v>-7.577374599786553E-2</v>
      </c>
      <c r="O197" s="18">
        <f>IF(ISNUMBER(M197), $B199 * N197, "")</f>
        <v>-11366.061899679829</v>
      </c>
      <c r="Q197" s="183"/>
      <c r="R197" s="184"/>
      <c r="S197" s="185"/>
    </row>
    <row r="198" spans="1:19" ht="17.25" thickBot="1">
      <c r="A198" s="114" t="s">
        <v>214</v>
      </c>
      <c r="B198" s="115">
        <v>1020</v>
      </c>
      <c r="C198" s="72">
        <v>-0.1168831169</v>
      </c>
      <c r="D198" s="24">
        <v>969</v>
      </c>
      <c r="E198" s="25">
        <f t="shared" si="106"/>
        <v>-0.05</v>
      </c>
      <c r="F198" s="94">
        <f>IF(ISNUMBER(D198), $B199 * E198, "")</f>
        <v>-7500</v>
      </c>
      <c r="G198" s="92">
        <v>946</v>
      </c>
      <c r="H198" s="25">
        <f t="shared" si="107"/>
        <v>-7.2549019607843143E-2</v>
      </c>
      <c r="I198" s="93">
        <f>IF(ISNUMBER(G198), $B199 * H198, "")</f>
        <v>-10882.352941176472</v>
      </c>
      <c r="J198" s="24">
        <v>946</v>
      </c>
      <c r="K198" s="25">
        <f t="shared" si="108"/>
        <v>-7.2549019607843143E-2</v>
      </c>
      <c r="L198" s="94">
        <f>IF(ISNUMBER(J198), $B199 * K198, "")</f>
        <v>-10882.352941176472</v>
      </c>
      <c r="M198" s="92">
        <v>944</v>
      </c>
      <c r="N198" s="25">
        <f t="shared" si="109"/>
        <v>-7.4509803921568626E-2</v>
      </c>
      <c r="O198" s="94">
        <f>IF(ISNUMBER(M198), $B199 * N198, "")</f>
        <v>-11176.470588235294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-1.0596607723097225E-2</v>
      </c>
      <c r="F199" s="28">
        <f>SUM(F179:F198)</f>
        <v>-31789.823169291682</v>
      </c>
      <c r="G199" s="26" t="s">
        <v>261</v>
      </c>
      <c r="H199" s="27">
        <f>IF(COUNT(H179:H198), SUM(H179:H198) / COUNT(H179:H198), 0)</f>
        <v>-1.04458122192191E-2</v>
      </c>
      <c r="I199" s="28">
        <f>SUM(I179:I198)</f>
        <v>-31337.436657657294</v>
      </c>
      <c r="J199" s="26" t="s">
        <v>261</v>
      </c>
      <c r="K199" s="27">
        <f>IF(COUNT(K179:K198), SUM(K179:K198) / COUNT(K179:K198), 0)</f>
        <v>-1.04458122192191E-2</v>
      </c>
      <c r="L199" s="28">
        <f>SUM(L179:L198)</f>
        <v>-31337.436657657294</v>
      </c>
      <c r="M199" s="26" t="s">
        <v>261</v>
      </c>
      <c r="N199" s="27">
        <f>IF(COUNT(N179:N198), SUM(N179:N198) / COUNT(N179:N198), 0)</f>
        <v>-1.8404433101295158E-2</v>
      </c>
      <c r="O199" s="28">
        <f>SUM(O179:O198)</f>
        <v>-55213.299303885455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E59A3-2CF7-4910-A5D1-F04303EED36F}">
  <sheetPr codeName="Sheet2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44918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66,528 KRW (2.22%)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59,931 KRW (2.00%)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50,875 KRW (1.70%)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90,891 KRW (3.03%)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2022-12-23(금) 오전 00:00</v>
      </c>
      <c r="C15" s="202"/>
      <c r="D15" s="158" t="str">
        <f>TEXT($G$1, "[$-ko-KR]yyyy-mm-dd(ddd) ") &amp; "오후 14:00"</f>
        <v>2022-12-23(금) 오후 14:00</v>
      </c>
      <c r="E15" s="159"/>
      <c r="F15" s="160"/>
      <c r="G15" s="158" t="str">
        <f>TEXT($G$1, "[$-ko-KR]yyyy-mm-dd(ddd) ") &amp; "오후 19:00"</f>
        <v>2022-12-23(금) 오후 19:00</v>
      </c>
      <c r="H15" s="159"/>
      <c r="I15" s="160"/>
      <c r="J15" s="158" t="str">
        <f>TEXT($G$1, "[$-ko-KR]yyyy-mm-dd(ddd) ") &amp; "오후 21:00"</f>
        <v>2022-12-23(금) 오후 21:00</v>
      </c>
      <c r="K15" s="159"/>
      <c r="L15" s="160"/>
      <c r="M15" s="158" t="str">
        <f>TEXT($G$1+1, "[$-ko-KR]yyyy-mm-dd(ddd) ") &amp; "오전 00:00"</f>
        <v>2022-12-24(토)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2022-12-23(금) 오전 00:00</v>
      </c>
      <c r="C42" s="199"/>
      <c r="D42" s="158" t="str">
        <f>TEXT($G$1, "[$-ko-KR]yyyy-mm-dd(ddd) ") &amp; "오후 14:00"</f>
        <v>2022-12-23(금) 오후 14:00</v>
      </c>
      <c r="E42" s="159"/>
      <c r="F42" s="160"/>
      <c r="G42" s="158" t="str">
        <f>TEXT($G$1, "[$-ko-KR]yyyy-mm-dd(ddd) ") &amp; "오후 19:00"</f>
        <v>2022-12-23(금) 오후 19:00</v>
      </c>
      <c r="H42" s="159"/>
      <c r="I42" s="160"/>
      <c r="J42" s="158" t="str">
        <f>TEXT($G$1, "[$-ko-KR]yyyy-mm-dd(ddd) ") &amp; "오후 21:00"</f>
        <v>2022-12-23(금) 오후 21:00</v>
      </c>
      <c r="K42" s="159"/>
      <c r="L42" s="160"/>
      <c r="M42" s="158" t="str">
        <f>TEXT($G$1+1, "[$-ko-KR]yyyy-mm-dd(ddd) ") &amp; "오전 00:00"</f>
        <v>2022-12-24(토)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256</v>
      </c>
      <c r="B44" s="108">
        <v>98.3</v>
      </c>
      <c r="C44" s="69">
        <v>2.1829521800000001E-2</v>
      </c>
      <c r="D44" s="13">
        <v>101</v>
      </c>
      <c r="E44" s="14">
        <f>IF(ISNUMBER(D44), (D44 - $B44) / $B44, "")</f>
        <v>2.7466937945066154E-2</v>
      </c>
      <c r="F44" s="16">
        <f>IF(ISNUMBER(D44), $B64 * E44, "")</f>
        <v>4120.040691759923</v>
      </c>
      <c r="G44" s="29">
        <v>101</v>
      </c>
      <c r="H44" s="14">
        <f>IF(ISNUMBER(G44), (G44 - $B44) / $B44, "")</f>
        <v>2.7466937945066154E-2</v>
      </c>
      <c r="I44" s="90">
        <f>IF(ISNUMBER(G44), $B64 * H44, "")</f>
        <v>4120.040691759923</v>
      </c>
      <c r="J44" s="13">
        <v>101</v>
      </c>
      <c r="K44" s="14">
        <f>IF(ISNUMBER(J44), (J44 - $B44) / $B44, "")</f>
        <v>2.7466937945066154E-2</v>
      </c>
      <c r="L44" s="16">
        <f>IF(ISNUMBER(J44), $B64 * K44, "")</f>
        <v>4120.040691759923</v>
      </c>
      <c r="M44" s="29">
        <v>101</v>
      </c>
      <c r="N44" s="14">
        <f>IF(ISNUMBER(M44), (M44 - $B44) / $B44, "")</f>
        <v>2.7466937945066154E-2</v>
      </c>
      <c r="O44" s="16">
        <f>IF(ISNUMBER(M44), $B64 * N44, "")</f>
        <v>4120.040691759923</v>
      </c>
      <c r="Q44" s="156"/>
      <c r="R44" s="156"/>
      <c r="S44" s="156"/>
    </row>
    <row r="45" spans="1:19" ht="17.25" customHeight="1" thickBot="1">
      <c r="A45" s="109" t="s">
        <v>107</v>
      </c>
      <c r="B45" s="110">
        <v>36.799999999999997</v>
      </c>
      <c r="C45" s="70">
        <v>1.3774104699999999E-2</v>
      </c>
      <c r="D45" s="15">
        <v>37.700000000000003</v>
      </c>
      <c r="E45" s="32">
        <f t="shared" ref="E45:E48" si="14">IF(ISNUMBER(D45), (D45 - $B45) / $B45, "")</f>
        <v>2.4456521739130592E-2</v>
      </c>
      <c r="F45" s="18">
        <f>IF(ISNUMBER(D45), $B64 * E45, "")</f>
        <v>3668.4782608695887</v>
      </c>
      <c r="G45" s="31">
        <v>37.700000000000003</v>
      </c>
      <c r="H45" s="32">
        <f t="shared" ref="H45:H48" si="15">IF(ISNUMBER(G45), (G45 - $B45) / $B45, "")</f>
        <v>2.4456521739130592E-2</v>
      </c>
      <c r="I45" s="91">
        <f>IF(ISNUMBER(G45), $B64 * H45, "")</f>
        <v>3668.4782608695887</v>
      </c>
      <c r="J45" s="15">
        <v>37.700000000000003</v>
      </c>
      <c r="K45" s="32">
        <f t="shared" ref="K45:K48" si="16">IF(ISNUMBER(J45), (J45 - $B45) / $B45, "")</f>
        <v>2.4456521739130592E-2</v>
      </c>
      <c r="L45" s="18">
        <f>IF(ISNUMBER(J45), $B64 * K45, "")</f>
        <v>3668.4782608695887</v>
      </c>
      <c r="M45" s="31">
        <v>38</v>
      </c>
      <c r="N45" s="32">
        <f t="shared" ref="N45:N48" si="17">IF(ISNUMBER(M45), (M45 - $B45) / $B45, "")</f>
        <v>3.2608695652173995E-2</v>
      </c>
      <c r="O45" s="18">
        <f>IF(ISNUMBER(M45), $B64 * N45, "")</f>
        <v>4891.3043478260997</v>
      </c>
      <c r="Q45" s="156"/>
      <c r="R45" s="156"/>
      <c r="S45" s="156"/>
    </row>
    <row r="46" spans="1:19" ht="17.25" customHeight="1" thickBot="1">
      <c r="A46" s="109" t="s">
        <v>240</v>
      </c>
      <c r="B46" s="110">
        <v>26.6</v>
      </c>
      <c r="C46" s="70">
        <v>1.1406844100000001E-2</v>
      </c>
      <c r="D46" s="15">
        <v>27.1</v>
      </c>
      <c r="E46" s="32">
        <f t="shared" si="14"/>
        <v>1.8796992481203006E-2</v>
      </c>
      <c r="F46" s="18">
        <f>IF(ISNUMBER(D46), $B64 * E46, "")</f>
        <v>2819.5488721804509</v>
      </c>
      <c r="G46" s="31">
        <v>27.3</v>
      </c>
      <c r="H46" s="32">
        <f t="shared" si="15"/>
        <v>2.6315789473684181E-2</v>
      </c>
      <c r="I46" s="91">
        <f>IF(ISNUMBER(G46), $B64 * H46, "")</f>
        <v>3947.3684210526271</v>
      </c>
      <c r="J46" s="15">
        <v>27.3</v>
      </c>
      <c r="K46" s="32">
        <f t="shared" si="16"/>
        <v>2.6315789473684181E-2</v>
      </c>
      <c r="L46" s="18">
        <f>IF(ISNUMBER(J46), $B64 * K46, "")</f>
        <v>3947.3684210526271</v>
      </c>
      <c r="M46" s="31">
        <v>27.2</v>
      </c>
      <c r="N46" s="32">
        <f t="shared" si="17"/>
        <v>2.2556390977443528E-2</v>
      </c>
      <c r="O46" s="18">
        <f>IF(ISNUMBER(M46), $B64 * N46, "")</f>
        <v>3383.4586466165292</v>
      </c>
      <c r="Q46" s="161"/>
      <c r="R46" s="161"/>
      <c r="S46" s="161"/>
    </row>
    <row r="47" spans="1:19" ht="17.25" customHeight="1" thickBot="1">
      <c r="A47" s="109" t="s">
        <v>56</v>
      </c>
      <c r="B47" s="110">
        <v>39.1</v>
      </c>
      <c r="C47" s="70">
        <v>7.7319588E-3</v>
      </c>
      <c r="D47" s="15">
        <v>39.200000000000003</v>
      </c>
      <c r="E47" s="32">
        <f t="shared" si="14"/>
        <v>2.5575447570332843E-3</v>
      </c>
      <c r="F47" s="18">
        <f>IF(ISNUMBER(D47), $B64 * E47, "")</f>
        <v>383.63171355499264</v>
      </c>
      <c r="G47" s="31">
        <v>39.5</v>
      </c>
      <c r="H47" s="32">
        <f t="shared" si="15"/>
        <v>1.0230179028132955E-2</v>
      </c>
      <c r="I47" s="91">
        <f>IF(ISNUMBER(G47), $B64 * H47, "")</f>
        <v>1534.5268542199433</v>
      </c>
      <c r="J47" s="15">
        <v>39.5</v>
      </c>
      <c r="K47" s="32">
        <f t="shared" si="16"/>
        <v>1.0230179028132955E-2</v>
      </c>
      <c r="L47" s="18">
        <f>IF(ISNUMBER(J47), $B64 * K47, "")</f>
        <v>1534.5268542199433</v>
      </c>
      <c r="M47" s="31">
        <v>39.5</v>
      </c>
      <c r="N47" s="32">
        <f t="shared" si="17"/>
        <v>1.0230179028132955E-2</v>
      </c>
      <c r="O47" s="18">
        <f>IF(ISNUMBER(M47), $B64 * N47, "")</f>
        <v>1534.5268542199433</v>
      </c>
      <c r="Q47" s="161"/>
      <c r="R47" s="161"/>
      <c r="S47" s="161"/>
    </row>
    <row r="48" spans="1:19" ht="17.25" customHeight="1" thickBot="1">
      <c r="A48" s="111" t="s">
        <v>333</v>
      </c>
      <c r="B48" s="112">
        <v>56.1</v>
      </c>
      <c r="C48" s="71">
        <v>7.1813284999999996E-3</v>
      </c>
      <c r="D48" s="20">
        <v>56.5</v>
      </c>
      <c r="E48" s="21">
        <f t="shared" si="14"/>
        <v>7.1301247771835751E-3</v>
      </c>
      <c r="F48" s="22">
        <f>IF(ISNUMBER(D48), $B64 * E48, "")</f>
        <v>1069.5187165775362</v>
      </c>
      <c r="G48" s="30">
        <v>56.9</v>
      </c>
      <c r="H48" s="21">
        <f t="shared" si="15"/>
        <v>1.426024955436715E-2</v>
      </c>
      <c r="I48" s="95">
        <f>IF(ISNUMBER(G48), $B64 * H48, "")</f>
        <v>2139.0374331550724</v>
      </c>
      <c r="J48" s="20">
        <v>56.9</v>
      </c>
      <c r="K48" s="21">
        <f t="shared" si="16"/>
        <v>1.426024955436715E-2</v>
      </c>
      <c r="L48" s="22">
        <f>IF(ISNUMBER(J48), $B64 * K48, "")</f>
        <v>2139.0374331550724</v>
      </c>
      <c r="M48" s="30">
        <v>56.9</v>
      </c>
      <c r="N48" s="21">
        <f t="shared" si="17"/>
        <v>1.426024955436715E-2</v>
      </c>
      <c r="O48" s="22">
        <f>IF(ISNUMBER(M48), $B64 * N48, "")</f>
        <v>2139.0374331550724</v>
      </c>
      <c r="Q48" s="161"/>
      <c r="R48" s="161"/>
      <c r="S48" s="161"/>
    </row>
    <row r="49" spans="1:19" ht="17.25" customHeight="1" thickBot="1">
      <c r="A49" s="109" t="s">
        <v>244</v>
      </c>
      <c r="B49" s="113">
        <v>89.6</v>
      </c>
      <c r="C49" s="73">
        <v>3.3594624999999999E-3</v>
      </c>
      <c r="D49" s="96">
        <v>90</v>
      </c>
      <c r="E49" s="97">
        <f>IF(ISNUMBER(D49), (D49 - $B49) / $B49, "")</f>
        <v>4.4642857142857782E-3</v>
      </c>
      <c r="F49" s="98">
        <f>IF(ISNUMBER(D49), $B64 * E49, "")</f>
        <v>669.64285714286677</v>
      </c>
      <c r="G49" s="99">
        <v>90</v>
      </c>
      <c r="H49" s="97">
        <f>IF(ISNUMBER(G49), (G49 - $B49) / $B49, "")</f>
        <v>4.4642857142857782E-3</v>
      </c>
      <c r="I49" s="100">
        <f>IF(ISNUMBER(G49), $B64 * H49, "")</f>
        <v>669.64285714286677</v>
      </c>
      <c r="J49" s="96">
        <v>90</v>
      </c>
      <c r="K49" s="97">
        <f>IF(ISNUMBER(J49), (J49 - $B49) / $B49, "")</f>
        <v>4.4642857142857782E-3</v>
      </c>
      <c r="L49" s="98">
        <f>IF(ISNUMBER(J49), $B64 * K49, "")</f>
        <v>669.64285714286677</v>
      </c>
      <c r="M49" s="99">
        <v>89.7</v>
      </c>
      <c r="N49" s="97">
        <f>IF(ISNUMBER(M49), (M49 - $B49) / $B49, "")</f>
        <v>1.1160714285715237E-3</v>
      </c>
      <c r="O49" s="98">
        <f>IF(ISNUMBER(M49), $B64 * N49, "")</f>
        <v>167.41071428572855</v>
      </c>
      <c r="Q49" s="161"/>
      <c r="R49" s="161"/>
      <c r="S49" s="161"/>
    </row>
    <row r="50" spans="1:19" ht="17.25" customHeight="1" thickBot="1">
      <c r="A50" s="109" t="s">
        <v>97</v>
      </c>
      <c r="B50" s="110">
        <v>8.0000000000000004E-4</v>
      </c>
      <c r="C50" s="70">
        <v>0</v>
      </c>
      <c r="D50" s="15">
        <v>8.0000000000000004E-4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8.0000000000000004E-4</v>
      </c>
      <c r="H50" s="32">
        <f t="shared" ref="H50:H53" si="19">IF(ISNUMBER(G50), (G50 - $B50) / $B50, "")</f>
        <v>0</v>
      </c>
      <c r="I50" s="91">
        <f>IF(ISNUMBER(G50), $B64 * H50, "")</f>
        <v>0</v>
      </c>
      <c r="J50" s="15">
        <v>8.0000000000000004E-4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8.9999999999999998E-4</v>
      </c>
      <c r="N50" s="32">
        <f t="shared" ref="N50:N53" si="21">IF(ISNUMBER(M50), (M50 - $B50) / $B50, "")</f>
        <v>0.12499999999999992</v>
      </c>
      <c r="O50" s="18">
        <f>IF(ISNUMBER(M50), $B64 * N50, "")</f>
        <v>18749.999999999989</v>
      </c>
      <c r="Q50" s="161"/>
      <c r="R50" s="161"/>
      <c r="S50" s="161"/>
    </row>
    <row r="51" spans="1:19" ht="17.25" customHeight="1" thickBot="1">
      <c r="A51" s="109" t="s">
        <v>336</v>
      </c>
      <c r="B51" s="110">
        <v>74.2</v>
      </c>
      <c r="C51" s="70">
        <v>0</v>
      </c>
      <c r="D51" s="15">
        <v>75.099999999999994</v>
      </c>
      <c r="E51" s="32">
        <f t="shared" si="18"/>
        <v>1.2129380053908241E-2</v>
      </c>
      <c r="F51" s="18">
        <f>IF(ISNUMBER(D51), $B64 * E51, "")</f>
        <v>1819.4070080862361</v>
      </c>
      <c r="G51" s="31">
        <v>75.8</v>
      </c>
      <c r="H51" s="32">
        <f t="shared" si="19"/>
        <v>2.1563342318059221E-2</v>
      </c>
      <c r="I51" s="91">
        <f>IF(ISNUMBER(G51), $B64 * H51, "")</f>
        <v>3234.5013477088833</v>
      </c>
      <c r="J51" s="15">
        <v>75.8</v>
      </c>
      <c r="K51" s="32">
        <f t="shared" si="20"/>
        <v>2.1563342318059221E-2</v>
      </c>
      <c r="L51" s="18">
        <f>IF(ISNUMBER(J51), $B64 * K51, "")</f>
        <v>3234.5013477088833</v>
      </c>
      <c r="M51" s="31">
        <v>76.3</v>
      </c>
      <c r="N51" s="32">
        <f t="shared" si="21"/>
        <v>2.8301886792452751E-2</v>
      </c>
      <c r="O51" s="18">
        <f>IF(ISNUMBER(M51), $B64 * N51, "")</f>
        <v>4245.2830188679127</v>
      </c>
      <c r="Q51" s="161"/>
      <c r="R51" s="161"/>
      <c r="S51" s="161"/>
    </row>
    <row r="52" spans="1:19" ht="17.25" customHeight="1" thickBot="1">
      <c r="A52" s="109" t="s">
        <v>145</v>
      </c>
      <c r="B52" s="110">
        <v>71.5</v>
      </c>
      <c r="C52" s="70">
        <v>-2.7894003000000001E-3</v>
      </c>
      <c r="D52" s="15">
        <v>71.3</v>
      </c>
      <c r="E52" s="32">
        <f t="shared" si="18"/>
        <v>-2.7972027972028371E-3</v>
      </c>
      <c r="F52" s="18">
        <f>IF(ISNUMBER(D52), $B64 * E52, "")</f>
        <v>-419.58041958042554</v>
      </c>
      <c r="G52" s="31">
        <v>71.2</v>
      </c>
      <c r="H52" s="32">
        <f t="shared" si="19"/>
        <v>-4.1958041958041559E-3</v>
      </c>
      <c r="I52" s="91">
        <f>IF(ISNUMBER(G52), $B64 * H52, "")</f>
        <v>-629.37062937062342</v>
      </c>
      <c r="J52" s="15">
        <v>71.2</v>
      </c>
      <c r="K52" s="32">
        <f t="shared" si="20"/>
        <v>-4.1958041958041559E-3</v>
      </c>
      <c r="L52" s="18">
        <f>IF(ISNUMBER(J52), $B64 * K52, "")</f>
        <v>-629.37062937062342</v>
      </c>
      <c r="M52" s="31">
        <v>71.099999999999994</v>
      </c>
      <c r="N52" s="32">
        <f t="shared" si="21"/>
        <v>-5.5944055944056742E-3</v>
      </c>
      <c r="O52" s="18">
        <f>IF(ISNUMBER(M52), $B64 * N52, "")</f>
        <v>-839.16083916085108</v>
      </c>
      <c r="Q52" s="33"/>
      <c r="R52" s="33"/>
    </row>
    <row r="53" spans="1:19" ht="17.25" customHeight="1" thickBot="1">
      <c r="A53" s="114" t="s">
        <v>126</v>
      </c>
      <c r="B53" s="115">
        <v>23.2</v>
      </c>
      <c r="C53" s="72">
        <v>-8.5470084999999998E-3</v>
      </c>
      <c r="D53" s="24">
        <v>23.5</v>
      </c>
      <c r="E53" s="25">
        <f t="shared" si="18"/>
        <v>1.2931034482758652E-2</v>
      </c>
      <c r="F53" s="94">
        <f>IF(ISNUMBER(D53), $B64 * E53, "")</f>
        <v>1939.6551724137978</v>
      </c>
      <c r="G53" s="92">
        <v>23.6</v>
      </c>
      <c r="H53" s="25">
        <f t="shared" si="19"/>
        <v>1.7241379310344921E-2</v>
      </c>
      <c r="I53" s="93">
        <f>IF(ISNUMBER(G53), $B64 * H53, "")</f>
        <v>2586.2068965517383</v>
      </c>
      <c r="J53" s="24">
        <v>23.6</v>
      </c>
      <c r="K53" s="25">
        <f t="shared" si="20"/>
        <v>1.7241379310344921E-2</v>
      </c>
      <c r="L53" s="94">
        <f>IF(ISNUMBER(J53), $B64 * K53, "")</f>
        <v>2586.2068965517383</v>
      </c>
      <c r="M53" s="92">
        <v>23.5</v>
      </c>
      <c r="N53" s="25">
        <f t="shared" si="21"/>
        <v>1.2931034482758652E-2</v>
      </c>
      <c r="O53" s="94">
        <f>IF(ISNUMBER(M53), $B64 * N53, "")</f>
        <v>1939.6551724137978</v>
      </c>
      <c r="Q53" s="170"/>
      <c r="R53" s="171"/>
      <c r="S53" s="172"/>
    </row>
    <row r="54" spans="1:19" ht="17.25" customHeight="1">
      <c r="A54" s="107" t="s">
        <v>51</v>
      </c>
      <c r="B54" s="108">
        <v>97.1</v>
      </c>
      <c r="C54" s="69">
        <v>-9.1836734999999996E-3</v>
      </c>
      <c r="D54" s="13">
        <v>98.5</v>
      </c>
      <c r="E54" s="14">
        <f>IF(ISNUMBER(D54), (D54 - $B54) / $B54, "")</f>
        <v>1.4418125643666383E-2</v>
      </c>
      <c r="F54" s="16">
        <f>IF(ISNUMBER(D54), $B64 * E54, "")</f>
        <v>2162.7188465499576</v>
      </c>
      <c r="G54" s="29">
        <v>98.4</v>
      </c>
      <c r="H54" s="14">
        <f>IF(ISNUMBER(G54), (G54 - $B54) / $B54, "")</f>
        <v>1.3388259526261704E-2</v>
      </c>
      <c r="I54" s="90">
        <f>IF(ISNUMBER(G54), $B64 * H54, "")</f>
        <v>2008.2389289392556</v>
      </c>
      <c r="J54" s="13">
        <v>98.4</v>
      </c>
      <c r="K54" s="14">
        <f>IF(ISNUMBER(J54), (J54 - $B54) / $B54, "")</f>
        <v>1.3388259526261704E-2</v>
      </c>
      <c r="L54" s="16">
        <f>IF(ISNUMBER(J54), $B64 * K54, "")</f>
        <v>2008.2389289392556</v>
      </c>
      <c r="M54" s="29">
        <v>98.5</v>
      </c>
      <c r="N54" s="14">
        <f>IF(ISNUMBER(M54), (M54 - $B54) / $B54, "")</f>
        <v>1.4418125643666383E-2</v>
      </c>
      <c r="O54" s="16">
        <f>IF(ISNUMBER(M54), $B64 * N54, "")</f>
        <v>2162.7188465499576</v>
      </c>
      <c r="Q54" s="173"/>
      <c r="R54" s="174"/>
      <c r="S54" s="175"/>
    </row>
    <row r="55" spans="1:19" ht="17.25" customHeight="1" thickBot="1">
      <c r="A55" s="109" t="s">
        <v>220</v>
      </c>
      <c r="B55" s="110">
        <v>62.2</v>
      </c>
      <c r="C55" s="70">
        <v>-9.5541401000000005E-3</v>
      </c>
      <c r="D55" s="15">
        <v>62.7</v>
      </c>
      <c r="E55" s="32">
        <f t="shared" ref="E55:E58" si="22">IF(ISNUMBER(D55), (D55 - $B55) / $B55, "")</f>
        <v>8.0385852090032149E-3</v>
      </c>
      <c r="F55" s="18">
        <f>IF(ISNUMBER(D55), $B64 * E55, "")</f>
        <v>1205.7877813504822</v>
      </c>
      <c r="G55" s="31">
        <v>62.9</v>
      </c>
      <c r="H55" s="32">
        <f t="shared" ref="H55:H58" si="23">IF(ISNUMBER(G55), (G55 - $B55) / $B55, "")</f>
        <v>1.1254019292604433E-2</v>
      </c>
      <c r="I55" s="91">
        <f>IF(ISNUMBER(G55), $B64 * H55, "")</f>
        <v>1688.102893890665</v>
      </c>
      <c r="J55" s="15">
        <v>62.9</v>
      </c>
      <c r="K55" s="32">
        <f t="shared" ref="K55:K58" si="24">IF(ISNUMBER(J55), (J55 - $B55) / $B55, "")</f>
        <v>1.1254019292604433E-2</v>
      </c>
      <c r="L55" s="18">
        <f>IF(ISNUMBER(J55), $B64 * K55, "")</f>
        <v>1688.102893890665</v>
      </c>
      <c r="M55" s="31">
        <v>63</v>
      </c>
      <c r="N55" s="32">
        <f t="shared" ref="N55:N58" si="25">IF(ISNUMBER(M55), (M55 - $B55) / $B55, "")</f>
        <v>1.2861736334405098E-2</v>
      </c>
      <c r="O55" s="18">
        <f>IF(ISNUMBER(M55), $B64 * N55, "")</f>
        <v>1929.2604501607645</v>
      </c>
      <c r="Q55" s="176"/>
      <c r="R55" s="177"/>
      <c r="S55" s="178"/>
    </row>
    <row r="56" spans="1:19" ht="17.25" customHeight="1" thickBot="1">
      <c r="A56" s="109" t="s">
        <v>71</v>
      </c>
      <c r="B56" s="110">
        <v>10.199999999999999</v>
      </c>
      <c r="C56" s="70">
        <v>-9.7087379000000001E-3</v>
      </c>
      <c r="D56" s="15">
        <v>10.1</v>
      </c>
      <c r="E56" s="32">
        <f t="shared" si="22"/>
        <v>-9.8039215686274161E-3</v>
      </c>
      <c r="F56" s="18">
        <f>IF(ISNUMBER(D56), $B64 * E56, "")</f>
        <v>-1470.5882352941123</v>
      </c>
      <c r="G56" s="31">
        <v>10.3</v>
      </c>
      <c r="H56" s="32">
        <f t="shared" si="23"/>
        <v>9.8039215686275914E-3</v>
      </c>
      <c r="I56" s="91">
        <f>IF(ISNUMBER(G56), $B64 * H56, "")</f>
        <v>1470.5882352941387</v>
      </c>
      <c r="J56" s="15">
        <v>10.3</v>
      </c>
      <c r="K56" s="32">
        <f t="shared" si="24"/>
        <v>9.8039215686275914E-3</v>
      </c>
      <c r="L56" s="18">
        <f>IF(ISNUMBER(J56), $B64 * K56, "")</f>
        <v>1470.5882352941387</v>
      </c>
      <c r="M56" s="31">
        <v>10.3</v>
      </c>
      <c r="N56" s="32">
        <f t="shared" si="25"/>
        <v>9.8039215686275914E-3</v>
      </c>
      <c r="O56" s="18">
        <f>IF(ISNUMBER(M56), $B64 * N56, "")</f>
        <v>1470.5882352941387</v>
      </c>
      <c r="Q56" s="161"/>
      <c r="R56" s="161"/>
      <c r="S56" s="161"/>
    </row>
    <row r="57" spans="1:19" ht="17.25" customHeight="1" thickBot="1">
      <c r="A57" s="109" t="s">
        <v>155</v>
      </c>
      <c r="B57" s="110">
        <v>27</v>
      </c>
      <c r="C57" s="70">
        <v>-1.0989011E-2</v>
      </c>
      <c r="D57" s="15">
        <v>27.4</v>
      </c>
      <c r="E57" s="32">
        <f t="shared" si="22"/>
        <v>1.4814814814814762E-2</v>
      </c>
      <c r="F57" s="18">
        <f>IF(ISNUMBER(D57), $B64 * E57, "")</f>
        <v>2222.2222222222144</v>
      </c>
      <c r="G57" s="31">
        <v>27.2</v>
      </c>
      <c r="H57" s="32">
        <f t="shared" si="23"/>
        <v>7.4074074074073808E-3</v>
      </c>
      <c r="I57" s="91">
        <f>IF(ISNUMBER(G57), $B64 * H57, "")</f>
        <v>1111.1111111111072</v>
      </c>
      <c r="J57" s="15">
        <v>27.2</v>
      </c>
      <c r="K57" s="32">
        <f t="shared" si="24"/>
        <v>7.4074074074073808E-3</v>
      </c>
      <c r="L57" s="18">
        <f>IF(ISNUMBER(J57), $B64 * K57, "")</f>
        <v>1111.1111111111072</v>
      </c>
      <c r="M57" s="31">
        <v>27.4</v>
      </c>
      <c r="N57" s="32">
        <f t="shared" si="25"/>
        <v>1.4814814814814762E-2</v>
      </c>
      <c r="O57" s="18">
        <f>IF(ISNUMBER(M57), $B64 * N57, "")</f>
        <v>2222.2222222222144</v>
      </c>
      <c r="Q57" s="156"/>
      <c r="R57" s="156"/>
      <c r="S57" s="156"/>
    </row>
    <row r="58" spans="1:19" ht="17.25" customHeight="1" thickBot="1">
      <c r="A58" s="111" t="s">
        <v>64</v>
      </c>
      <c r="B58" s="112">
        <v>9.2100000000000009</v>
      </c>
      <c r="C58" s="71">
        <v>-1.2861736299999999E-2</v>
      </c>
      <c r="D58" s="20">
        <v>9.33</v>
      </c>
      <c r="E58" s="21">
        <f t="shared" si="22"/>
        <v>1.3029315960911966E-2</v>
      </c>
      <c r="F58" s="22">
        <f>IF(ISNUMBER(D58), $B64 * E58, "")</f>
        <v>1954.3973941367949</v>
      </c>
      <c r="G58" s="30">
        <v>9.35</v>
      </c>
      <c r="H58" s="21">
        <f t="shared" si="23"/>
        <v>1.5200868621063929E-2</v>
      </c>
      <c r="I58" s="95">
        <f>IF(ISNUMBER(G58), $B64 * H58, "")</f>
        <v>2280.1302931595892</v>
      </c>
      <c r="J58" s="20">
        <v>9.35</v>
      </c>
      <c r="K58" s="21">
        <f t="shared" si="24"/>
        <v>1.5200868621063929E-2</v>
      </c>
      <c r="L58" s="22">
        <f>IF(ISNUMBER(J58), $B64 * K58, "")</f>
        <v>2280.1302931595892</v>
      </c>
      <c r="M58" s="30">
        <v>9.36</v>
      </c>
      <c r="N58" s="21">
        <f t="shared" si="25"/>
        <v>1.6286644951139909E-2</v>
      </c>
      <c r="O58" s="22">
        <f>IF(ISNUMBER(M58), $B64 * N58, "")</f>
        <v>2442.9967426709864</v>
      </c>
      <c r="Q58" s="156"/>
      <c r="R58" s="156"/>
      <c r="S58" s="156"/>
    </row>
    <row r="59" spans="1:19" ht="17.25" customHeight="1" thickBot="1">
      <c r="A59" s="109" t="s">
        <v>141</v>
      </c>
      <c r="B59" s="113">
        <v>3.14</v>
      </c>
      <c r="C59" s="73">
        <v>-1.5673981199999999E-2</v>
      </c>
      <c r="D59" s="96">
        <v>3.14</v>
      </c>
      <c r="E59" s="97">
        <f>IF(ISNUMBER(D59), (D59 - $B59) / $B59, "")</f>
        <v>0</v>
      </c>
      <c r="F59" s="98">
        <f>IF(ISNUMBER(D59), $B64 * E59, "")</f>
        <v>0</v>
      </c>
      <c r="G59" s="99">
        <v>3.14</v>
      </c>
      <c r="H59" s="97">
        <f>IF(ISNUMBER(G59), (G59 - $B59) / $B59, "")</f>
        <v>0</v>
      </c>
      <c r="I59" s="100">
        <f>IF(ISNUMBER(G59), $B64 * H59, "")</f>
        <v>0</v>
      </c>
      <c r="J59" s="96">
        <v>3.14</v>
      </c>
      <c r="K59" s="97">
        <f>IF(ISNUMBER(J59), (J59 - $B59) / $B59, "")</f>
        <v>0</v>
      </c>
      <c r="L59" s="98">
        <f>IF(ISNUMBER(J59), $B64 * K59, "")</f>
        <v>0</v>
      </c>
      <c r="M59" s="99">
        <v>3.13</v>
      </c>
      <c r="N59" s="97">
        <f>IF(ISNUMBER(M59), (M59 - $B59) / $B59, "")</f>
        <v>-3.1847133757962518E-3</v>
      </c>
      <c r="O59" s="98">
        <f>IF(ISNUMBER(M59), $B64 * N59, "")</f>
        <v>-477.70700636943775</v>
      </c>
      <c r="Q59" s="161"/>
      <c r="R59" s="161"/>
      <c r="S59" s="161"/>
    </row>
    <row r="60" spans="1:19" ht="17.25" customHeight="1" thickBot="1">
      <c r="A60" s="109" t="s">
        <v>335</v>
      </c>
      <c r="B60" s="110">
        <v>3.0599999999999999E-2</v>
      </c>
      <c r="C60" s="70">
        <v>-1.60771704E-2</v>
      </c>
      <c r="D60" s="15">
        <v>3.1199999999999999E-2</v>
      </c>
      <c r="E60" s="32">
        <f t="shared" ref="E60:E63" si="26">IF(ISNUMBER(D60), (D60 - $B60) / $B60, "")</f>
        <v>1.9607843137254898E-2</v>
      </c>
      <c r="F60" s="18">
        <f>IF(ISNUMBER(D60), $B64 * E60, "")</f>
        <v>2941.1764705882347</v>
      </c>
      <c r="G60" s="31">
        <v>3.1300000000000001E-2</v>
      </c>
      <c r="H60" s="32">
        <f t="shared" ref="H60:H63" si="27">IF(ISNUMBER(G60), (G60 - $B60) / $B60, "")</f>
        <v>2.2875816993464141E-2</v>
      </c>
      <c r="I60" s="91">
        <f>IF(ISNUMBER(G60), $B64 * H60, "")</f>
        <v>3431.3725490196211</v>
      </c>
      <c r="J60" s="15">
        <v>3.1300000000000001E-2</v>
      </c>
      <c r="K60" s="32">
        <f t="shared" ref="K60:K63" si="28">IF(ISNUMBER(J60), (J60 - $B60) / $B60, "")</f>
        <v>2.2875816993464141E-2</v>
      </c>
      <c r="L60" s="18">
        <f>IF(ISNUMBER(J60), $B64 * K60, "")</f>
        <v>3431.3725490196211</v>
      </c>
      <c r="M60" s="31">
        <v>3.1300000000000001E-2</v>
      </c>
      <c r="N60" s="32">
        <f t="shared" ref="N60:N63" si="29">IF(ISNUMBER(M60), (M60 - $B60) / $B60, "")</f>
        <v>2.2875816993464141E-2</v>
      </c>
      <c r="O60" s="18">
        <f>IF(ISNUMBER(M60), $B64 * N60, "")</f>
        <v>3431.3725490196211</v>
      </c>
      <c r="Q60" s="161"/>
      <c r="R60" s="161"/>
      <c r="S60" s="161"/>
    </row>
    <row r="61" spans="1:19" ht="17.25" customHeight="1" thickBot="1">
      <c r="A61" s="109" t="s">
        <v>124</v>
      </c>
      <c r="B61" s="110">
        <v>29.7</v>
      </c>
      <c r="C61" s="70">
        <v>-1.6556291399999999E-2</v>
      </c>
      <c r="D61" s="15">
        <v>30.2</v>
      </c>
      <c r="E61" s="32">
        <f t="shared" si="26"/>
        <v>1.6835016835016835E-2</v>
      </c>
      <c r="F61" s="18">
        <f>IF(ISNUMBER(D61), $B64 * E61, "")</f>
        <v>2525.2525252525252</v>
      </c>
      <c r="G61" s="31">
        <v>30.4</v>
      </c>
      <c r="H61" s="32">
        <f t="shared" si="27"/>
        <v>2.3569023569023545E-2</v>
      </c>
      <c r="I61" s="91">
        <f>IF(ISNUMBER(G61), $B64 * H61, "")</f>
        <v>3535.3535353535317</v>
      </c>
      <c r="J61" s="15">
        <v>30.4</v>
      </c>
      <c r="K61" s="32">
        <f t="shared" si="28"/>
        <v>2.3569023569023545E-2</v>
      </c>
      <c r="L61" s="18">
        <f>IF(ISNUMBER(J61), $B64 * K61, "")</f>
        <v>3535.3535353535317</v>
      </c>
      <c r="M61" s="31">
        <v>30.4</v>
      </c>
      <c r="N61" s="32">
        <f t="shared" si="29"/>
        <v>2.3569023569023545E-2</v>
      </c>
      <c r="O61" s="18">
        <f>IF(ISNUMBER(M61), $B64 * N61, "")</f>
        <v>3535.3535353535317</v>
      </c>
      <c r="Q61" s="161"/>
      <c r="R61" s="161"/>
      <c r="S61" s="161"/>
    </row>
    <row r="62" spans="1:19" ht="17.25" customHeight="1">
      <c r="A62" s="109" t="s">
        <v>193</v>
      </c>
      <c r="B62" s="110">
        <v>17</v>
      </c>
      <c r="C62" s="70">
        <v>-1.7341040499999998E-2</v>
      </c>
      <c r="D62" s="15">
        <v>17.2</v>
      </c>
      <c r="E62" s="32">
        <f t="shared" si="26"/>
        <v>1.1764705882352899E-2</v>
      </c>
      <c r="F62" s="18">
        <f>IF(ISNUMBER(D62), $B64 * E62, "")</f>
        <v>1764.7058823529349</v>
      </c>
      <c r="G62" s="31">
        <v>17.100000000000001</v>
      </c>
      <c r="H62" s="32">
        <f t="shared" si="27"/>
        <v>5.8823529411765538E-3</v>
      </c>
      <c r="I62" s="91">
        <f>IF(ISNUMBER(G62), $B64 * H62, "")</f>
        <v>882.35294117648311</v>
      </c>
      <c r="J62" s="15">
        <v>17.100000000000001</v>
      </c>
      <c r="K62" s="32">
        <f t="shared" si="28"/>
        <v>5.8823529411765538E-3</v>
      </c>
      <c r="L62" s="18">
        <f>IF(ISNUMBER(J62), $B64 * K62, "")</f>
        <v>882.35294117648311</v>
      </c>
      <c r="M62" s="31">
        <v>17.100000000000001</v>
      </c>
      <c r="N62" s="32">
        <f t="shared" si="29"/>
        <v>5.8823529411765538E-3</v>
      </c>
      <c r="O62" s="18">
        <f>IF(ISNUMBER(M62), $B64 * N62, "")</f>
        <v>882.35294117648311</v>
      </c>
      <c r="Q62" s="183"/>
      <c r="R62" s="184"/>
      <c r="S62" s="185"/>
    </row>
    <row r="63" spans="1:19" ht="17.25" customHeight="1" thickBot="1">
      <c r="A63" s="114" t="s">
        <v>138</v>
      </c>
      <c r="B63" s="115">
        <v>22.5</v>
      </c>
      <c r="C63" s="72">
        <v>-1.7467248899999999E-2</v>
      </c>
      <c r="D63" s="24">
        <v>22.7</v>
      </c>
      <c r="E63" s="25">
        <f t="shared" si="26"/>
        <v>8.8888888888888577E-3</v>
      </c>
      <c r="F63" s="94">
        <f>IF(ISNUMBER(D63), $B64 * E63, "")</f>
        <v>1333.3333333333287</v>
      </c>
      <c r="G63" s="92">
        <v>23</v>
      </c>
      <c r="H63" s="25">
        <f t="shared" si="27"/>
        <v>2.2222222222222223E-2</v>
      </c>
      <c r="I63" s="93">
        <f>IF(ISNUMBER(G63), $B64 * H63, "")</f>
        <v>3333.3333333333335</v>
      </c>
      <c r="J63" s="24">
        <v>23</v>
      </c>
      <c r="K63" s="25">
        <f t="shared" si="28"/>
        <v>2.2222222222222223E-2</v>
      </c>
      <c r="L63" s="94">
        <f>IF(ISNUMBER(J63), $B64 * K63, "")</f>
        <v>3333.3333333333335</v>
      </c>
      <c r="M63" s="92">
        <v>22.8</v>
      </c>
      <c r="N63" s="25">
        <f t="shared" si="29"/>
        <v>1.3333333333333365E-2</v>
      </c>
      <c r="O63" s="94">
        <f>IF(ISNUMBER(M63), $B64 * N63, "")</f>
        <v>2000.0000000000048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1.0236449697832443E-2</v>
      </c>
      <c r="F64" s="28">
        <f>SUM(F44:F63)</f>
        <v>30709.349093497327</v>
      </c>
      <c r="G64" s="26" t="s">
        <v>261</v>
      </c>
      <c r="H64" s="27">
        <f>IF(COUNT(H44:H63), SUM(H44:H63) / COUNT(H44:H63), 0)</f>
        <v>1.3670338651455916E-2</v>
      </c>
      <c r="I64" s="28">
        <f>SUM(I44:I63)</f>
        <v>41011.015954367744</v>
      </c>
      <c r="J64" s="26" t="s">
        <v>261</v>
      </c>
      <c r="K64" s="27">
        <f>IF(COUNT(K44:K63), SUM(K44:K63) / COUNT(K44:K63), 0)</f>
        <v>1.3670338651455916E-2</v>
      </c>
      <c r="L64" s="28">
        <f>SUM(L44:L63)</f>
        <v>41011.015954367744</v>
      </c>
      <c r="M64" s="26" t="s">
        <v>261</v>
      </c>
      <c r="N64" s="27">
        <f>IF(COUNT(N44:N63), SUM(N44:N63) / COUNT(N44:N63), 0)</f>
        <v>1.9976904852020808E-2</v>
      </c>
      <c r="O64" s="28">
        <f>SUM(O44:O63)</f>
        <v>59930.714556062405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2022-12-23(금) 오전 00:00</v>
      </c>
      <c r="C69" s="199"/>
      <c r="D69" s="158" t="str">
        <f>TEXT($G$1, "[$-ko-KR]yyyy-mm-dd(ddd) ") &amp; "오후 14:00"</f>
        <v>2022-12-23(금) 오후 14:00</v>
      </c>
      <c r="E69" s="159"/>
      <c r="F69" s="160"/>
      <c r="G69" s="158" t="str">
        <f>TEXT($G$1, "[$-ko-KR]yyyy-mm-dd(ddd) ") &amp; "오후 19:00"</f>
        <v>2022-12-23(금) 오후 19:00</v>
      </c>
      <c r="H69" s="159"/>
      <c r="I69" s="160"/>
      <c r="J69" s="158" t="str">
        <f>TEXT($G$1, "[$-ko-KR]yyyy-mm-dd(ddd) ") &amp; "오후 21:00"</f>
        <v>2022-12-23(금) 오후 21:00</v>
      </c>
      <c r="K69" s="159"/>
      <c r="L69" s="160"/>
      <c r="M69" s="158" t="str">
        <f>TEXT($G$1+1, "[$-ko-KR]yyyy-mm-dd(ddd) ") &amp; "오전 00:00"</f>
        <v>2022-12-24(토)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232</v>
      </c>
      <c r="B71" s="108">
        <v>256</v>
      </c>
      <c r="C71" s="69">
        <v>3.9215685999999996E-3</v>
      </c>
      <c r="D71" s="13">
        <v>259</v>
      </c>
      <c r="E71" s="14">
        <f>IF(ISNUMBER(D71), (D71 - $B71) / $B71, "")</f>
        <v>1.171875E-2</v>
      </c>
      <c r="F71" s="16">
        <f>IF(ISNUMBER(D71), $B91 * E71, "")</f>
        <v>1757.8125</v>
      </c>
      <c r="G71" s="29">
        <v>258</v>
      </c>
      <c r="H71" s="14">
        <f>IF(ISNUMBER(G71), (G71 - $B71) / $B71, "")</f>
        <v>7.8125E-3</v>
      </c>
      <c r="I71" s="90">
        <f>IF(ISNUMBER(G71), $B91 * H71, "")</f>
        <v>1171.875</v>
      </c>
      <c r="J71" s="13">
        <v>258</v>
      </c>
      <c r="K71" s="14">
        <f>IF(ISNUMBER(J71), (J71 - $B71) / $B71, "")</f>
        <v>7.8125E-3</v>
      </c>
      <c r="L71" s="16">
        <f>IF(ISNUMBER(J71), $B91 * K71, "")</f>
        <v>1171.875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156"/>
      <c r="R71" s="156"/>
      <c r="S71" s="156"/>
    </row>
    <row r="72" spans="1:19" ht="17.25" thickBot="1">
      <c r="A72" s="109" t="s">
        <v>218</v>
      </c>
      <c r="B72" s="110">
        <v>309</v>
      </c>
      <c r="C72" s="70">
        <v>3.2467531999999999E-3</v>
      </c>
      <c r="D72" s="15">
        <v>309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312</v>
      </c>
      <c r="H72" s="32">
        <f t="shared" ref="H72:H75" si="31">IF(ISNUMBER(G72), (G72 - $B72) / $B72, "")</f>
        <v>9.7087378640776691E-3</v>
      </c>
      <c r="I72" s="91">
        <f>IF(ISNUMBER(G72), $B91 * H72, "")</f>
        <v>1456.3106796116504</v>
      </c>
      <c r="J72" s="15">
        <v>312</v>
      </c>
      <c r="K72" s="32">
        <f t="shared" ref="K72:K75" si="32">IF(ISNUMBER(J72), (J72 - $B72) / $B72, "")</f>
        <v>9.7087378640776691E-3</v>
      </c>
      <c r="L72" s="18">
        <f>IF(ISNUMBER(J72), $B91 * K72, "")</f>
        <v>1456.3106796116504</v>
      </c>
      <c r="M72" s="31">
        <v>311</v>
      </c>
      <c r="N72" s="32">
        <f t="shared" ref="N72:N75" si="33">IF(ISNUMBER(M72), (M72 - $B72) / $B72, "")</f>
        <v>6.4724919093851136E-3</v>
      </c>
      <c r="O72" s="18">
        <f>IF(ISNUMBER(M72), $B91 * N72, "")</f>
        <v>970.87378640776706</v>
      </c>
      <c r="Q72" s="156"/>
      <c r="R72" s="156"/>
      <c r="S72" s="156"/>
    </row>
    <row r="73" spans="1:19" ht="17.25" thickBot="1">
      <c r="A73" s="109" t="s">
        <v>157</v>
      </c>
      <c r="B73" s="110">
        <v>172</v>
      </c>
      <c r="C73" s="70">
        <v>0</v>
      </c>
      <c r="D73" s="15">
        <v>173</v>
      </c>
      <c r="E73" s="32">
        <f t="shared" si="30"/>
        <v>5.8139534883720929E-3</v>
      </c>
      <c r="F73" s="18">
        <f>IF(ISNUMBER(D73), $B91 * E73, "")</f>
        <v>872.09302325581393</v>
      </c>
      <c r="G73" s="31">
        <v>175</v>
      </c>
      <c r="H73" s="32">
        <f t="shared" si="31"/>
        <v>1.7441860465116279E-2</v>
      </c>
      <c r="I73" s="91">
        <f>IF(ISNUMBER(G73), $B91 * H73, "")</f>
        <v>2616.2790697674418</v>
      </c>
      <c r="J73" s="15">
        <v>175</v>
      </c>
      <c r="K73" s="32">
        <f t="shared" si="32"/>
        <v>1.7441860465116279E-2</v>
      </c>
      <c r="L73" s="18">
        <f>IF(ISNUMBER(J73), $B91 * K73, "")</f>
        <v>2616.2790697674418</v>
      </c>
      <c r="M73" s="31">
        <v>176</v>
      </c>
      <c r="N73" s="32">
        <f t="shared" si="33"/>
        <v>2.3255813953488372E-2</v>
      </c>
      <c r="O73" s="18">
        <f>IF(ISNUMBER(M73), $B91 * N73, "")</f>
        <v>3488.3720930232557</v>
      </c>
      <c r="Q73" s="161"/>
      <c r="R73" s="161"/>
      <c r="S73" s="161"/>
    </row>
    <row r="74" spans="1:19" ht="17.25" thickBot="1">
      <c r="A74" s="109" t="s">
        <v>337</v>
      </c>
      <c r="B74" s="110">
        <v>274</v>
      </c>
      <c r="C74" s="70">
        <v>-3.6363635999999999E-3</v>
      </c>
      <c r="D74" s="15">
        <v>279</v>
      </c>
      <c r="E74" s="32">
        <f t="shared" si="30"/>
        <v>1.824817518248175E-2</v>
      </c>
      <c r="F74" s="18">
        <f>IF(ISNUMBER(D74), $B91 * E74, "")</f>
        <v>2737.2262773722628</v>
      </c>
      <c r="G74" s="31">
        <v>280</v>
      </c>
      <c r="H74" s="32">
        <f t="shared" si="31"/>
        <v>2.1897810218978103E-2</v>
      </c>
      <c r="I74" s="91">
        <f>IF(ISNUMBER(G74), $B91 * H74, "")</f>
        <v>3284.6715328467153</v>
      </c>
      <c r="J74" s="15">
        <v>280</v>
      </c>
      <c r="K74" s="32">
        <f t="shared" si="32"/>
        <v>2.1897810218978103E-2</v>
      </c>
      <c r="L74" s="18">
        <f>IF(ISNUMBER(J74), $B91 * K74, "")</f>
        <v>3284.6715328467153</v>
      </c>
      <c r="M74" s="31">
        <v>281</v>
      </c>
      <c r="N74" s="32">
        <f t="shared" si="33"/>
        <v>2.5547445255474453E-2</v>
      </c>
      <c r="O74" s="18">
        <f>IF(ISNUMBER(M74), $B91 * N74, "")</f>
        <v>3832.1167883211679</v>
      </c>
      <c r="Q74" s="161"/>
      <c r="R74" s="161"/>
      <c r="S74" s="161"/>
    </row>
    <row r="75" spans="1:19" ht="17.25" thickBot="1">
      <c r="A75" s="111" t="s">
        <v>169</v>
      </c>
      <c r="B75" s="112">
        <v>215</v>
      </c>
      <c r="C75" s="71">
        <v>-4.6296295999999999E-3</v>
      </c>
      <c r="D75" s="20">
        <v>218</v>
      </c>
      <c r="E75" s="21">
        <f t="shared" si="30"/>
        <v>1.3953488372093023E-2</v>
      </c>
      <c r="F75" s="22">
        <f>IF(ISNUMBER(D75), $B91 * E75, "")</f>
        <v>2093.0232558139533</v>
      </c>
      <c r="G75" s="30">
        <v>220</v>
      </c>
      <c r="H75" s="21">
        <f t="shared" si="31"/>
        <v>2.3255813953488372E-2</v>
      </c>
      <c r="I75" s="95">
        <f>IF(ISNUMBER(G75), $B91 * H75, "")</f>
        <v>3488.3720930232557</v>
      </c>
      <c r="J75" s="20">
        <v>220</v>
      </c>
      <c r="K75" s="21">
        <f t="shared" si="32"/>
        <v>2.3255813953488372E-2</v>
      </c>
      <c r="L75" s="22">
        <f>IF(ISNUMBER(J75), $B91 * K75, "")</f>
        <v>3488.3720930232557</v>
      </c>
      <c r="M75" s="30">
        <v>222</v>
      </c>
      <c r="N75" s="21">
        <f t="shared" si="33"/>
        <v>3.255813953488372E-2</v>
      </c>
      <c r="O75" s="22">
        <f>IF(ISNUMBER(M75), $B91 * N75, "")</f>
        <v>4883.7209302325582</v>
      </c>
      <c r="Q75" s="161"/>
      <c r="R75" s="161"/>
      <c r="S75" s="161"/>
    </row>
    <row r="76" spans="1:19" ht="17.25" thickBot="1">
      <c r="A76" s="109" t="s">
        <v>89</v>
      </c>
      <c r="B76" s="113">
        <v>447</v>
      </c>
      <c r="C76" s="73">
        <v>-6.6666666999999997E-3</v>
      </c>
      <c r="D76" s="96">
        <v>454</v>
      </c>
      <c r="E76" s="97">
        <f>IF(ISNUMBER(D76), (D76 - $B76) / $B76, "")</f>
        <v>1.5659955257270694E-2</v>
      </c>
      <c r="F76" s="98">
        <f>IF(ISNUMBER(D76), $B91 * E76, "")</f>
        <v>2348.9932885906042</v>
      </c>
      <c r="G76" s="99">
        <v>456</v>
      </c>
      <c r="H76" s="97">
        <f>IF(ISNUMBER(G76), (G76 - $B76) / $B76, "")</f>
        <v>2.0134228187919462E-2</v>
      </c>
      <c r="I76" s="100">
        <f>IF(ISNUMBER(G76), $B91 * H76, "")</f>
        <v>3020.1342281879192</v>
      </c>
      <c r="J76" s="96">
        <v>456</v>
      </c>
      <c r="K76" s="97">
        <f>IF(ISNUMBER(J76), (J76 - $B76) / $B76, "")</f>
        <v>2.0134228187919462E-2</v>
      </c>
      <c r="L76" s="98">
        <f>IF(ISNUMBER(J76), $B91 * K76, "")</f>
        <v>3020.1342281879192</v>
      </c>
      <c r="M76" s="99">
        <v>457</v>
      </c>
      <c r="N76" s="97">
        <f>IF(ISNUMBER(M76), (M76 - $B76) / $B76, "")</f>
        <v>2.2371364653243849E-2</v>
      </c>
      <c r="O76" s="98">
        <f>IF(ISNUMBER(M76), $B91 * N76, "")</f>
        <v>3355.7046979865772</v>
      </c>
      <c r="Q76" s="161"/>
      <c r="R76" s="161"/>
      <c r="S76" s="161"/>
    </row>
    <row r="77" spans="1:19" ht="17.25" thickBot="1">
      <c r="A77" s="109" t="s">
        <v>85</v>
      </c>
      <c r="B77" s="110">
        <v>144</v>
      </c>
      <c r="C77" s="70">
        <v>-6.8965516999999997E-3</v>
      </c>
      <c r="D77" s="15">
        <v>144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145</v>
      </c>
      <c r="H77" s="32">
        <f t="shared" ref="H77:H80" si="35">IF(ISNUMBER(G77), (G77 - $B77) / $B77, "")</f>
        <v>6.9444444444444441E-3</v>
      </c>
      <c r="I77" s="91">
        <f>IF(ISNUMBER(G77), $B91 * H77, "")</f>
        <v>1041.6666666666665</v>
      </c>
      <c r="J77" s="15">
        <v>145</v>
      </c>
      <c r="K77" s="32">
        <f t="shared" ref="K77:K80" si="36">IF(ISNUMBER(J77), (J77 - $B77) / $B77, "")</f>
        <v>6.9444444444444441E-3</v>
      </c>
      <c r="L77" s="18">
        <f>IF(ISNUMBER(J77), $B91 * K77, "")</f>
        <v>1041.6666666666665</v>
      </c>
      <c r="M77" s="31">
        <v>145</v>
      </c>
      <c r="N77" s="32">
        <f t="shared" ref="N77:N80" si="37">IF(ISNUMBER(M77), (M77 - $B77) / $B77, "")</f>
        <v>6.9444444444444441E-3</v>
      </c>
      <c r="O77" s="18">
        <f>IF(ISNUMBER(M77), $B91 * N77, "")</f>
        <v>1041.6666666666665</v>
      </c>
      <c r="Q77" s="161"/>
      <c r="R77" s="161"/>
      <c r="S77" s="161"/>
    </row>
    <row r="78" spans="1:19" ht="17.25" thickBot="1">
      <c r="A78" s="109" t="s">
        <v>60</v>
      </c>
      <c r="B78" s="110">
        <v>396</v>
      </c>
      <c r="C78" s="70">
        <v>-7.5187969999999998E-3</v>
      </c>
      <c r="D78" s="15">
        <v>405</v>
      </c>
      <c r="E78" s="32">
        <f t="shared" si="34"/>
        <v>2.2727272727272728E-2</v>
      </c>
      <c r="F78" s="18">
        <f>IF(ISNUMBER(D78), $B91 * E78, "")</f>
        <v>3409.090909090909</v>
      </c>
      <c r="G78" s="31">
        <v>410</v>
      </c>
      <c r="H78" s="32">
        <f t="shared" si="35"/>
        <v>3.5353535353535352E-2</v>
      </c>
      <c r="I78" s="91">
        <f>IF(ISNUMBER(G78), $B91 * H78, "")</f>
        <v>5303.030303030303</v>
      </c>
      <c r="J78" s="15">
        <v>410</v>
      </c>
      <c r="K78" s="32">
        <f t="shared" si="36"/>
        <v>3.5353535353535352E-2</v>
      </c>
      <c r="L78" s="18">
        <f>IF(ISNUMBER(J78), $B91 * K78, "")</f>
        <v>5303.030303030303</v>
      </c>
      <c r="M78" s="31">
        <v>410</v>
      </c>
      <c r="N78" s="32">
        <f t="shared" si="37"/>
        <v>3.5353535353535352E-2</v>
      </c>
      <c r="O78" s="18">
        <f>IF(ISNUMBER(M78), $B91 * N78, "")</f>
        <v>5303.030303030303</v>
      </c>
      <c r="Q78" s="161"/>
      <c r="R78" s="161"/>
      <c r="S78" s="161"/>
    </row>
    <row r="79" spans="1:19" ht="17.25" thickBot="1">
      <c r="A79" s="109" t="s">
        <v>340</v>
      </c>
      <c r="B79" s="110">
        <v>516</v>
      </c>
      <c r="C79" s="70">
        <v>-7.6923076999999996E-3</v>
      </c>
      <c r="D79" s="15">
        <v>511</v>
      </c>
      <c r="E79" s="32">
        <f t="shared" si="34"/>
        <v>-9.6899224806201549E-3</v>
      </c>
      <c r="F79" s="18">
        <f>IF(ISNUMBER(D79), $B91 * E79, "")</f>
        <v>-1453.4883720930231</v>
      </c>
      <c r="G79" s="31">
        <v>513</v>
      </c>
      <c r="H79" s="32">
        <f t="shared" si="35"/>
        <v>-5.8139534883720929E-3</v>
      </c>
      <c r="I79" s="91">
        <f>IF(ISNUMBER(G79), $B91 * H79, "")</f>
        <v>-872.09302325581393</v>
      </c>
      <c r="J79" s="15">
        <v>513</v>
      </c>
      <c r="K79" s="32">
        <f t="shared" si="36"/>
        <v>-5.8139534883720929E-3</v>
      </c>
      <c r="L79" s="18">
        <f>IF(ISNUMBER(J79), $B91 * K79, "")</f>
        <v>-872.09302325581393</v>
      </c>
      <c r="M79" s="31">
        <v>512</v>
      </c>
      <c r="N79" s="32">
        <f t="shared" si="37"/>
        <v>-7.7519379844961239E-3</v>
      </c>
      <c r="O79" s="18">
        <f>IF(ISNUMBER(M79), $B91 * N79, "")</f>
        <v>-1162.7906976744187</v>
      </c>
      <c r="Q79" s="33"/>
      <c r="R79" s="33"/>
    </row>
    <row r="80" spans="1:19" ht="17.25" thickBot="1">
      <c r="A80" s="114" t="s">
        <v>81</v>
      </c>
      <c r="B80" s="115">
        <v>327</v>
      </c>
      <c r="C80" s="72">
        <v>-9.0909091000000008E-3</v>
      </c>
      <c r="D80" s="24">
        <v>338</v>
      </c>
      <c r="E80" s="25">
        <f t="shared" si="34"/>
        <v>3.3639143730886847E-2</v>
      </c>
      <c r="F80" s="94">
        <f>IF(ISNUMBER(D80), $B91 * E80, "")</f>
        <v>5045.8715596330267</v>
      </c>
      <c r="G80" s="92">
        <v>337</v>
      </c>
      <c r="H80" s="25">
        <f t="shared" si="35"/>
        <v>3.0581039755351681E-2</v>
      </c>
      <c r="I80" s="93">
        <f>IF(ISNUMBER(G80), $B91 * H80, "")</f>
        <v>4587.1559633027518</v>
      </c>
      <c r="J80" s="24">
        <v>337</v>
      </c>
      <c r="K80" s="25">
        <f t="shared" si="36"/>
        <v>3.0581039755351681E-2</v>
      </c>
      <c r="L80" s="94">
        <f>IF(ISNUMBER(J80), $B91 * K80, "")</f>
        <v>4587.1559633027518</v>
      </c>
      <c r="M80" s="92">
        <v>336</v>
      </c>
      <c r="N80" s="25">
        <f t="shared" si="37"/>
        <v>2.7522935779816515E-2</v>
      </c>
      <c r="O80" s="94">
        <f>IF(ISNUMBER(M80), $B91 * N80, "")</f>
        <v>4128.440366972477</v>
      </c>
      <c r="Q80" s="170"/>
      <c r="R80" s="171"/>
      <c r="S80" s="172"/>
    </row>
    <row r="81" spans="1:19">
      <c r="A81" s="107" t="s">
        <v>79</v>
      </c>
      <c r="B81" s="108">
        <v>242</v>
      </c>
      <c r="C81" s="69">
        <v>-1.2244898000000001E-2</v>
      </c>
      <c r="D81" s="13">
        <v>248</v>
      </c>
      <c r="E81" s="14">
        <f>IF(ISNUMBER(D81), (D81 - $B81) / $B81, "")</f>
        <v>2.4793388429752067E-2</v>
      </c>
      <c r="F81" s="16">
        <f>IF(ISNUMBER(D81), $B91 * E81, "")</f>
        <v>3719.0082644628101</v>
      </c>
      <c r="G81" s="29">
        <v>248</v>
      </c>
      <c r="H81" s="14">
        <f>IF(ISNUMBER(G81), (G81 - $B81) / $B81, "")</f>
        <v>2.4793388429752067E-2</v>
      </c>
      <c r="I81" s="90">
        <f>IF(ISNUMBER(G81), $B91 * H81, "")</f>
        <v>3719.0082644628101</v>
      </c>
      <c r="J81" s="13">
        <v>248</v>
      </c>
      <c r="K81" s="14">
        <f>IF(ISNUMBER(J81), (J81 - $B81) / $B81, "")</f>
        <v>2.4793388429752067E-2</v>
      </c>
      <c r="L81" s="16">
        <f>IF(ISNUMBER(J81), $B91 * K81, "")</f>
        <v>3719.0082644628101</v>
      </c>
      <c r="M81" s="29">
        <v>247</v>
      </c>
      <c r="N81" s="14">
        <f>IF(ISNUMBER(M81), (M81 - $B81) / $B81, "")</f>
        <v>2.0661157024793389E-2</v>
      </c>
      <c r="O81" s="16">
        <f>IF(ISNUMBER(M81), $B91 * N81, "")</f>
        <v>3099.1735537190084</v>
      </c>
      <c r="Q81" s="173"/>
      <c r="R81" s="174"/>
      <c r="S81" s="175"/>
    </row>
    <row r="82" spans="1:19" ht="17.25" thickBot="1">
      <c r="A82" s="109" t="s">
        <v>183</v>
      </c>
      <c r="B82" s="110">
        <v>127</v>
      </c>
      <c r="C82" s="70">
        <v>-1.5503876E-2</v>
      </c>
      <c r="D82" s="15">
        <v>128</v>
      </c>
      <c r="E82" s="32">
        <f t="shared" ref="E82:E85" si="38">IF(ISNUMBER(D82), (D82 - $B82) / $B82, "")</f>
        <v>7.874015748031496E-3</v>
      </c>
      <c r="F82" s="18">
        <f>IF(ISNUMBER(D82), $B91 * E82, "")</f>
        <v>1181.1023622047244</v>
      </c>
      <c r="G82" s="31">
        <v>129</v>
      </c>
      <c r="H82" s="32">
        <f t="shared" ref="H82:H85" si="39">IF(ISNUMBER(G82), (G82 - $B82) / $B82, "")</f>
        <v>1.5748031496062992E-2</v>
      </c>
      <c r="I82" s="91">
        <f>IF(ISNUMBER(G82), $B91 * H82, "")</f>
        <v>2362.2047244094488</v>
      </c>
      <c r="J82" s="15">
        <v>129</v>
      </c>
      <c r="K82" s="32">
        <f t="shared" ref="K82:K85" si="40">IF(ISNUMBER(J82), (J82 - $B82) / $B82, "")</f>
        <v>1.5748031496062992E-2</v>
      </c>
      <c r="L82" s="18">
        <f>IF(ISNUMBER(J82), $B91 * K82, "")</f>
        <v>2362.2047244094488</v>
      </c>
      <c r="M82" s="31">
        <v>128</v>
      </c>
      <c r="N82" s="32">
        <f t="shared" ref="N82:N85" si="41">IF(ISNUMBER(M82), (M82 - $B82) / $B82, "")</f>
        <v>7.874015748031496E-3</v>
      </c>
      <c r="O82" s="18">
        <f>IF(ISNUMBER(M82), $B91 * N82, "")</f>
        <v>1181.1023622047244</v>
      </c>
      <c r="Q82" s="176"/>
      <c r="R82" s="177"/>
      <c r="S82" s="178"/>
    </row>
    <row r="83" spans="1:19" ht="17.25" thickBot="1">
      <c r="A83" s="109" t="s">
        <v>342</v>
      </c>
      <c r="B83" s="110">
        <v>117</v>
      </c>
      <c r="C83" s="70">
        <v>-1.6806722699999999E-2</v>
      </c>
      <c r="D83" s="15">
        <v>119</v>
      </c>
      <c r="E83" s="32">
        <f t="shared" si="38"/>
        <v>1.7094017094017096E-2</v>
      </c>
      <c r="F83" s="18">
        <f>IF(ISNUMBER(D83), $B91 * E83, "")</f>
        <v>2564.1025641025644</v>
      </c>
      <c r="G83" s="31">
        <v>119</v>
      </c>
      <c r="H83" s="32">
        <f t="shared" si="39"/>
        <v>1.7094017094017096E-2</v>
      </c>
      <c r="I83" s="91">
        <f>IF(ISNUMBER(G83), $B91 * H83, "")</f>
        <v>2564.1025641025644</v>
      </c>
      <c r="J83" s="15">
        <v>119</v>
      </c>
      <c r="K83" s="32">
        <f t="shared" si="40"/>
        <v>1.7094017094017096E-2</v>
      </c>
      <c r="L83" s="18">
        <f>IF(ISNUMBER(J83), $B91 * K83, "")</f>
        <v>2564.1025641025644</v>
      </c>
      <c r="M83" s="31">
        <v>119</v>
      </c>
      <c r="N83" s="32">
        <f t="shared" si="41"/>
        <v>1.7094017094017096E-2</v>
      </c>
      <c r="O83" s="18">
        <f>IF(ISNUMBER(M83), $B91 * N83, "")</f>
        <v>2564.1025641025644</v>
      </c>
      <c r="Q83" s="161"/>
      <c r="R83" s="161"/>
      <c r="S83" s="161"/>
    </row>
    <row r="84" spans="1:19" ht="17.25" thickBot="1">
      <c r="A84" s="109" t="s">
        <v>161</v>
      </c>
      <c r="B84" s="110">
        <v>292</v>
      </c>
      <c r="C84" s="70">
        <v>-1.6835016800000002E-2</v>
      </c>
      <c r="D84" s="15">
        <v>295</v>
      </c>
      <c r="E84" s="32">
        <f t="shared" si="38"/>
        <v>1.0273972602739725E-2</v>
      </c>
      <c r="F84" s="18">
        <f>IF(ISNUMBER(D84), $B91 * E84, "")</f>
        <v>1541.0958904109589</v>
      </c>
      <c r="G84" s="31">
        <v>298</v>
      </c>
      <c r="H84" s="32">
        <f t="shared" si="39"/>
        <v>2.0547945205479451E-2</v>
      </c>
      <c r="I84" s="91">
        <f>IF(ISNUMBER(G84), $B91 * H84, "")</f>
        <v>3082.1917808219177</v>
      </c>
      <c r="J84" s="15">
        <v>298</v>
      </c>
      <c r="K84" s="32">
        <f t="shared" si="40"/>
        <v>2.0547945205479451E-2</v>
      </c>
      <c r="L84" s="18">
        <f>IF(ISNUMBER(J84), $B91 * K84, "")</f>
        <v>3082.1917808219177</v>
      </c>
      <c r="M84" s="31">
        <v>300</v>
      </c>
      <c r="N84" s="32">
        <f t="shared" si="41"/>
        <v>2.7397260273972601E-2</v>
      </c>
      <c r="O84" s="18">
        <f>IF(ISNUMBER(M84), $B91 * N84, "")</f>
        <v>4109.58904109589</v>
      </c>
      <c r="Q84" s="156"/>
      <c r="R84" s="156"/>
      <c r="S84" s="156"/>
    </row>
    <row r="85" spans="1:19" ht="17.25" thickBot="1">
      <c r="A85" s="111" t="s">
        <v>120</v>
      </c>
      <c r="B85" s="112">
        <v>111</v>
      </c>
      <c r="C85" s="71">
        <v>-1.7699115000000001E-2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95">
        <f>IF(ISNUMBER(G85), $B91 * H85, "")</f>
        <v>2702.7027027027025</v>
      </c>
      <c r="J85" s="20">
        <v>113</v>
      </c>
      <c r="K85" s="21">
        <f t="shared" si="40"/>
        <v>1.8018018018018018E-2</v>
      </c>
      <c r="L85" s="22">
        <f>IF(ISNUMBER(J85), $B91 * K85, "")</f>
        <v>2702.7027027027025</v>
      </c>
      <c r="M85" s="30">
        <v>113</v>
      </c>
      <c r="N85" s="21">
        <f t="shared" si="41"/>
        <v>1.8018018018018018E-2</v>
      </c>
      <c r="O85" s="22">
        <f>IF(ISNUMBER(M85), $B91 * N85, "")</f>
        <v>2702.7027027027025</v>
      </c>
      <c r="Q85" s="156"/>
      <c r="R85" s="156"/>
      <c r="S85" s="156"/>
    </row>
    <row r="86" spans="1:19" ht="17.25" thickBot="1">
      <c r="A86" s="109" t="s">
        <v>149</v>
      </c>
      <c r="B86" s="113">
        <v>333</v>
      </c>
      <c r="C86" s="73">
        <v>-1.7699115000000001E-2</v>
      </c>
      <c r="D86" s="96">
        <v>342</v>
      </c>
      <c r="E86" s="97">
        <f>IF(ISNUMBER(D86), (D86 - $B86) / $B86, "")</f>
        <v>2.7027027027027029E-2</v>
      </c>
      <c r="F86" s="98">
        <f>IF(ISNUMBER(D86), $B91 * E86, "")</f>
        <v>4054.0540540540542</v>
      </c>
      <c r="G86" s="99">
        <v>342</v>
      </c>
      <c r="H86" s="97">
        <f>IF(ISNUMBER(G86), (G86 - $B86) / $B86, "")</f>
        <v>2.7027027027027029E-2</v>
      </c>
      <c r="I86" s="100">
        <f>IF(ISNUMBER(G86), $B91 * H86, "")</f>
        <v>4054.0540540540542</v>
      </c>
      <c r="J86" s="96">
        <v>342</v>
      </c>
      <c r="K86" s="97">
        <f>IF(ISNUMBER(J86), (J86 - $B86) / $B86, "")</f>
        <v>2.7027027027027029E-2</v>
      </c>
      <c r="L86" s="98">
        <f>IF(ISNUMBER(J86), $B91 * K86, "")</f>
        <v>4054.0540540540542</v>
      </c>
      <c r="M86" s="99">
        <v>342</v>
      </c>
      <c r="N86" s="97">
        <f>IF(ISNUMBER(M86), (M86 - $B86) / $B86, "")</f>
        <v>2.7027027027027029E-2</v>
      </c>
      <c r="O86" s="98">
        <f>IF(ISNUMBER(M86), $B91 * N86, "")</f>
        <v>4054.0540540540542</v>
      </c>
      <c r="Q86" s="161"/>
      <c r="R86" s="161"/>
      <c r="S86" s="161"/>
    </row>
    <row r="87" spans="1:19" ht="17.25" thickBot="1">
      <c r="A87" s="109" t="s">
        <v>222</v>
      </c>
      <c r="B87" s="110">
        <v>375</v>
      </c>
      <c r="C87" s="70">
        <v>-1.83246073E-2</v>
      </c>
      <c r="D87" s="15">
        <v>379</v>
      </c>
      <c r="E87" s="32">
        <f t="shared" ref="E87:E90" si="42">IF(ISNUMBER(D87), (D87 - $B87) / $B87, "")</f>
        <v>1.0666666666666666E-2</v>
      </c>
      <c r="F87" s="18">
        <f>IF(ISNUMBER(D87), $B91 * E87, "")</f>
        <v>1600</v>
      </c>
      <c r="G87" s="31">
        <v>380</v>
      </c>
      <c r="H87" s="32">
        <f t="shared" ref="H87:H90" si="43">IF(ISNUMBER(G87), (G87 - $B87) / $B87, "")</f>
        <v>1.3333333333333334E-2</v>
      </c>
      <c r="I87" s="91">
        <f>IF(ISNUMBER(G87), $B91 * H87, "")</f>
        <v>2000.0000000000002</v>
      </c>
      <c r="J87" s="15">
        <v>380</v>
      </c>
      <c r="K87" s="32">
        <f t="shared" ref="K87:K90" si="44">IF(ISNUMBER(J87), (J87 - $B87) / $B87, "")</f>
        <v>1.3333333333333334E-2</v>
      </c>
      <c r="L87" s="18">
        <f>IF(ISNUMBER(J87), $B91 * K87, "")</f>
        <v>2000.0000000000002</v>
      </c>
      <c r="M87" s="31">
        <v>381</v>
      </c>
      <c r="N87" s="32">
        <f t="shared" ref="N87:N90" si="45">IF(ISNUMBER(M87), (M87 - $B87) / $B87, "")</f>
        <v>1.6E-2</v>
      </c>
      <c r="O87" s="18">
        <f>IF(ISNUMBER(M87), $B91 * N87, "")</f>
        <v>2400</v>
      </c>
      <c r="Q87" s="161"/>
      <c r="R87" s="161"/>
      <c r="S87" s="161"/>
    </row>
    <row r="88" spans="1:19" ht="17.25" thickBot="1">
      <c r="A88" s="109" t="s">
        <v>101</v>
      </c>
      <c r="B88" s="110">
        <v>210</v>
      </c>
      <c r="C88" s="70">
        <v>-1.8691588799999999E-2</v>
      </c>
      <c r="D88" s="15">
        <v>212</v>
      </c>
      <c r="E88" s="32">
        <f t="shared" si="42"/>
        <v>9.5238095238095247E-3</v>
      </c>
      <c r="F88" s="18">
        <f>IF(ISNUMBER(D88), $B91 * E88, "")</f>
        <v>1428.5714285714287</v>
      </c>
      <c r="G88" s="31">
        <v>212</v>
      </c>
      <c r="H88" s="32">
        <f t="shared" si="43"/>
        <v>9.5238095238095247E-3</v>
      </c>
      <c r="I88" s="91">
        <f>IF(ISNUMBER(G88), $B91 * H88, "")</f>
        <v>1428.5714285714287</v>
      </c>
      <c r="J88" s="15">
        <v>212</v>
      </c>
      <c r="K88" s="32">
        <f t="shared" si="44"/>
        <v>9.5238095238095247E-3</v>
      </c>
      <c r="L88" s="18">
        <f>IF(ISNUMBER(J88), $B91 * K88, "")</f>
        <v>1428.5714285714287</v>
      </c>
      <c r="M88" s="31">
        <v>211</v>
      </c>
      <c r="N88" s="32">
        <f t="shared" si="45"/>
        <v>4.7619047619047623E-3</v>
      </c>
      <c r="O88" s="18">
        <f>IF(ISNUMBER(M88), $B91 * N88, "")</f>
        <v>714.28571428571433</v>
      </c>
      <c r="Q88" s="161"/>
      <c r="R88" s="161"/>
      <c r="S88" s="161"/>
    </row>
    <row r="89" spans="1:19">
      <c r="A89" s="109" t="s">
        <v>202</v>
      </c>
      <c r="B89" s="110">
        <v>299</v>
      </c>
      <c r="C89" s="70">
        <v>-1.96721311E-2</v>
      </c>
      <c r="D89" s="15">
        <v>300</v>
      </c>
      <c r="E89" s="32">
        <f t="shared" si="42"/>
        <v>3.3444816053511705E-3</v>
      </c>
      <c r="F89" s="18">
        <f>IF(ISNUMBER(D89), $B91 * E89, "")</f>
        <v>501.67224080267556</v>
      </c>
      <c r="G89" s="31">
        <v>302</v>
      </c>
      <c r="H89" s="32">
        <f t="shared" si="43"/>
        <v>1.0033444816053512E-2</v>
      </c>
      <c r="I89" s="91">
        <f>IF(ISNUMBER(G89), $B91 * H89, "")</f>
        <v>1505.0167224080267</v>
      </c>
      <c r="J89" s="15">
        <v>302</v>
      </c>
      <c r="K89" s="32">
        <f t="shared" si="44"/>
        <v>1.0033444816053512E-2</v>
      </c>
      <c r="L89" s="18">
        <f>IF(ISNUMBER(J89), $B91 * K89, "")</f>
        <v>1505.0167224080267</v>
      </c>
      <c r="M89" s="31">
        <v>301</v>
      </c>
      <c r="N89" s="32">
        <f t="shared" si="45"/>
        <v>6.688963210702341E-3</v>
      </c>
      <c r="O89" s="18">
        <f>IF(ISNUMBER(M89), $B91 * N89, "")</f>
        <v>1003.3444816053511</v>
      </c>
      <c r="Q89" s="183"/>
      <c r="R89" s="184"/>
      <c r="S89" s="185"/>
    </row>
    <row r="90" spans="1:19" ht="17.25" thickBot="1">
      <c r="A90" s="114" t="s">
        <v>176</v>
      </c>
      <c r="B90" s="115">
        <v>295</v>
      </c>
      <c r="C90" s="72">
        <v>-1.9933554799999999E-2</v>
      </c>
      <c r="D90" s="24">
        <v>297</v>
      </c>
      <c r="E90" s="25">
        <f t="shared" si="42"/>
        <v>6.7796610169491523E-3</v>
      </c>
      <c r="F90" s="94">
        <f>IF(ISNUMBER(D90), $B91 * E90, "")</f>
        <v>1016.9491525423729</v>
      </c>
      <c r="G90" s="92">
        <v>300</v>
      </c>
      <c r="H90" s="25">
        <f t="shared" si="43"/>
        <v>1.6949152542372881E-2</v>
      </c>
      <c r="I90" s="93">
        <f>IF(ISNUMBER(G90), $B91 * H90, "")</f>
        <v>2542.3728813559323</v>
      </c>
      <c r="J90" s="24">
        <v>300</v>
      </c>
      <c r="K90" s="25">
        <f t="shared" si="44"/>
        <v>1.6949152542372881E-2</v>
      </c>
      <c r="L90" s="94">
        <f>IF(ISNUMBER(J90), $B91 * K90, "")</f>
        <v>2542.3728813559323</v>
      </c>
      <c r="M90" s="92">
        <v>299</v>
      </c>
      <c r="N90" s="25">
        <f t="shared" si="45"/>
        <v>1.3559322033898305E-2</v>
      </c>
      <c r="O90" s="94">
        <f>IF(ISNUMBER(M90), $B91 * N90, "")</f>
        <v>2033.8983050847457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1.1472392799605043E-2</v>
      </c>
      <c r="F91" s="28">
        <f>SUM(F71:F90)</f>
        <v>34417.178398815129</v>
      </c>
      <c r="G91" s="26" t="s">
        <v>261</v>
      </c>
      <c r="H91" s="27">
        <f>IF(COUNT(H71:H90), SUM(H71:H90) / COUNT(H71:H90), 0)</f>
        <v>1.7019209212023257E-2</v>
      </c>
      <c r="I91" s="28">
        <f>SUM(I71:I90)</f>
        <v>51057.627636069774</v>
      </c>
      <c r="J91" s="26" t="s">
        <v>261</v>
      </c>
      <c r="K91" s="27">
        <f>IF(COUNT(K71:K90), SUM(K71:K90) / COUNT(K71:K90), 0)</f>
        <v>1.7019209212023257E-2</v>
      </c>
      <c r="L91" s="28">
        <f>SUM(L71:L90)</f>
        <v>51057.627636069774</v>
      </c>
      <c r="M91" s="26" t="s">
        <v>261</v>
      </c>
      <c r="N91" s="27">
        <f>IF(COUNT(N71:N90), SUM(N71:N90) / COUNT(N71:N90), 0)</f>
        <v>1.6958420904607037E-2</v>
      </c>
      <c r="O91" s="28">
        <f>SUM(O71:O90)</f>
        <v>50875.26271382111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2022-12-23(금) 오전 00:00</v>
      </c>
      <c r="C96" s="199"/>
      <c r="D96" s="158" t="str">
        <f>TEXT($G$1, "[$-ko-KR]yyyy-mm-dd(ddd) ") &amp; "오후 14:00"</f>
        <v>2022-12-23(금) 오후 14:00</v>
      </c>
      <c r="E96" s="159"/>
      <c r="F96" s="160"/>
      <c r="G96" s="158" t="str">
        <f>TEXT($G$1, "[$-ko-KR]yyyy-mm-dd(ddd) ") &amp; "오후 19:00"</f>
        <v>2022-12-23(금) 오후 19:00</v>
      </c>
      <c r="H96" s="159"/>
      <c r="I96" s="160"/>
      <c r="J96" s="158" t="str">
        <f>TEXT($G$1, "[$-ko-KR]yyyy-mm-dd(ddd) ") &amp; "오후 21:00"</f>
        <v>2022-12-23(금) 오후 21:00</v>
      </c>
      <c r="K96" s="159"/>
      <c r="L96" s="160"/>
      <c r="M96" s="158" t="str">
        <f>TEXT($G$1+1, "[$-ko-KR]yyyy-mm-dd(ddd) ") &amp; "오전 00:00"</f>
        <v>2022-12-24(토)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151</v>
      </c>
      <c r="B98" s="108">
        <v>2095</v>
      </c>
      <c r="C98" s="69">
        <v>4.22885572E-2</v>
      </c>
      <c r="D98" s="13">
        <v>2145</v>
      </c>
      <c r="E98" s="14">
        <f>IF(ISNUMBER(D98), (D98 - $B98) / $B98, "")</f>
        <v>2.386634844868735E-2</v>
      </c>
      <c r="F98" s="16">
        <f>IF(ISNUMBER(D98), $B118 * E98, "")</f>
        <v>3579.9522673031024</v>
      </c>
      <c r="G98" s="29">
        <v>2120</v>
      </c>
      <c r="H98" s="14">
        <f>IF(ISNUMBER(G98), (G98 - $B98) / $B98, "")</f>
        <v>1.1933174224343675E-2</v>
      </c>
      <c r="I98" s="90">
        <f>IF(ISNUMBER(G98), $B118 * H98, "")</f>
        <v>1789.9761336515512</v>
      </c>
      <c r="J98" s="13">
        <v>2120</v>
      </c>
      <c r="K98" s="14">
        <f>IF(ISNUMBER(J98), (J98 - $B98) / $B98, "")</f>
        <v>1.1933174224343675E-2</v>
      </c>
      <c r="L98" s="16">
        <f>IF(ISNUMBER(J98), $B118 * K98, "")</f>
        <v>1789.9761336515512</v>
      </c>
      <c r="M98" s="29">
        <v>2125</v>
      </c>
      <c r="N98" s="14">
        <f>IF(ISNUMBER(M98), (M98 - $B98) / $B98, "")</f>
        <v>1.4319809069212411E-2</v>
      </c>
      <c r="O98" s="16">
        <f>IF(ISNUMBER(M98), $B118 * N98, "")</f>
        <v>2147.9713603818618</v>
      </c>
      <c r="Q98" s="156"/>
      <c r="R98" s="156"/>
      <c r="S98" s="156"/>
    </row>
    <row r="99" spans="1:19" ht="17.25" thickBot="1">
      <c r="A99" s="109" t="s">
        <v>256</v>
      </c>
      <c r="B99" s="110">
        <v>98.3</v>
      </c>
      <c r="C99" s="70">
        <v>2.1829521800000001E-2</v>
      </c>
      <c r="D99" s="15">
        <v>101</v>
      </c>
      <c r="E99" s="32">
        <f t="shared" ref="E99:E102" si="46">IF(ISNUMBER(D99), (D99 - $B99) / $B99, "")</f>
        <v>2.7466937945066154E-2</v>
      </c>
      <c r="F99" s="18">
        <f>IF(ISNUMBER(D99), $B118 * E99, "")</f>
        <v>4120.040691759923</v>
      </c>
      <c r="G99" s="31">
        <v>101</v>
      </c>
      <c r="H99" s="32">
        <f t="shared" ref="H99:H102" si="47">IF(ISNUMBER(G99), (G99 - $B99) / $B99, "")</f>
        <v>2.7466937945066154E-2</v>
      </c>
      <c r="I99" s="91">
        <f>IF(ISNUMBER(G99), $B118 * H99, "")</f>
        <v>4120.040691759923</v>
      </c>
      <c r="J99" s="15">
        <v>101</v>
      </c>
      <c r="K99" s="32">
        <f t="shared" ref="K99:K102" si="48">IF(ISNUMBER(J99), (J99 - $B99) / $B99, "")</f>
        <v>2.7466937945066154E-2</v>
      </c>
      <c r="L99" s="18">
        <f>IF(ISNUMBER(J99), $B118 * K99, "")</f>
        <v>4120.040691759923</v>
      </c>
      <c r="M99" s="31">
        <v>101</v>
      </c>
      <c r="N99" s="32">
        <f t="shared" ref="N99:N102" si="49">IF(ISNUMBER(M99), (M99 - $B99) / $B99, "")</f>
        <v>2.7466937945066154E-2</v>
      </c>
      <c r="O99" s="18">
        <f>IF(ISNUMBER(M99), $B118 * N99, "")</f>
        <v>4120.040691759923</v>
      </c>
      <c r="Q99" s="156"/>
      <c r="R99" s="156"/>
      <c r="S99" s="156"/>
    </row>
    <row r="100" spans="1:19" ht="17.25" thickBot="1">
      <c r="A100" s="109" t="s">
        <v>107</v>
      </c>
      <c r="B100" s="110">
        <v>36.799999999999997</v>
      </c>
      <c r="C100" s="70">
        <v>1.3774104699999999E-2</v>
      </c>
      <c r="D100" s="15">
        <v>37.700000000000003</v>
      </c>
      <c r="E100" s="32">
        <f t="shared" si="46"/>
        <v>2.4456521739130592E-2</v>
      </c>
      <c r="F100" s="18">
        <f>IF(ISNUMBER(D100), $B118 * E100, "")</f>
        <v>3668.4782608695887</v>
      </c>
      <c r="G100" s="31">
        <v>37.700000000000003</v>
      </c>
      <c r="H100" s="32">
        <f t="shared" si="47"/>
        <v>2.4456521739130592E-2</v>
      </c>
      <c r="I100" s="91">
        <f>IF(ISNUMBER(G100), $B118 * H100, "")</f>
        <v>3668.4782608695887</v>
      </c>
      <c r="J100" s="15">
        <v>37.700000000000003</v>
      </c>
      <c r="K100" s="32">
        <f t="shared" si="48"/>
        <v>2.4456521739130592E-2</v>
      </c>
      <c r="L100" s="18">
        <f>IF(ISNUMBER(J100), $B118 * K100, "")</f>
        <v>3668.4782608695887</v>
      </c>
      <c r="M100" s="31">
        <v>38</v>
      </c>
      <c r="N100" s="32">
        <f t="shared" si="49"/>
        <v>3.2608695652173995E-2</v>
      </c>
      <c r="O100" s="18">
        <f>IF(ISNUMBER(M100), $B118 * N100, "")</f>
        <v>4891.3043478260997</v>
      </c>
      <c r="Q100" s="161"/>
      <c r="R100" s="161"/>
      <c r="S100" s="161"/>
    </row>
    <row r="101" spans="1:19" ht="17.25" thickBot="1">
      <c r="A101" s="109" t="s">
        <v>147</v>
      </c>
      <c r="B101" s="110">
        <v>9030</v>
      </c>
      <c r="C101" s="70">
        <v>1.2331838600000001E-2</v>
      </c>
      <c r="D101" s="15">
        <v>9070</v>
      </c>
      <c r="E101" s="32">
        <f t="shared" si="46"/>
        <v>4.4296788482834993E-3</v>
      </c>
      <c r="F101" s="18">
        <f>IF(ISNUMBER(D101), $B118 * E101, "")</f>
        <v>664.45182724252493</v>
      </c>
      <c r="G101" s="31">
        <v>9180</v>
      </c>
      <c r="H101" s="32">
        <f t="shared" si="47"/>
        <v>1.6611295681063124E-2</v>
      </c>
      <c r="I101" s="91">
        <f>IF(ISNUMBER(G101), $B118 * H101, "")</f>
        <v>2491.6943521594685</v>
      </c>
      <c r="J101" s="15">
        <v>9180</v>
      </c>
      <c r="K101" s="32">
        <f t="shared" si="48"/>
        <v>1.6611295681063124E-2</v>
      </c>
      <c r="L101" s="18">
        <f>IF(ISNUMBER(J101), $B118 * K101, "")</f>
        <v>2491.6943521594685</v>
      </c>
      <c r="M101" s="31">
        <v>9175</v>
      </c>
      <c r="N101" s="32">
        <f t="shared" si="49"/>
        <v>1.6057585825027684E-2</v>
      </c>
      <c r="O101" s="18">
        <f>IF(ISNUMBER(M101), $B118 * N101, "")</f>
        <v>2408.6378737541527</v>
      </c>
      <c r="Q101" s="161"/>
      <c r="R101" s="161"/>
      <c r="S101" s="161"/>
    </row>
    <row r="102" spans="1:19" ht="17.25" thickBot="1">
      <c r="A102" s="111" t="s">
        <v>240</v>
      </c>
      <c r="B102" s="112">
        <v>26.6</v>
      </c>
      <c r="C102" s="71">
        <v>1.1406844100000001E-2</v>
      </c>
      <c r="D102" s="20">
        <v>27.1</v>
      </c>
      <c r="E102" s="21">
        <f t="shared" si="46"/>
        <v>1.8796992481203006E-2</v>
      </c>
      <c r="F102" s="22">
        <f>IF(ISNUMBER(D102), $B118 * E102, "")</f>
        <v>2819.5488721804509</v>
      </c>
      <c r="G102" s="30">
        <v>27.3</v>
      </c>
      <c r="H102" s="21">
        <f t="shared" si="47"/>
        <v>2.6315789473684181E-2</v>
      </c>
      <c r="I102" s="95">
        <f>IF(ISNUMBER(G102), $B118 * H102, "")</f>
        <v>3947.3684210526271</v>
      </c>
      <c r="J102" s="20">
        <v>27.3</v>
      </c>
      <c r="K102" s="21">
        <f t="shared" si="48"/>
        <v>2.6315789473684181E-2</v>
      </c>
      <c r="L102" s="22">
        <f>IF(ISNUMBER(J102), $B118 * K102, "")</f>
        <v>3947.3684210526271</v>
      </c>
      <c r="M102" s="30">
        <v>27.2</v>
      </c>
      <c r="N102" s="21">
        <f t="shared" si="49"/>
        <v>2.2556390977443528E-2</v>
      </c>
      <c r="O102" s="22">
        <f>IF(ISNUMBER(M102), $B118 * N102, "")</f>
        <v>3383.4586466165292</v>
      </c>
      <c r="Q102" s="161"/>
      <c r="R102" s="161"/>
      <c r="S102" s="161"/>
    </row>
    <row r="103" spans="1:19" ht="17.25" thickBot="1">
      <c r="A103" s="109" t="s">
        <v>56</v>
      </c>
      <c r="B103" s="113">
        <v>39.1</v>
      </c>
      <c r="C103" s="73">
        <v>7.7319588E-3</v>
      </c>
      <c r="D103" s="96">
        <v>39.200000000000003</v>
      </c>
      <c r="E103" s="97">
        <f>IF(ISNUMBER(D103), (D103 - $B103) / $B103, "")</f>
        <v>2.5575447570332843E-3</v>
      </c>
      <c r="F103" s="98">
        <f>IF(ISNUMBER(D103), $B118 * E103, "")</f>
        <v>383.63171355499264</v>
      </c>
      <c r="G103" s="99">
        <v>39.5</v>
      </c>
      <c r="H103" s="97">
        <f>IF(ISNUMBER(G103), (G103 - $B103) / $B103, "")</f>
        <v>1.0230179028132955E-2</v>
      </c>
      <c r="I103" s="100">
        <f>IF(ISNUMBER(G103), $B118 * H103, "")</f>
        <v>1534.5268542199433</v>
      </c>
      <c r="J103" s="96">
        <v>39.5</v>
      </c>
      <c r="K103" s="97">
        <f>IF(ISNUMBER(J103), (J103 - $B103) / $B103, "")</f>
        <v>1.0230179028132955E-2</v>
      </c>
      <c r="L103" s="98">
        <f>IF(ISNUMBER(J103), $B118 * K103, "")</f>
        <v>1534.5268542199433</v>
      </c>
      <c r="M103" s="99">
        <v>39.5</v>
      </c>
      <c r="N103" s="97">
        <f>IF(ISNUMBER(M103), (M103 - $B103) / $B103, "")</f>
        <v>1.0230179028132955E-2</v>
      </c>
      <c r="O103" s="98">
        <f>IF(ISNUMBER(M103), $B118 * N103, "")</f>
        <v>1534.5268542199433</v>
      </c>
      <c r="Q103" s="161"/>
      <c r="R103" s="161"/>
      <c r="S103" s="161"/>
    </row>
    <row r="104" spans="1:19" ht="17.25" thickBot="1">
      <c r="A104" s="109" t="s">
        <v>333</v>
      </c>
      <c r="B104" s="110">
        <v>56.1</v>
      </c>
      <c r="C104" s="70">
        <v>7.1813284999999996E-3</v>
      </c>
      <c r="D104" s="15">
        <v>56.5</v>
      </c>
      <c r="E104" s="32">
        <f t="shared" ref="E104:E107" si="50">IF(ISNUMBER(D104), (D104 - $B104) / $B104, "")</f>
        <v>7.1301247771835751E-3</v>
      </c>
      <c r="F104" s="18">
        <f>IF(ISNUMBER(D104), $B118 * E104, "")</f>
        <v>1069.5187165775362</v>
      </c>
      <c r="G104" s="31">
        <v>56.9</v>
      </c>
      <c r="H104" s="32">
        <f t="shared" ref="H104:H107" si="51">IF(ISNUMBER(G104), (G104 - $B104) / $B104, "")</f>
        <v>1.426024955436715E-2</v>
      </c>
      <c r="I104" s="91">
        <f>IF(ISNUMBER(G104), $B118 * H104, "")</f>
        <v>2139.0374331550724</v>
      </c>
      <c r="J104" s="15">
        <v>56.9</v>
      </c>
      <c r="K104" s="32">
        <f t="shared" ref="K104:K107" si="52">IF(ISNUMBER(J104), (J104 - $B104) / $B104, "")</f>
        <v>1.426024955436715E-2</v>
      </c>
      <c r="L104" s="18">
        <f>IF(ISNUMBER(J104), $B118 * K104, "")</f>
        <v>2139.0374331550724</v>
      </c>
      <c r="M104" s="31">
        <v>56.9</v>
      </c>
      <c r="N104" s="32">
        <f t="shared" ref="N104:N107" si="53">IF(ISNUMBER(M104), (M104 - $B104) / $B104, "")</f>
        <v>1.426024955436715E-2</v>
      </c>
      <c r="O104" s="18">
        <f>IF(ISNUMBER(M104), $B118 * N104, "")</f>
        <v>2139.0374331550724</v>
      </c>
      <c r="Q104" s="161"/>
      <c r="R104" s="161"/>
      <c r="S104" s="161"/>
    </row>
    <row r="105" spans="1:19" ht="17.25" thickBot="1">
      <c r="A105" s="109" t="s">
        <v>232</v>
      </c>
      <c r="B105" s="110">
        <v>256</v>
      </c>
      <c r="C105" s="70">
        <v>3.9215685999999996E-3</v>
      </c>
      <c r="D105" s="15">
        <v>259</v>
      </c>
      <c r="E105" s="32">
        <f t="shared" si="50"/>
        <v>1.171875E-2</v>
      </c>
      <c r="F105" s="18">
        <f>IF(ISNUMBER(D105), $B118 * E105, "")</f>
        <v>1757.8125</v>
      </c>
      <c r="G105" s="31">
        <v>258</v>
      </c>
      <c r="H105" s="32">
        <f t="shared" si="51"/>
        <v>7.8125E-3</v>
      </c>
      <c r="I105" s="91">
        <f>IF(ISNUMBER(G105), $B118 * H105, "")</f>
        <v>1171.875</v>
      </c>
      <c r="J105" s="15">
        <v>258</v>
      </c>
      <c r="K105" s="32">
        <f t="shared" si="52"/>
        <v>7.8125E-3</v>
      </c>
      <c r="L105" s="18">
        <f>IF(ISNUMBER(J105), $B118 * K105, "")</f>
        <v>1171.875</v>
      </c>
      <c r="M105" s="31">
        <v>258</v>
      </c>
      <c r="N105" s="32">
        <f t="shared" si="53"/>
        <v>7.8125E-3</v>
      </c>
      <c r="O105" s="18">
        <f>IF(ISNUMBER(M105), $B118 * N105, "")</f>
        <v>1171.875</v>
      </c>
      <c r="Q105" s="161"/>
      <c r="R105" s="161"/>
      <c r="S105" s="161"/>
    </row>
    <row r="106" spans="1:19" ht="17.25" thickBot="1">
      <c r="A106" s="109" t="s">
        <v>244</v>
      </c>
      <c r="B106" s="110">
        <v>89.6</v>
      </c>
      <c r="C106" s="70">
        <v>3.3594624999999999E-3</v>
      </c>
      <c r="D106" s="15">
        <v>90</v>
      </c>
      <c r="E106" s="32">
        <f t="shared" si="50"/>
        <v>4.4642857142857782E-3</v>
      </c>
      <c r="F106" s="18">
        <f>IF(ISNUMBER(D106), $B118 * E106, "")</f>
        <v>669.64285714286677</v>
      </c>
      <c r="G106" s="31">
        <v>90</v>
      </c>
      <c r="H106" s="32">
        <f t="shared" si="51"/>
        <v>4.4642857142857782E-3</v>
      </c>
      <c r="I106" s="91">
        <f>IF(ISNUMBER(G106), $B118 * H106, "")</f>
        <v>669.64285714286677</v>
      </c>
      <c r="J106" s="15">
        <v>90</v>
      </c>
      <c r="K106" s="32">
        <f t="shared" si="52"/>
        <v>4.4642857142857782E-3</v>
      </c>
      <c r="L106" s="18">
        <f>IF(ISNUMBER(J106), $B118 * K106, "")</f>
        <v>669.64285714286677</v>
      </c>
      <c r="M106" s="31">
        <v>89.7</v>
      </c>
      <c r="N106" s="32">
        <f t="shared" si="53"/>
        <v>1.1160714285715237E-3</v>
      </c>
      <c r="O106" s="18">
        <f>IF(ISNUMBER(M106), $B118 * N106, "")</f>
        <v>167.41071428572855</v>
      </c>
      <c r="Q106" s="33"/>
      <c r="R106" s="33"/>
    </row>
    <row r="107" spans="1:19" ht="17.25" thickBot="1">
      <c r="A107" s="114" t="s">
        <v>218</v>
      </c>
      <c r="B107" s="115">
        <v>309</v>
      </c>
      <c r="C107" s="72">
        <v>3.2467531999999999E-3</v>
      </c>
      <c r="D107" s="24">
        <v>309</v>
      </c>
      <c r="E107" s="25">
        <f t="shared" si="50"/>
        <v>0</v>
      </c>
      <c r="F107" s="94">
        <f>IF(ISNUMBER(D107), $B118 * E107, "")</f>
        <v>0</v>
      </c>
      <c r="G107" s="92">
        <v>312</v>
      </c>
      <c r="H107" s="25">
        <f t="shared" si="51"/>
        <v>9.7087378640776691E-3</v>
      </c>
      <c r="I107" s="93">
        <f>IF(ISNUMBER(G107), $B118 * H107, "")</f>
        <v>1456.3106796116504</v>
      </c>
      <c r="J107" s="24">
        <v>312</v>
      </c>
      <c r="K107" s="25">
        <f t="shared" si="52"/>
        <v>9.7087378640776691E-3</v>
      </c>
      <c r="L107" s="94">
        <f>IF(ISNUMBER(J107), $B118 * K107, "")</f>
        <v>1456.3106796116504</v>
      </c>
      <c r="M107" s="92">
        <v>311</v>
      </c>
      <c r="N107" s="25">
        <f t="shared" si="53"/>
        <v>6.4724919093851136E-3</v>
      </c>
      <c r="O107" s="94">
        <f>IF(ISNUMBER(M107), $B118 * N107, "")</f>
        <v>970.87378640776706</v>
      </c>
      <c r="Q107" s="170"/>
      <c r="R107" s="171"/>
      <c r="S107" s="172"/>
    </row>
    <row r="108" spans="1:19">
      <c r="A108" s="107" t="s">
        <v>157</v>
      </c>
      <c r="B108" s="108">
        <v>172</v>
      </c>
      <c r="C108" s="69">
        <v>0</v>
      </c>
      <c r="D108" s="13">
        <v>173</v>
      </c>
      <c r="E108" s="14">
        <f>IF(ISNUMBER(D108), (D108 - $B108) / $B108, "")</f>
        <v>5.8139534883720929E-3</v>
      </c>
      <c r="F108" s="16">
        <f>IF(ISNUMBER(D108), $B118 * E108, "")</f>
        <v>872.09302325581393</v>
      </c>
      <c r="G108" s="29">
        <v>175</v>
      </c>
      <c r="H108" s="14">
        <f>IF(ISNUMBER(G108), (G108 - $B108) / $B108, "")</f>
        <v>1.7441860465116279E-2</v>
      </c>
      <c r="I108" s="90">
        <f>IF(ISNUMBER(G108), $B118 * H108, "")</f>
        <v>2616.2790697674418</v>
      </c>
      <c r="J108" s="13">
        <v>175</v>
      </c>
      <c r="K108" s="14">
        <f>IF(ISNUMBER(J108), (J108 - $B108) / $B108, "")</f>
        <v>1.7441860465116279E-2</v>
      </c>
      <c r="L108" s="16">
        <f>IF(ISNUMBER(J108), $B118 * K108, "")</f>
        <v>2616.2790697674418</v>
      </c>
      <c r="M108" s="29">
        <v>176</v>
      </c>
      <c r="N108" s="14">
        <f>IF(ISNUMBER(M108), (M108 - $B108) / $B108, "")</f>
        <v>2.3255813953488372E-2</v>
      </c>
      <c r="O108" s="16">
        <f>IF(ISNUMBER(M108), $B118 * N108, "")</f>
        <v>3488.3720930232557</v>
      </c>
      <c r="Q108" s="173"/>
      <c r="R108" s="174"/>
      <c r="S108" s="175"/>
    </row>
    <row r="109" spans="1:19" ht="17.25" thickBot="1">
      <c r="A109" s="109" t="s">
        <v>97</v>
      </c>
      <c r="B109" s="110">
        <v>8.0000000000000004E-4</v>
      </c>
      <c r="C109" s="70">
        <v>0</v>
      </c>
      <c r="D109" s="15">
        <v>8.0000000000000004E-4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8.0000000000000004E-4</v>
      </c>
      <c r="H109" s="32">
        <f t="shared" ref="H109:H112" si="55">IF(ISNUMBER(G109), (G109 - $B109) / $B109, "")</f>
        <v>0</v>
      </c>
      <c r="I109" s="91">
        <f>IF(ISNUMBER(G109), $B118 * H109, "")</f>
        <v>0</v>
      </c>
      <c r="J109" s="15">
        <v>8.0000000000000004E-4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8.9999999999999998E-4</v>
      </c>
      <c r="N109" s="32">
        <f t="shared" ref="N109:N112" si="57">IF(ISNUMBER(M109), (M109 - $B109) / $B109, "")</f>
        <v>0.12499999999999992</v>
      </c>
      <c r="O109" s="18">
        <f>IF(ISNUMBER(M109), $B118 * N109, "")</f>
        <v>18749.999999999989</v>
      </c>
      <c r="Q109" s="176"/>
      <c r="R109" s="177"/>
      <c r="S109" s="178"/>
    </row>
    <row r="110" spans="1:19" ht="17.25" thickBot="1">
      <c r="A110" s="109" t="s">
        <v>336</v>
      </c>
      <c r="B110" s="110">
        <v>74.2</v>
      </c>
      <c r="C110" s="70">
        <v>0</v>
      </c>
      <c r="D110" s="15">
        <v>75.099999999999994</v>
      </c>
      <c r="E110" s="32">
        <f t="shared" si="54"/>
        <v>1.2129380053908241E-2</v>
      </c>
      <c r="F110" s="18">
        <f>IF(ISNUMBER(D110), $B118 * E110, "")</f>
        <v>1819.4070080862361</v>
      </c>
      <c r="G110" s="31">
        <v>75.8</v>
      </c>
      <c r="H110" s="32">
        <f t="shared" si="55"/>
        <v>2.1563342318059221E-2</v>
      </c>
      <c r="I110" s="91">
        <f>IF(ISNUMBER(G110), $B118 * H110, "")</f>
        <v>3234.5013477088833</v>
      </c>
      <c r="J110" s="15">
        <v>75.8</v>
      </c>
      <c r="K110" s="32">
        <f t="shared" si="56"/>
        <v>2.1563342318059221E-2</v>
      </c>
      <c r="L110" s="18">
        <f>IF(ISNUMBER(J110), $B118 * K110, "")</f>
        <v>3234.5013477088833</v>
      </c>
      <c r="M110" s="31">
        <v>76.3</v>
      </c>
      <c r="N110" s="32">
        <f t="shared" si="57"/>
        <v>2.8301886792452751E-2</v>
      </c>
      <c r="O110" s="18">
        <f>IF(ISNUMBER(M110), $B118 * N110, "")</f>
        <v>4245.2830188679127</v>
      </c>
      <c r="Q110" s="161"/>
      <c r="R110" s="161"/>
      <c r="S110" s="161"/>
    </row>
    <row r="111" spans="1:19" ht="17.25" thickBot="1">
      <c r="A111" s="109" t="s">
        <v>77</v>
      </c>
      <c r="B111" s="110">
        <v>130750</v>
      </c>
      <c r="C111" s="70">
        <v>-7.6423389999999999E-4</v>
      </c>
      <c r="D111" s="15">
        <v>132300</v>
      </c>
      <c r="E111" s="32">
        <f t="shared" si="54"/>
        <v>1.1854684512428298E-2</v>
      </c>
      <c r="F111" s="18">
        <f>IF(ISNUMBER(D111), $B118 * E111, "")</f>
        <v>1778.2026768642447</v>
      </c>
      <c r="G111" s="31">
        <v>132600</v>
      </c>
      <c r="H111" s="32">
        <f t="shared" si="55"/>
        <v>1.4149139579349905E-2</v>
      </c>
      <c r="I111" s="91">
        <f>IF(ISNUMBER(G111), $B118 * H111, "")</f>
        <v>2122.3709369024855</v>
      </c>
      <c r="J111" s="15">
        <v>132600</v>
      </c>
      <c r="K111" s="32">
        <f t="shared" si="56"/>
        <v>1.4149139579349905E-2</v>
      </c>
      <c r="L111" s="18">
        <f>IF(ISNUMBER(J111), $B118 * K111, "")</f>
        <v>2122.3709369024855</v>
      </c>
      <c r="M111" s="31">
        <v>132350</v>
      </c>
      <c r="N111" s="32">
        <f t="shared" si="57"/>
        <v>1.2237093690248566E-2</v>
      </c>
      <c r="O111" s="18">
        <f>IF(ISNUMBER(M111), $B118 * N111, "")</f>
        <v>1835.564053537285</v>
      </c>
      <c r="Q111" s="156"/>
      <c r="R111" s="156"/>
      <c r="S111" s="156"/>
    </row>
    <row r="112" spans="1:19" ht="17.25" thickBot="1">
      <c r="A112" s="111" t="s">
        <v>145</v>
      </c>
      <c r="B112" s="112">
        <v>71.5</v>
      </c>
      <c r="C112" s="71">
        <v>-2.7894003000000001E-3</v>
      </c>
      <c r="D112" s="20">
        <v>71.3</v>
      </c>
      <c r="E112" s="21">
        <f t="shared" si="54"/>
        <v>-2.7972027972028371E-3</v>
      </c>
      <c r="F112" s="22">
        <f>IF(ISNUMBER(D112), $B118 * E112, "")</f>
        <v>-419.58041958042554</v>
      </c>
      <c r="G112" s="30">
        <v>71.2</v>
      </c>
      <c r="H112" s="21">
        <f t="shared" si="55"/>
        <v>-4.1958041958041559E-3</v>
      </c>
      <c r="I112" s="95">
        <f>IF(ISNUMBER(G112), $B118 * H112, "")</f>
        <v>-629.37062937062342</v>
      </c>
      <c r="J112" s="20">
        <v>71.2</v>
      </c>
      <c r="K112" s="21">
        <f t="shared" si="56"/>
        <v>-4.1958041958041559E-3</v>
      </c>
      <c r="L112" s="22">
        <f>IF(ISNUMBER(J112), $B118 * K112, "")</f>
        <v>-629.37062937062342</v>
      </c>
      <c r="M112" s="30">
        <v>71.099999999999994</v>
      </c>
      <c r="N112" s="21">
        <f t="shared" si="57"/>
        <v>-5.5944055944056742E-3</v>
      </c>
      <c r="O112" s="22">
        <f>IF(ISNUMBER(M112), $B118 * N112, "")</f>
        <v>-839.16083916085108</v>
      </c>
      <c r="Q112" s="156"/>
      <c r="R112" s="156"/>
      <c r="S112" s="156"/>
    </row>
    <row r="113" spans="1:19" ht="17.25" thickBot="1">
      <c r="A113" s="109" t="s">
        <v>337</v>
      </c>
      <c r="B113" s="113">
        <v>274</v>
      </c>
      <c r="C113" s="73">
        <v>-3.6363635999999999E-3</v>
      </c>
      <c r="D113" s="96">
        <v>279</v>
      </c>
      <c r="E113" s="97">
        <f>IF(ISNUMBER(D113), (D113 - $B113) / $B113, "")</f>
        <v>1.824817518248175E-2</v>
      </c>
      <c r="F113" s="98">
        <f>IF(ISNUMBER(D113), $B118 * E113, "")</f>
        <v>2737.2262773722628</v>
      </c>
      <c r="G113" s="99">
        <v>280</v>
      </c>
      <c r="H113" s="97">
        <f>IF(ISNUMBER(G113), (G113 - $B113) / $B113, "")</f>
        <v>2.1897810218978103E-2</v>
      </c>
      <c r="I113" s="100">
        <f>IF(ISNUMBER(G113), $B118 * H113, "")</f>
        <v>3284.6715328467153</v>
      </c>
      <c r="J113" s="96">
        <v>280</v>
      </c>
      <c r="K113" s="97">
        <f>IF(ISNUMBER(J113), (J113 - $B113) / $B113, "")</f>
        <v>2.1897810218978103E-2</v>
      </c>
      <c r="L113" s="98">
        <f>IF(ISNUMBER(J113), $B118 * K113, "")</f>
        <v>3284.6715328467153</v>
      </c>
      <c r="M113" s="99">
        <v>281</v>
      </c>
      <c r="N113" s="97">
        <f>IF(ISNUMBER(M113), (M113 - $B113) / $B113, "")</f>
        <v>2.5547445255474453E-2</v>
      </c>
      <c r="O113" s="98">
        <f>IF(ISNUMBER(M113), $B118 * N113, "")</f>
        <v>3832.1167883211679</v>
      </c>
      <c r="Q113" s="161"/>
      <c r="R113" s="161"/>
      <c r="S113" s="161"/>
    </row>
    <row r="114" spans="1:19" ht="17.25" thickBot="1">
      <c r="A114" s="109" t="s">
        <v>169</v>
      </c>
      <c r="B114" s="110">
        <v>215</v>
      </c>
      <c r="C114" s="70">
        <v>-4.6296295999999999E-3</v>
      </c>
      <c r="D114" s="15">
        <v>218</v>
      </c>
      <c r="E114" s="32">
        <f t="shared" ref="E114:E117" si="58">IF(ISNUMBER(D114), (D114 - $B114) / $B114, "")</f>
        <v>1.3953488372093023E-2</v>
      </c>
      <c r="F114" s="18">
        <f>IF(ISNUMBER(D114), $B118 * E114, "")</f>
        <v>2093.0232558139533</v>
      </c>
      <c r="G114" s="31">
        <v>220</v>
      </c>
      <c r="H114" s="32">
        <f t="shared" ref="H114:H117" si="59">IF(ISNUMBER(G114), (G114 - $B114) / $B114, "")</f>
        <v>2.3255813953488372E-2</v>
      </c>
      <c r="I114" s="91">
        <f>IF(ISNUMBER(G114), $B118 * H114, "")</f>
        <v>3488.3720930232557</v>
      </c>
      <c r="J114" s="15">
        <v>220</v>
      </c>
      <c r="K114" s="32">
        <f t="shared" ref="K114:K117" si="60">IF(ISNUMBER(J114), (J114 - $B114) / $B114, "")</f>
        <v>2.3255813953488372E-2</v>
      </c>
      <c r="L114" s="18">
        <f>IF(ISNUMBER(J114), $B118 * K114, "")</f>
        <v>3488.3720930232557</v>
      </c>
      <c r="M114" s="31">
        <v>222</v>
      </c>
      <c r="N114" s="32">
        <f t="shared" ref="N114:N117" si="61">IF(ISNUMBER(M114), (M114 - $B114) / $B114, "")</f>
        <v>3.255813953488372E-2</v>
      </c>
      <c r="O114" s="18">
        <f>IF(ISNUMBER(M114), $B118 * N114, "")</f>
        <v>4883.7209302325582</v>
      </c>
      <c r="Q114" s="161"/>
      <c r="R114" s="161"/>
      <c r="S114" s="161"/>
    </row>
    <row r="115" spans="1:19" ht="17.25" thickBot="1">
      <c r="A115" s="109" t="s">
        <v>109</v>
      </c>
      <c r="B115" s="110">
        <v>1000</v>
      </c>
      <c r="C115" s="70">
        <v>-4.9751244000000002E-3</v>
      </c>
      <c r="D115" s="15">
        <v>1015</v>
      </c>
      <c r="E115" s="32">
        <f t="shared" si="58"/>
        <v>1.4999999999999999E-2</v>
      </c>
      <c r="F115" s="18">
        <f>IF(ISNUMBER(D115), $B118 * E115, "")</f>
        <v>2250</v>
      </c>
      <c r="G115" s="31">
        <v>1020</v>
      </c>
      <c r="H115" s="32">
        <f t="shared" si="59"/>
        <v>0.02</v>
      </c>
      <c r="I115" s="91">
        <f>IF(ISNUMBER(G115), $B118 * H115, "")</f>
        <v>3000</v>
      </c>
      <c r="J115" s="15">
        <v>1020</v>
      </c>
      <c r="K115" s="32">
        <f t="shared" si="60"/>
        <v>0.02</v>
      </c>
      <c r="L115" s="18">
        <f>IF(ISNUMBER(J115), $B118 * K115, "")</f>
        <v>3000</v>
      </c>
      <c r="M115" s="31">
        <v>1020</v>
      </c>
      <c r="N115" s="32">
        <f t="shared" si="61"/>
        <v>0.02</v>
      </c>
      <c r="O115" s="18">
        <f>IF(ISNUMBER(M115), $B118 * N115, "")</f>
        <v>3000</v>
      </c>
      <c r="Q115" s="161"/>
      <c r="R115" s="161"/>
      <c r="S115" s="161"/>
    </row>
    <row r="116" spans="1:19">
      <c r="A116" s="109" t="s">
        <v>89</v>
      </c>
      <c r="B116" s="110">
        <v>447</v>
      </c>
      <c r="C116" s="70">
        <v>-6.6666666999999997E-3</v>
      </c>
      <c r="D116" s="15">
        <v>454</v>
      </c>
      <c r="E116" s="32">
        <f t="shared" si="58"/>
        <v>1.5659955257270694E-2</v>
      </c>
      <c r="F116" s="18">
        <f>IF(ISNUMBER(D116), $B118 * E116, "")</f>
        <v>2348.9932885906042</v>
      </c>
      <c r="G116" s="31">
        <v>456</v>
      </c>
      <c r="H116" s="32">
        <f t="shared" si="59"/>
        <v>2.0134228187919462E-2</v>
      </c>
      <c r="I116" s="91">
        <f>IF(ISNUMBER(G116), $B118 * H116, "")</f>
        <v>3020.1342281879192</v>
      </c>
      <c r="J116" s="15">
        <v>456</v>
      </c>
      <c r="K116" s="32">
        <f t="shared" si="60"/>
        <v>2.0134228187919462E-2</v>
      </c>
      <c r="L116" s="18">
        <f>IF(ISNUMBER(J116), $B118 * K116, "")</f>
        <v>3020.1342281879192</v>
      </c>
      <c r="M116" s="31">
        <v>457</v>
      </c>
      <c r="N116" s="32">
        <f t="shared" si="61"/>
        <v>2.2371364653243849E-2</v>
      </c>
      <c r="O116" s="18">
        <f>IF(ISNUMBER(M116), $B118 * N116, "")</f>
        <v>3355.7046979865772</v>
      </c>
      <c r="Q116" s="183"/>
      <c r="R116" s="184"/>
      <c r="S116" s="185"/>
    </row>
    <row r="117" spans="1:19" ht="17.25" thickBot="1">
      <c r="A117" s="114" t="s">
        <v>85</v>
      </c>
      <c r="B117" s="115">
        <v>144</v>
      </c>
      <c r="C117" s="72">
        <v>-6.8965516999999997E-3</v>
      </c>
      <c r="D117" s="24">
        <v>144</v>
      </c>
      <c r="E117" s="25">
        <f t="shared" si="58"/>
        <v>0</v>
      </c>
      <c r="F117" s="94">
        <f>IF(ISNUMBER(D117), $B118 * E117, "")</f>
        <v>0</v>
      </c>
      <c r="G117" s="92">
        <v>145</v>
      </c>
      <c r="H117" s="25">
        <f t="shared" si="59"/>
        <v>6.9444444444444441E-3</v>
      </c>
      <c r="I117" s="93">
        <f>IF(ISNUMBER(G117), $B118 * H117, "")</f>
        <v>1041.6666666666665</v>
      </c>
      <c r="J117" s="24">
        <v>145</v>
      </c>
      <c r="K117" s="25">
        <f t="shared" si="60"/>
        <v>6.9444444444444441E-3</v>
      </c>
      <c r="L117" s="94">
        <f>IF(ISNUMBER(J117), $B118 * K117, "")</f>
        <v>1041.6666666666665</v>
      </c>
      <c r="M117" s="92">
        <v>145</v>
      </c>
      <c r="N117" s="25">
        <f t="shared" si="61"/>
        <v>6.9444444444444441E-3</v>
      </c>
      <c r="O117" s="94">
        <f>IF(ISNUMBER(M117), $B118 * N117, "")</f>
        <v>1041.6666666666665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1.0737480939011227E-2</v>
      </c>
      <c r="F118" s="28">
        <f>SUM(F98:F117)</f>
        <v>32212.442817033676</v>
      </c>
      <c r="G118" s="26" t="s">
        <v>261</v>
      </c>
      <c r="H118" s="27">
        <f>IF(COUNT(H98:H117), SUM(H98:H117) / COUNT(H98:H117), 0)</f>
        <v>1.4722525309785146E-2</v>
      </c>
      <c r="I118" s="28">
        <f>SUM(I98:I117)</f>
        <v>44167.575929355437</v>
      </c>
      <c r="J118" s="26" t="s">
        <v>261</v>
      </c>
      <c r="K118" s="27">
        <f>IF(COUNT(K98:K117), SUM(K98:K117) / COUNT(K98:K117), 0)</f>
        <v>1.4722525309785146E-2</v>
      </c>
      <c r="L118" s="28">
        <f>SUM(L98:L117)</f>
        <v>44167.575929355437</v>
      </c>
      <c r="M118" s="26" t="s">
        <v>261</v>
      </c>
      <c r="N118" s="27">
        <f>IF(COUNT(N98:N117), SUM(N98:N117) / COUNT(N98:N117), 0)</f>
        <v>2.2176134705960551E-2</v>
      </c>
      <c r="O118" s="28">
        <f>SUM(O98:O117)</f>
        <v>66528.404117881641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2022-12-23(금) 오전 00:00</v>
      </c>
      <c r="C123" s="199"/>
      <c r="D123" s="158" t="str">
        <f>TEXT($G$1, "[$-ko-KR]yyyy-mm-dd(ddd) ") &amp; "오후 14:00"</f>
        <v>2022-12-23(금) 오후 14:00</v>
      </c>
      <c r="E123" s="159"/>
      <c r="F123" s="160"/>
      <c r="G123" s="158" t="str">
        <f>TEXT($G$1, "[$-ko-KR]yyyy-mm-dd(ddd) ") &amp; "오후 19:00"</f>
        <v>2022-12-23(금) 오후 19:00</v>
      </c>
      <c r="H123" s="159"/>
      <c r="I123" s="160"/>
      <c r="J123" s="158" t="str">
        <f>TEXT($G$1, "[$-ko-KR]yyyy-mm-dd(ddd) ") &amp; "오후 21:00"</f>
        <v>2022-12-23(금) 오후 21:00</v>
      </c>
      <c r="K123" s="159"/>
      <c r="L123" s="160"/>
      <c r="M123" s="158" t="str">
        <f>TEXT($G$1+1, "[$-ko-KR]yyyy-mm-dd(ddd) ") &amp; "오전 00:00"</f>
        <v>2022-12-24(토)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185</v>
      </c>
      <c r="B125" s="108">
        <v>26.7</v>
      </c>
      <c r="C125" s="69">
        <v>-1.8382352899999999E-2</v>
      </c>
      <c r="D125" s="13">
        <v>27.2</v>
      </c>
      <c r="E125" s="14">
        <f>IF(ISNUMBER(D125), (D125 - $B125) / $B125, "")</f>
        <v>1.8726591760299626E-2</v>
      </c>
      <c r="F125" s="16">
        <f>IF(ISNUMBER(D125), $B145 * E125, "")</f>
        <v>2808.9887640449438</v>
      </c>
      <c r="G125" s="29">
        <v>27.2</v>
      </c>
      <c r="H125" s="14">
        <f>IF(ISNUMBER(G125), (G125 - $B125) / $B125, "")</f>
        <v>1.8726591760299626E-2</v>
      </c>
      <c r="I125" s="90">
        <f>IF(ISNUMBER(G125), $B145 * H125, "")</f>
        <v>2808.9887640449438</v>
      </c>
      <c r="J125" s="13">
        <v>27.2</v>
      </c>
      <c r="K125" s="14">
        <f>IF(ISNUMBER(J125), (J125 - $B125) / $B125, "")</f>
        <v>1.8726591760299626E-2</v>
      </c>
      <c r="L125" s="16">
        <f>IF(ISNUMBER(J125), $B145 * K125, "")</f>
        <v>2808.9887640449438</v>
      </c>
      <c r="M125" s="29">
        <v>27</v>
      </c>
      <c r="N125" s="14">
        <f>IF(ISNUMBER(M125), (M125 - $B125) / $B125, "")</f>
        <v>1.1235955056179803E-2</v>
      </c>
      <c r="O125" s="16">
        <f>IF(ISNUMBER(M125), $B145 * N125, "")</f>
        <v>1685.3932584269703</v>
      </c>
      <c r="Q125" s="156"/>
      <c r="R125" s="156"/>
      <c r="S125" s="156"/>
    </row>
    <row r="126" spans="1:19" ht="17.25" thickBot="1">
      <c r="A126" s="109" t="s">
        <v>143</v>
      </c>
      <c r="B126" s="110">
        <v>3.48</v>
      </c>
      <c r="C126" s="70">
        <v>-2.2471910099999999E-2</v>
      </c>
      <c r="D126" s="15">
        <v>3.57</v>
      </c>
      <c r="E126" s="32">
        <f t="shared" ref="E126:E129" si="62">IF(ISNUMBER(D126), (D126 - $B126) / $B126, "")</f>
        <v>2.5862068965517199E-2</v>
      </c>
      <c r="F126" s="18">
        <f>IF(ISNUMBER(D126), $B145 * E126, "")</f>
        <v>3879.3103448275797</v>
      </c>
      <c r="G126" s="31">
        <v>3.6</v>
      </c>
      <c r="H126" s="32">
        <f t="shared" ref="H126:H129" si="63">IF(ISNUMBER(G126), (G126 - $B126) / $B126, "")</f>
        <v>3.4482758620689689E-2</v>
      </c>
      <c r="I126" s="91">
        <f>IF(ISNUMBER(G126), $B145 * H126, "")</f>
        <v>5172.4137931034538</v>
      </c>
      <c r="J126" s="15">
        <v>3.6</v>
      </c>
      <c r="K126" s="32">
        <f t="shared" ref="K126:K129" si="64">IF(ISNUMBER(J126), (J126 - $B126) / $B126, "")</f>
        <v>3.4482758620689689E-2</v>
      </c>
      <c r="L126" s="18">
        <f>IF(ISNUMBER(J126), $B145 * K126, "")</f>
        <v>5172.4137931034538</v>
      </c>
      <c r="M126" s="31">
        <v>3.6</v>
      </c>
      <c r="N126" s="32">
        <f t="shared" ref="N126:N129" si="65">IF(ISNUMBER(M126), (M126 - $B126) / $B126, "")</f>
        <v>3.4482758620689689E-2</v>
      </c>
      <c r="O126" s="18">
        <f>IF(ISNUMBER(M126), $B145 * N126, "")</f>
        <v>5172.4137931034538</v>
      </c>
      <c r="Q126" s="156"/>
      <c r="R126" s="156"/>
      <c r="S126" s="156"/>
    </row>
    <row r="127" spans="1:19" ht="17.25" thickBot="1">
      <c r="A127" s="109" t="s">
        <v>122</v>
      </c>
      <c r="B127" s="110">
        <v>20.8</v>
      </c>
      <c r="C127" s="70">
        <v>-2.34741784E-2</v>
      </c>
      <c r="D127" s="15">
        <v>21.3</v>
      </c>
      <c r="E127" s="32">
        <f t="shared" si="62"/>
        <v>2.4038461538461536E-2</v>
      </c>
      <c r="F127" s="18">
        <f>IF(ISNUMBER(D127), $B145 * E127, "")</f>
        <v>3605.7692307692305</v>
      </c>
      <c r="G127" s="31">
        <v>21.4</v>
      </c>
      <c r="H127" s="32">
        <f t="shared" si="63"/>
        <v>2.8846153846153744E-2</v>
      </c>
      <c r="I127" s="91">
        <f>IF(ISNUMBER(G127), $B145 * H127, "")</f>
        <v>4326.9230769230617</v>
      </c>
      <c r="J127" s="15">
        <v>21.4</v>
      </c>
      <c r="K127" s="32">
        <f t="shared" si="64"/>
        <v>2.8846153846153744E-2</v>
      </c>
      <c r="L127" s="18">
        <f>IF(ISNUMBER(J127), $B145 * K127, "")</f>
        <v>4326.9230769230617</v>
      </c>
      <c r="M127" s="31">
        <v>21.4</v>
      </c>
      <c r="N127" s="32">
        <f t="shared" si="65"/>
        <v>2.8846153846153744E-2</v>
      </c>
      <c r="O127" s="18">
        <f>IF(ISNUMBER(M127), $B145 * N127, "")</f>
        <v>4326.9230769230617</v>
      </c>
      <c r="Q127" s="161"/>
      <c r="R127" s="161"/>
      <c r="S127" s="161"/>
    </row>
    <row r="128" spans="1:19" ht="17.25" thickBot="1">
      <c r="A128" s="109" t="s">
        <v>338</v>
      </c>
      <c r="B128" s="110">
        <v>4.38</v>
      </c>
      <c r="C128" s="70">
        <v>-2.4498886399999999E-2</v>
      </c>
      <c r="D128" s="15">
        <v>4.46</v>
      </c>
      <c r="E128" s="32">
        <f t="shared" si="62"/>
        <v>1.8264840182648418E-2</v>
      </c>
      <c r="F128" s="18">
        <f>IF(ISNUMBER(D128), $B145 * E128, "")</f>
        <v>2739.7260273972629</v>
      </c>
      <c r="G128" s="31">
        <v>4.43</v>
      </c>
      <c r="H128" s="32">
        <f t="shared" si="63"/>
        <v>1.1415525114155211E-2</v>
      </c>
      <c r="I128" s="91">
        <f>IF(ISNUMBER(G128), $B145 * H128, "")</f>
        <v>1712.3287671232815</v>
      </c>
      <c r="J128" s="15">
        <v>4.43</v>
      </c>
      <c r="K128" s="32">
        <f t="shared" si="64"/>
        <v>1.1415525114155211E-2</v>
      </c>
      <c r="L128" s="18">
        <f>IF(ISNUMBER(J128), $B145 * K128, "")</f>
        <v>1712.3287671232815</v>
      </c>
      <c r="M128" s="31">
        <v>4.45</v>
      </c>
      <c r="N128" s="32">
        <f t="shared" si="65"/>
        <v>1.5981735159817417E-2</v>
      </c>
      <c r="O128" s="18">
        <f>IF(ISNUMBER(M128), $B145 * N128, "")</f>
        <v>2397.2602739726126</v>
      </c>
      <c r="Q128" s="161"/>
      <c r="R128" s="161"/>
      <c r="S128" s="161"/>
    </row>
    <row r="129" spans="1:19" ht="17.25" thickBot="1">
      <c r="A129" s="111" t="s">
        <v>191</v>
      </c>
      <c r="B129" s="112">
        <v>50.2</v>
      </c>
      <c r="C129" s="71">
        <v>-2.7131782900000002E-2</v>
      </c>
      <c r="D129" s="20">
        <v>50.6</v>
      </c>
      <c r="E129" s="21">
        <f t="shared" si="62"/>
        <v>7.9681274900398127E-3</v>
      </c>
      <c r="F129" s="22">
        <f>IF(ISNUMBER(D129), $B145 * E129, "")</f>
        <v>1195.219123505972</v>
      </c>
      <c r="G129" s="30">
        <v>50.7</v>
      </c>
      <c r="H129" s="21">
        <f t="shared" si="63"/>
        <v>9.9601593625498006E-3</v>
      </c>
      <c r="I129" s="95">
        <f>IF(ISNUMBER(G129), $B145 * H129, "")</f>
        <v>1494.0239043824702</v>
      </c>
      <c r="J129" s="20">
        <v>50.7</v>
      </c>
      <c r="K129" s="21">
        <f t="shared" si="64"/>
        <v>9.9601593625498006E-3</v>
      </c>
      <c r="L129" s="22">
        <f>IF(ISNUMBER(J129), $B145 * K129, "")</f>
        <v>1494.0239043824702</v>
      </c>
      <c r="M129" s="30">
        <v>50.7</v>
      </c>
      <c r="N129" s="21">
        <f t="shared" si="65"/>
        <v>9.9601593625498006E-3</v>
      </c>
      <c r="O129" s="22">
        <f>IF(ISNUMBER(M129), $B145 * N129, "")</f>
        <v>1494.0239043824702</v>
      </c>
      <c r="Q129" s="161"/>
      <c r="R129" s="161"/>
      <c r="S129" s="161"/>
    </row>
    <row r="130" spans="1:19" ht="17.25" thickBot="1">
      <c r="A130" s="109" t="s">
        <v>230</v>
      </c>
      <c r="B130" s="113">
        <v>35.700000000000003</v>
      </c>
      <c r="C130" s="73">
        <v>-2.7247956399999999E-2</v>
      </c>
      <c r="D130" s="96">
        <v>37.200000000000003</v>
      </c>
      <c r="E130" s="97">
        <f>IF(ISNUMBER(D130), (D130 - $B130) / $B130, "")</f>
        <v>4.2016806722689072E-2</v>
      </c>
      <c r="F130" s="98">
        <f>IF(ISNUMBER(D130), $B145 * E130, "")</f>
        <v>6302.5210084033606</v>
      </c>
      <c r="G130" s="99">
        <v>36.700000000000003</v>
      </c>
      <c r="H130" s="97">
        <f>IF(ISNUMBER(G130), (G130 - $B130) / $B130, "")</f>
        <v>2.8011204481792715E-2</v>
      </c>
      <c r="I130" s="100">
        <f>IF(ISNUMBER(G130), $B145 * H130, "")</f>
        <v>4201.6806722689071</v>
      </c>
      <c r="J130" s="96">
        <v>36.700000000000003</v>
      </c>
      <c r="K130" s="97">
        <f>IF(ISNUMBER(J130), (J130 - $B130) / $B130, "")</f>
        <v>2.8011204481792715E-2</v>
      </c>
      <c r="L130" s="98">
        <f>IF(ISNUMBER(J130), $B145 * K130, "")</f>
        <v>4201.6806722689071</v>
      </c>
      <c r="M130" s="99">
        <v>37</v>
      </c>
      <c r="N130" s="97">
        <f>IF(ISNUMBER(M130), (M130 - $B130) / $B130, "")</f>
        <v>3.6414565826330451E-2</v>
      </c>
      <c r="O130" s="98">
        <f>IF(ISNUMBER(M130), $B145 * N130, "")</f>
        <v>5462.1848739495681</v>
      </c>
      <c r="Q130" s="161"/>
      <c r="R130" s="161"/>
      <c r="S130" s="161"/>
    </row>
    <row r="131" spans="1:19" ht="17.25" thickBot="1">
      <c r="A131" s="109" t="s">
        <v>206</v>
      </c>
      <c r="B131" s="110">
        <v>3.18</v>
      </c>
      <c r="C131" s="70">
        <v>-2.7522935799999999E-2</v>
      </c>
      <c r="D131" s="15">
        <v>3.23</v>
      </c>
      <c r="E131" s="32">
        <f t="shared" ref="E131:E134" si="66">IF(ISNUMBER(D131), (D131 - $B131) / $B131, "")</f>
        <v>1.5723270440251517E-2</v>
      </c>
      <c r="F131" s="18">
        <f>IF(ISNUMBER(D131), $B145 * E131, "")</f>
        <v>2358.4905660377276</v>
      </c>
      <c r="G131" s="31">
        <v>3.22</v>
      </c>
      <c r="H131" s="32">
        <f t="shared" ref="H131:H134" si="67">IF(ISNUMBER(G131), (G131 - $B131) / $B131, "")</f>
        <v>1.2578616352201269E-2</v>
      </c>
      <c r="I131" s="91">
        <f>IF(ISNUMBER(G131), $B145 * H131, "")</f>
        <v>1886.7924528301903</v>
      </c>
      <c r="J131" s="15">
        <v>3.22</v>
      </c>
      <c r="K131" s="32">
        <f t="shared" ref="K131:K134" si="68">IF(ISNUMBER(J131), (J131 - $B131) / $B131, "")</f>
        <v>1.2578616352201269E-2</v>
      </c>
      <c r="L131" s="18">
        <f>IF(ISNUMBER(J131), $B145 * K131, "")</f>
        <v>1886.7924528301903</v>
      </c>
      <c r="M131" s="31">
        <v>3.22</v>
      </c>
      <c r="N131" s="32">
        <f t="shared" ref="N131:N134" si="69">IF(ISNUMBER(M131), (M131 - $B131) / $B131, "")</f>
        <v>1.2578616352201269E-2</v>
      </c>
      <c r="O131" s="18">
        <f>IF(ISNUMBER(M131), $B145 * N131, "")</f>
        <v>1886.7924528301903</v>
      </c>
      <c r="Q131" s="161"/>
      <c r="R131" s="161"/>
      <c r="S131" s="161"/>
    </row>
    <row r="132" spans="1:19" ht="17.25" thickBot="1">
      <c r="A132" s="109" t="s">
        <v>118</v>
      </c>
      <c r="B132" s="110">
        <v>5.3</v>
      </c>
      <c r="C132" s="70">
        <v>-2.7522935799999999E-2</v>
      </c>
      <c r="D132" s="15">
        <v>5.39</v>
      </c>
      <c r="E132" s="32">
        <f t="shared" si="66"/>
        <v>1.6981132075471674E-2</v>
      </c>
      <c r="F132" s="18">
        <f>IF(ISNUMBER(D132), $B145 * E132, "")</f>
        <v>2547.1698113207513</v>
      </c>
      <c r="G132" s="31">
        <v>5.42</v>
      </c>
      <c r="H132" s="32">
        <f t="shared" si="67"/>
        <v>2.2641509433962283E-2</v>
      </c>
      <c r="I132" s="91">
        <f>IF(ISNUMBER(G132), $B145 * H132, "")</f>
        <v>3396.2264150943424</v>
      </c>
      <c r="J132" s="15">
        <v>5.42</v>
      </c>
      <c r="K132" s="32">
        <f t="shared" si="68"/>
        <v>2.2641509433962283E-2</v>
      </c>
      <c r="L132" s="18">
        <f>IF(ISNUMBER(J132), $B145 * K132, "")</f>
        <v>3396.2264150943424</v>
      </c>
      <c r="M132" s="31">
        <v>5.42</v>
      </c>
      <c r="N132" s="32">
        <f t="shared" si="69"/>
        <v>2.2641509433962283E-2</v>
      </c>
      <c r="O132" s="18">
        <f>IF(ISNUMBER(M132), $B145 * N132, "")</f>
        <v>3396.2264150943424</v>
      </c>
      <c r="Q132" s="161"/>
      <c r="R132" s="161"/>
      <c r="S132" s="161"/>
    </row>
    <row r="133" spans="1:19" ht="17.25" thickBot="1">
      <c r="A133" s="109" t="s">
        <v>326</v>
      </c>
      <c r="B133" s="110">
        <v>20.5</v>
      </c>
      <c r="C133" s="70">
        <v>-2.8436019E-2</v>
      </c>
      <c r="D133" s="15">
        <v>21.1</v>
      </c>
      <c r="E133" s="32">
        <f t="shared" si="66"/>
        <v>2.9268292682926897E-2</v>
      </c>
      <c r="F133" s="18">
        <f>IF(ISNUMBER(D133), $B145 * E133, "")</f>
        <v>4390.2439024390342</v>
      </c>
      <c r="G133" s="31">
        <v>21.2</v>
      </c>
      <c r="H133" s="32">
        <f t="shared" si="67"/>
        <v>3.4146341463414602E-2</v>
      </c>
      <c r="I133" s="91">
        <f>IF(ISNUMBER(G133), $B145 * H133, "")</f>
        <v>5121.9512195121906</v>
      </c>
      <c r="J133" s="15">
        <v>21.2</v>
      </c>
      <c r="K133" s="32">
        <f t="shared" si="68"/>
        <v>3.4146341463414602E-2</v>
      </c>
      <c r="L133" s="18">
        <f>IF(ISNUMBER(J133), $B145 * K133, "")</f>
        <v>5121.9512195121906</v>
      </c>
      <c r="M133" s="31">
        <v>21.2</v>
      </c>
      <c r="N133" s="32">
        <f t="shared" si="69"/>
        <v>3.4146341463414602E-2</v>
      </c>
      <c r="O133" s="18">
        <f>IF(ISNUMBER(M133), $B145 * N133, "")</f>
        <v>5121.9512195121906</v>
      </c>
      <c r="Q133" s="33"/>
      <c r="R133" s="33"/>
    </row>
    <row r="134" spans="1:19" ht="17.25" thickBot="1">
      <c r="A134" s="114" t="s">
        <v>210</v>
      </c>
      <c r="B134" s="115">
        <v>63.2</v>
      </c>
      <c r="C134" s="72">
        <v>-3.06748466E-2</v>
      </c>
      <c r="D134" s="24">
        <v>64</v>
      </c>
      <c r="E134" s="25">
        <f t="shared" si="66"/>
        <v>1.2658227848101221E-2</v>
      </c>
      <c r="F134" s="94">
        <f>IF(ISNUMBER(D134), $B145 * E134, "")</f>
        <v>1898.7341772151831</v>
      </c>
      <c r="G134" s="92">
        <v>64.400000000000006</v>
      </c>
      <c r="H134" s="25">
        <f t="shared" si="67"/>
        <v>1.8987341772151944E-2</v>
      </c>
      <c r="I134" s="93">
        <f>IF(ISNUMBER(G134), $B145 * H134, "")</f>
        <v>2848.1012658227914</v>
      </c>
      <c r="J134" s="24">
        <v>64.400000000000006</v>
      </c>
      <c r="K134" s="25">
        <f t="shared" si="68"/>
        <v>1.8987341772151944E-2</v>
      </c>
      <c r="L134" s="94">
        <f>IF(ISNUMBER(J134), $B145 * K134, "")</f>
        <v>2848.1012658227914</v>
      </c>
      <c r="M134" s="92">
        <v>64.3</v>
      </c>
      <c r="N134" s="25">
        <f t="shared" si="69"/>
        <v>1.7405063291139149E-2</v>
      </c>
      <c r="O134" s="94">
        <f>IF(ISNUMBER(M134), $B145 * N134, "")</f>
        <v>2610.7594936708724</v>
      </c>
      <c r="Q134" s="170"/>
      <c r="R134" s="171"/>
      <c r="S134" s="172"/>
    </row>
    <row r="135" spans="1:19">
      <c r="A135" s="107" t="s">
        <v>132</v>
      </c>
      <c r="B135" s="108">
        <v>46.1</v>
      </c>
      <c r="C135" s="69">
        <v>-3.1512604999999999E-2</v>
      </c>
      <c r="D135" s="13">
        <v>48.1</v>
      </c>
      <c r="E135" s="14">
        <f>IF(ISNUMBER(D135), (D135 - $B135) / $B135, "")</f>
        <v>4.3383947939262472E-2</v>
      </c>
      <c r="F135" s="16">
        <f>IF(ISNUMBER(D135), $B145 * E135, "")</f>
        <v>6507.5921908893706</v>
      </c>
      <c r="G135" s="29">
        <v>48.2</v>
      </c>
      <c r="H135" s="14">
        <f>IF(ISNUMBER(G135), (G135 - $B135) / $B135, "")</f>
        <v>4.5553145336225627E-2</v>
      </c>
      <c r="I135" s="90">
        <f>IF(ISNUMBER(G135), $B145 * H135, "")</f>
        <v>6832.9718004338438</v>
      </c>
      <c r="J135" s="13">
        <v>48.2</v>
      </c>
      <c r="K135" s="14">
        <f>IF(ISNUMBER(J135), (J135 - $B135) / $B135, "")</f>
        <v>4.5553145336225627E-2</v>
      </c>
      <c r="L135" s="16">
        <f>IF(ISNUMBER(J135), $B145 * K135, "")</f>
        <v>6832.9718004338438</v>
      </c>
      <c r="M135" s="29">
        <v>48.3</v>
      </c>
      <c r="N135" s="14">
        <f>IF(ISNUMBER(M135), (M135 - $B135) / $B135, "")</f>
        <v>4.7722342733188629E-2</v>
      </c>
      <c r="O135" s="16">
        <f>IF(ISNUMBER(M135), $B145 * N135, "")</f>
        <v>7158.3514099782942</v>
      </c>
      <c r="Q135" s="173"/>
      <c r="R135" s="174"/>
      <c r="S135" s="175"/>
    </row>
    <row r="136" spans="1:19" ht="17.25" thickBot="1">
      <c r="A136" s="109" t="s">
        <v>195</v>
      </c>
      <c r="B136" s="110">
        <v>5.95</v>
      </c>
      <c r="C136" s="70">
        <v>-3.2520325199999998E-2</v>
      </c>
      <c r="D136" s="15">
        <v>6.02</v>
      </c>
      <c r="E136" s="32">
        <f t="shared" ref="E136:E139" si="70">IF(ISNUMBER(D136), (D136 - $B136) / $B136, "")</f>
        <v>1.1764705882352839E-2</v>
      </c>
      <c r="F136" s="18">
        <f>IF(ISNUMBER(D136), $B145 * E136, "")</f>
        <v>1764.7058823529258</v>
      </c>
      <c r="G136" s="31">
        <v>6.03</v>
      </c>
      <c r="H136" s="32">
        <f t="shared" ref="H136:H139" si="71">IF(ISNUMBER(G136), (G136 - $B136) / $B136, "")</f>
        <v>1.3445378151260515E-2</v>
      </c>
      <c r="I136" s="91">
        <f>IF(ISNUMBER(G136), $B145 * H136, "")</f>
        <v>2016.8067226890773</v>
      </c>
      <c r="J136" s="15">
        <v>6.03</v>
      </c>
      <c r="K136" s="32">
        <f t="shared" ref="K136:K139" si="72">IF(ISNUMBER(J136), (J136 - $B136) / $B136, "")</f>
        <v>1.3445378151260515E-2</v>
      </c>
      <c r="L136" s="18">
        <f>IF(ISNUMBER(J136), $B145 * K136, "")</f>
        <v>2016.8067226890773</v>
      </c>
      <c r="M136" s="31">
        <v>6.02</v>
      </c>
      <c r="N136" s="32">
        <f t="shared" ref="N136:N139" si="73">IF(ISNUMBER(M136), (M136 - $B136) / $B136, "")</f>
        <v>1.1764705882352839E-2</v>
      </c>
      <c r="O136" s="18">
        <f>IF(ISNUMBER(M136), $B145 * N136, "")</f>
        <v>1764.7058823529258</v>
      </c>
      <c r="Q136" s="176"/>
      <c r="R136" s="177"/>
      <c r="S136" s="178"/>
    </row>
    <row r="137" spans="1:19" ht="17.25" thickBot="1">
      <c r="A137" s="109" t="s">
        <v>200</v>
      </c>
      <c r="B137" s="110">
        <v>6.08</v>
      </c>
      <c r="C137" s="70">
        <v>-3.33863275E-2</v>
      </c>
      <c r="D137" s="15">
        <v>6.16</v>
      </c>
      <c r="E137" s="32">
        <f t="shared" si="70"/>
        <v>1.3157894736842117E-2</v>
      </c>
      <c r="F137" s="18">
        <f>IF(ISNUMBER(D137), $B145 * E137, "")</f>
        <v>1973.6842105263174</v>
      </c>
      <c r="G137" s="31">
        <v>6.13</v>
      </c>
      <c r="H137" s="32">
        <f t="shared" si="71"/>
        <v>8.2236842105262858E-3</v>
      </c>
      <c r="I137" s="91">
        <f>IF(ISNUMBER(G137), $B145 * H137, "")</f>
        <v>1233.552631578943</v>
      </c>
      <c r="J137" s="15">
        <v>6.13</v>
      </c>
      <c r="K137" s="32">
        <f t="shared" si="72"/>
        <v>8.2236842105262858E-3</v>
      </c>
      <c r="L137" s="18">
        <f>IF(ISNUMBER(J137), $B145 * K137, "")</f>
        <v>1233.552631578943</v>
      </c>
      <c r="M137" s="31">
        <v>6.18</v>
      </c>
      <c r="N137" s="32">
        <f t="shared" si="73"/>
        <v>1.6447368421052572E-2</v>
      </c>
      <c r="O137" s="18">
        <f>IF(ISNUMBER(M137), $B145 * N137, "")</f>
        <v>2467.1052631578859</v>
      </c>
      <c r="Q137" s="161"/>
      <c r="R137" s="161"/>
      <c r="S137" s="161"/>
    </row>
    <row r="138" spans="1:19" ht="17.25" thickBot="1">
      <c r="A138" s="109" t="s">
        <v>228</v>
      </c>
      <c r="B138" s="110">
        <v>55.8</v>
      </c>
      <c r="C138" s="70">
        <v>-3.4602076099999997E-2</v>
      </c>
      <c r="D138" s="15">
        <v>56.8</v>
      </c>
      <c r="E138" s="32">
        <f t="shared" si="70"/>
        <v>1.7921146953405021E-2</v>
      </c>
      <c r="F138" s="18">
        <f>IF(ISNUMBER(D138), $B145 * E138, "")</f>
        <v>2688.172043010753</v>
      </c>
      <c r="G138" s="31">
        <v>56.7</v>
      </c>
      <c r="H138" s="32">
        <f t="shared" si="71"/>
        <v>1.612903225806462E-2</v>
      </c>
      <c r="I138" s="91">
        <f>IF(ISNUMBER(G138), $B145 * H138, "")</f>
        <v>2419.354838709693</v>
      </c>
      <c r="J138" s="15">
        <v>56.7</v>
      </c>
      <c r="K138" s="32">
        <f t="shared" si="72"/>
        <v>1.612903225806462E-2</v>
      </c>
      <c r="L138" s="18">
        <f>IF(ISNUMBER(J138), $B145 * K138, "")</f>
        <v>2419.354838709693</v>
      </c>
      <c r="M138" s="31">
        <v>56.5</v>
      </c>
      <c r="N138" s="32">
        <f t="shared" si="73"/>
        <v>1.2544802867383563E-2</v>
      </c>
      <c r="O138" s="18">
        <f>IF(ISNUMBER(M138), $B145 * N138, "")</f>
        <v>1881.7204301075344</v>
      </c>
      <c r="Q138" s="156"/>
      <c r="R138" s="156"/>
      <c r="S138" s="156"/>
    </row>
    <row r="139" spans="1:19" ht="17.25" thickBot="1">
      <c r="A139" s="111" t="s">
        <v>208</v>
      </c>
      <c r="B139" s="112">
        <v>90.8</v>
      </c>
      <c r="C139" s="71">
        <v>-3.8135593199999998E-2</v>
      </c>
      <c r="D139" s="20">
        <v>92.9</v>
      </c>
      <c r="E139" s="21">
        <f t="shared" si="70"/>
        <v>2.3127753303964851E-2</v>
      </c>
      <c r="F139" s="22">
        <f>IF(ISNUMBER(D139), $B145 * E139, "")</f>
        <v>3469.1629955947278</v>
      </c>
      <c r="G139" s="30">
        <v>93.1</v>
      </c>
      <c r="H139" s="21">
        <f t="shared" si="71"/>
        <v>2.5330396475770893E-2</v>
      </c>
      <c r="I139" s="95">
        <f>IF(ISNUMBER(G139), $B145 * H139, "")</f>
        <v>3799.5594713656337</v>
      </c>
      <c r="J139" s="20">
        <v>93.1</v>
      </c>
      <c r="K139" s="21">
        <f t="shared" si="72"/>
        <v>2.5330396475770893E-2</v>
      </c>
      <c r="L139" s="22">
        <f>IF(ISNUMBER(J139), $B145 * K139, "")</f>
        <v>3799.5594713656337</v>
      </c>
      <c r="M139" s="30">
        <v>92.7</v>
      </c>
      <c r="N139" s="21">
        <f t="shared" si="73"/>
        <v>2.0925110132158652E-2</v>
      </c>
      <c r="O139" s="22">
        <f>IF(ISNUMBER(M139), $B145 * N139, "")</f>
        <v>3138.7665198237978</v>
      </c>
      <c r="Q139" s="156"/>
      <c r="R139" s="156"/>
      <c r="S139" s="156"/>
    </row>
    <row r="140" spans="1:19" ht="17.25" thickBot="1">
      <c r="A140" s="109" t="s">
        <v>181</v>
      </c>
      <c r="B140" s="113">
        <v>4.1100000000000003</v>
      </c>
      <c r="C140" s="73">
        <v>-3.9719626199999997E-2</v>
      </c>
      <c r="D140" s="96">
        <v>4.1900000000000004</v>
      </c>
      <c r="E140" s="97">
        <f>IF(ISNUMBER(D140), (D140 - $B140) / $B140, "")</f>
        <v>1.9464720194647216E-2</v>
      </c>
      <c r="F140" s="98">
        <f>IF(ISNUMBER(D140), $B145 * E140, "")</f>
        <v>2919.7080291970824</v>
      </c>
      <c r="G140" s="99">
        <v>4.18</v>
      </c>
      <c r="H140" s="97">
        <f>IF(ISNUMBER(G140), (G140 - $B140) / $B140, "")</f>
        <v>1.7031630170316153E-2</v>
      </c>
      <c r="I140" s="100">
        <f>IF(ISNUMBER(G140), $B145 * H140, "")</f>
        <v>2554.7445255474227</v>
      </c>
      <c r="J140" s="96">
        <v>4.18</v>
      </c>
      <c r="K140" s="97">
        <f>IF(ISNUMBER(J140), (J140 - $B140) / $B140, "")</f>
        <v>1.7031630170316153E-2</v>
      </c>
      <c r="L140" s="98">
        <f>IF(ISNUMBER(J140), $B145 * K140, "")</f>
        <v>2554.7445255474227</v>
      </c>
      <c r="M140" s="99">
        <v>4.17</v>
      </c>
      <c r="N140" s="97">
        <f>IF(ISNUMBER(M140), (M140 - $B140) / $B140, "")</f>
        <v>1.4598540145985306E-2</v>
      </c>
      <c r="O140" s="98">
        <f>IF(ISNUMBER(M140), $B145 * N140, "")</f>
        <v>2189.7810218977957</v>
      </c>
      <c r="Q140" s="161"/>
      <c r="R140" s="161"/>
      <c r="S140" s="161"/>
    </row>
    <row r="141" spans="1:19" ht="17.25" thickBot="1">
      <c r="A141" s="109" t="s">
        <v>350</v>
      </c>
      <c r="B141" s="110">
        <v>6.15</v>
      </c>
      <c r="C141" s="70">
        <v>-4.9459041699999998E-2</v>
      </c>
      <c r="D141" s="15">
        <v>6.23</v>
      </c>
      <c r="E141" s="32">
        <f t="shared" ref="E141:E144" si="74">IF(ISNUMBER(D141), (D141 - $B141) / $B141, "")</f>
        <v>1.3008130081300823E-2</v>
      </c>
      <c r="F141" s="18">
        <f>IF(ISNUMBER(D141), $B145 * E141, "")</f>
        <v>1951.2195121951236</v>
      </c>
      <c r="G141" s="31">
        <v>6.28</v>
      </c>
      <c r="H141" s="32">
        <f t="shared" ref="H141:H144" si="75">IF(ISNUMBER(G141), (G141 - $B141) / $B141, "")</f>
        <v>2.1138211382113803E-2</v>
      </c>
      <c r="I141" s="91">
        <f>IF(ISNUMBER(G141), $B145 * H141, "")</f>
        <v>3170.7317073170702</v>
      </c>
      <c r="J141" s="15">
        <v>6.28</v>
      </c>
      <c r="K141" s="32">
        <f t="shared" ref="K141:K144" si="76">IF(ISNUMBER(J141), (J141 - $B141) / $B141, "")</f>
        <v>2.1138211382113803E-2</v>
      </c>
      <c r="L141" s="18">
        <f>IF(ISNUMBER(J141), $B145 * K141, "")</f>
        <v>3170.7317073170702</v>
      </c>
      <c r="M141" s="31">
        <v>6.27</v>
      </c>
      <c r="N141" s="32">
        <f t="shared" ref="N141:N144" si="77">IF(ISNUMBER(M141), (M141 - $B141) / $B141, "")</f>
        <v>1.9512195121951091E-2</v>
      </c>
      <c r="O141" s="18">
        <f>IF(ISNUMBER(M141), $B145 * N141, "")</f>
        <v>2926.8292682926635</v>
      </c>
      <c r="Q141" s="161"/>
      <c r="R141" s="161"/>
      <c r="S141" s="161"/>
    </row>
    <row r="142" spans="1:19" ht="17.25" thickBot="1">
      <c r="A142" s="109" t="s">
        <v>224</v>
      </c>
      <c r="B142" s="110">
        <v>18.899999999999999</v>
      </c>
      <c r="C142" s="70">
        <v>-5.0251256299999998E-2</v>
      </c>
      <c r="D142" s="15">
        <v>19</v>
      </c>
      <c r="E142" s="32">
        <f t="shared" si="74"/>
        <v>5.2910052910053662E-3</v>
      </c>
      <c r="F142" s="18">
        <f>IF(ISNUMBER(D142), $B145 * E142, "")</f>
        <v>793.65079365080487</v>
      </c>
      <c r="G142" s="31">
        <v>19.100000000000001</v>
      </c>
      <c r="H142" s="32">
        <f t="shared" si="75"/>
        <v>1.0582010582010732E-2</v>
      </c>
      <c r="I142" s="91">
        <f>IF(ISNUMBER(G142), $B145 * H142, "")</f>
        <v>1587.3015873016097</v>
      </c>
      <c r="J142" s="15">
        <v>19.100000000000001</v>
      </c>
      <c r="K142" s="32">
        <f t="shared" si="76"/>
        <v>1.0582010582010732E-2</v>
      </c>
      <c r="L142" s="18">
        <f>IF(ISNUMBER(J142), $B145 * K142, "")</f>
        <v>1587.3015873016097</v>
      </c>
      <c r="M142" s="31">
        <v>19</v>
      </c>
      <c r="N142" s="32">
        <f t="shared" si="77"/>
        <v>5.2910052910053662E-3</v>
      </c>
      <c r="O142" s="18">
        <f>IF(ISNUMBER(M142), $B145 * N142, "")</f>
        <v>793.65079365080487</v>
      </c>
      <c r="Q142" s="161"/>
      <c r="R142" s="161"/>
      <c r="S142" s="161"/>
    </row>
    <row r="143" spans="1:19">
      <c r="A143" s="109" t="s">
        <v>198</v>
      </c>
      <c r="B143" s="110">
        <v>6.67</v>
      </c>
      <c r="C143" s="70">
        <v>-5.2556818200000001E-2</v>
      </c>
      <c r="D143" s="15">
        <v>6.84</v>
      </c>
      <c r="E143" s="32">
        <f t="shared" si="74"/>
        <v>2.5487256371814083E-2</v>
      </c>
      <c r="F143" s="18">
        <f>IF(ISNUMBER(D143), $B145 * E143, "")</f>
        <v>3823.0884557721124</v>
      </c>
      <c r="G143" s="31">
        <v>6.83</v>
      </c>
      <c r="H143" s="32">
        <f t="shared" si="75"/>
        <v>2.3988005997001519E-2</v>
      </c>
      <c r="I143" s="91">
        <f>IF(ISNUMBER(G143), $B145 * H143, "")</f>
        <v>3598.2008995502279</v>
      </c>
      <c r="J143" s="15">
        <v>6.83</v>
      </c>
      <c r="K143" s="32">
        <f t="shared" si="76"/>
        <v>2.3988005997001519E-2</v>
      </c>
      <c r="L143" s="18">
        <f>IF(ISNUMBER(J143), $B145 * K143, "")</f>
        <v>3598.2008995502279</v>
      </c>
      <c r="M143" s="31">
        <v>6.84</v>
      </c>
      <c r="N143" s="32">
        <f t="shared" si="77"/>
        <v>2.5487256371814083E-2</v>
      </c>
      <c r="O143" s="18">
        <f>IF(ISNUMBER(M143), $B145 * N143, "")</f>
        <v>3823.0884557721124</v>
      </c>
      <c r="Q143" s="183"/>
      <c r="R143" s="184"/>
      <c r="S143" s="185"/>
    </row>
    <row r="144" spans="1:19" ht="17.25" thickBot="1">
      <c r="A144" s="114" t="s">
        <v>212</v>
      </c>
      <c r="B144" s="115">
        <v>75.400000000000006</v>
      </c>
      <c r="C144" s="72">
        <v>-6.9135802499999996E-2</v>
      </c>
      <c r="D144" s="24">
        <v>77.3</v>
      </c>
      <c r="E144" s="25">
        <f t="shared" si="74"/>
        <v>2.5198938992042324E-2</v>
      </c>
      <c r="F144" s="94">
        <f>IF(ISNUMBER(D144), $B145 * E144, "")</f>
        <v>3779.8408488063487</v>
      </c>
      <c r="G144" s="92">
        <v>77.2</v>
      </c>
      <c r="H144" s="25">
        <f t="shared" si="75"/>
        <v>2.3872679045092798E-2</v>
      </c>
      <c r="I144" s="93">
        <f>IF(ISNUMBER(G144), $B145 * H144, "")</f>
        <v>3580.9018567639196</v>
      </c>
      <c r="J144" s="24">
        <v>77.2</v>
      </c>
      <c r="K144" s="25">
        <f t="shared" si="76"/>
        <v>2.3872679045092798E-2</v>
      </c>
      <c r="L144" s="94">
        <f>IF(ISNUMBER(J144), $B145 * K144, "")</f>
        <v>3580.9018567639196</v>
      </c>
      <c r="M144" s="92">
        <v>76.8</v>
      </c>
      <c r="N144" s="25">
        <f t="shared" si="77"/>
        <v>1.8567639257294315E-2</v>
      </c>
      <c r="O144" s="94">
        <f>IF(ISNUMBER(M144), $B145 * N144, "")</f>
        <v>2785.145888594147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2.0465665972652203E-2</v>
      </c>
      <c r="F145" s="28">
        <f>SUM(F125:F144)</f>
        <v>61396.997917956622</v>
      </c>
      <c r="G145" s="26" t="s">
        <v>261</v>
      </c>
      <c r="H145" s="27">
        <f>IF(COUNT(H125:H144), SUM(H125:H144) / COUNT(H125:H144), 0)</f>
        <v>2.1254518790787692E-2</v>
      </c>
      <c r="I145" s="28">
        <f>SUM(I125:I144)</f>
        <v>63763.556372363077</v>
      </c>
      <c r="J145" s="26" t="s">
        <v>261</v>
      </c>
      <c r="K145" s="27">
        <f>IF(COUNT(K125:K144), SUM(K125:K144) / COUNT(K125:K144), 0)</f>
        <v>2.1254518790787692E-2</v>
      </c>
      <c r="L145" s="28">
        <f>SUM(L125:L144)</f>
        <v>63763.556372363077</v>
      </c>
      <c r="M145" s="26" t="s">
        <v>261</v>
      </c>
      <c r="N145" s="27">
        <f>IF(COUNT(N125:N144), SUM(N125:N144) / COUNT(N125:N144), 0)</f>
        <v>2.0827691231831237E-2</v>
      </c>
      <c r="O145" s="28">
        <f>SUM(O125:O144)</f>
        <v>62483.073695493687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2022-12-23(금) 오전 00:00</v>
      </c>
      <c r="C150" s="199"/>
      <c r="D150" s="158" t="str">
        <f>TEXT($G$1, "[$-ko-KR]yyyy-mm-dd(ddd) ") &amp; "오후 14:00"</f>
        <v>2022-12-23(금) 오후 14:00</v>
      </c>
      <c r="E150" s="159"/>
      <c r="F150" s="160"/>
      <c r="G150" s="158" t="str">
        <f>TEXT($G$1, "[$-ko-KR]yyyy-mm-dd(ddd) ") &amp; "오후 19:00"</f>
        <v>2022-12-23(금) 오후 19:00</v>
      </c>
      <c r="H150" s="159"/>
      <c r="I150" s="160"/>
      <c r="J150" s="158" t="str">
        <f>TEXT($G$1, "[$-ko-KR]yyyy-mm-dd(ddd) ") &amp; "오후 21:00"</f>
        <v>2022-12-23(금) 오후 21:00</v>
      </c>
      <c r="K150" s="159"/>
      <c r="L150" s="160"/>
      <c r="M150" s="158" t="str">
        <f>TEXT($G$1+1, "[$-ko-KR]yyyy-mm-dd(ddd) ") &amp; "오전 00:00"</f>
        <v>2022-12-24(토)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346</v>
      </c>
      <c r="B152" s="108">
        <v>372</v>
      </c>
      <c r="C152" s="69">
        <v>-2.10526316E-2</v>
      </c>
      <c r="D152" s="13">
        <v>376</v>
      </c>
      <c r="E152" s="14">
        <f>IF(ISNUMBER(D152), (D152 - $B152) / $B152, "")</f>
        <v>1.0752688172043012E-2</v>
      </c>
      <c r="F152" s="16">
        <f>IF(ISNUMBER(D152), $B172 * E152, "")</f>
        <v>1612.9032258064517</v>
      </c>
      <c r="G152" s="29">
        <v>377</v>
      </c>
      <c r="H152" s="14">
        <f>IF(ISNUMBER(G152), (G152 - $B152) / $B152, "")</f>
        <v>1.3440860215053764E-2</v>
      </c>
      <c r="I152" s="90">
        <f>IF(ISNUMBER(G152), $B172 * H152, "")</f>
        <v>2016.1290322580646</v>
      </c>
      <c r="J152" s="13">
        <v>377</v>
      </c>
      <c r="K152" s="14">
        <f>IF(ISNUMBER(J152), (J152 - $B152) / $B152, "")</f>
        <v>1.3440860215053764E-2</v>
      </c>
      <c r="L152" s="16">
        <f>IF(ISNUMBER(J152), $B172 * K152, "")</f>
        <v>2016.1290322580646</v>
      </c>
      <c r="M152" s="29">
        <v>379</v>
      </c>
      <c r="N152" s="14">
        <f>IF(ISNUMBER(M152), (M152 - $B152) / $B152, "")</f>
        <v>1.8817204301075269E-2</v>
      </c>
      <c r="O152" s="16">
        <f>IF(ISNUMBER(M152), $B172 * N152, "")</f>
        <v>2822.5806451612902</v>
      </c>
      <c r="Q152" s="156"/>
      <c r="R152" s="156"/>
      <c r="S152" s="156"/>
    </row>
    <row r="153" spans="1:19" ht="17.25" thickBot="1">
      <c r="A153" s="109" t="s">
        <v>332</v>
      </c>
      <c r="B153" s="110">
        <v>219</v>
      </c>
      <c r="C153" s="70">
        <v>-2.2321428599999998E-2</v>
      </c>
      <c r="D153" s="15">
        <v>221</v>
      </c>
      <c r="E153" s="32">
        <f t="shared" ref="E153:E156" si="78">IF(ISNUMBER(D153), (D153 - $B153) / $B153, "")</f>
        <v>9.1324200913242004E-3</v>
      </c>
      <c r="F153" s="18">
        <f>IF(ISNUMBER(D153), $B172 * E153, "")</f>
        <v>1369.8630136986301</v>
      </c>
      <c r="G153" s="31">
        <v>222</v>
      </c>
      <c r="H153" s="32">
        <f t="shared" ref="H153:H156" si="79">IF(ISNUMBER(G153), (G153 - $B153) / $B153, "")</f>
        <v>1.3698630136986301E-2</v>
      </c>
      <c r="I153" s="91">
        <f>IF(ISNUMBER(G153), $B172 * H153, "")</f>
        <v>2054.794520547945</v>
      </c>
      <c r="J153" s="15">
        <v>222</v>
      </c>
      <c r="K153" s="32">
        <f t="shared" ref="K153:K156" si="80">IF(ISNUMBER(J153), (J153 - $B153) / $B153, "")</f>
        <v>1.3698630136986301E-2</v>
      </c>
      <c r="L153" s="18">
        <f>IF(ISNUMBER(J153), $B172 * K153, "")</f>
        <v>2054.794520547945</v>
      </c>
      <c r="M153" s="31">
        <v>222</v>
      </c>
      <c r="N153" s="32">
        <f t="shared" ref="N153:N156" si="81">IF(ISNUMBER(M153), (M153 - $B153) / $B153, "")</f>
        <v>1.3698630136986301E-2</v>
      </c>
      <c r="O153" s="18">
        <f>IF(ISNUMBER(M153), $B172 * N153, "")</f>
        <v>2054.794520547945</v>
      </c>
      <c r="Q153" s="156"/>
      <c r="R153" s="156"/>
      <c r="S153" s="156"/>
    </row>
    <row r="154" spans="1:19" ht="17.25" thickBot="1">
      <c r="A154" s="109" t="s">
        <v>66</v>
      </c>
      <c r="B154" s="110">
        <v>648</v>
      </c>
      <c r="C154" s="70">
        <v>-2.4096385500000001E-2</v>
      </c>
      <c r="D154" s="15">
        <v>663</v>
      </c>
      <c r="E154" s="32">
        <f t="shared" si="78"/>
        <v>2.3148148148148147E-2</v>
      </c>
      <c r="F154" s="18">
        <f>IF(ISNUMBER(D154), $B172 * E154, "")</f>
        <v>3472.2222222222222</v>
      </c>
      <c r="G154" s="31">
        <v>661</v>
      </c>
      <c r="H154" s="32">
        <f t="shared" si="79"/>
        <v>2.0061728395061727E-2</v>
      </c>
      <c r="I154" s="91">
        <f>IF(ISNUMBER(G154), $B172 * H154, "")</f>
        <v>3009.2592592592591</v>
      </c>
      <c r="J154" s="15">
        <v>661</v>
      </c>
      <c r="K154" s="32">
        <f t="shared" si="80"/>
        <v>2.0061728395061727E-2</v>
      </c>
      <c r="L154" s="18">
        <f>IF(ISNUMBER(J154), $B172 * K154, "")</f>
        <v>3009.2592592592591</v>
      </c>
      <c r="M154" s="31">
        <v>663</v>
      </c>
      <c r="N154" s="32">
        <f t="shared" si="81"/>
        <v>2.3148148148148147E-2</v>
      </c>
      <c r="O154" s="18">
        <f>IF(ISNUMBER(M154), $B172 * N154, "")</f>
        <v>3472.2222222222222</v>
      </c>
      <c r="Q154" s="161"/>
      <c r="R154" s="161"/>
      <c r="S154" s="161"/>
    </row>
    <row r="155" spans="1:19" ht="17.25" thickBot="1">
      <c r="A155" s="109" t="s">
        <v>242</v>
      </c>
      <c r="B155" s="110">
        <v>424</v>
      </c>
      <c r="C155" s="70">
        <v>-2.7522935799999999E-2</v>
      </c>
      <c r="D155" s="15">
        <v>425</v>
      </c>
      <c r="E155" s="32">
        <f t="shared" si="78"/>
        <v>2.3584905660377358E-3</v>
      </c>
      <c r="F155" s="18">
        <f>IF(ISNUMBER(D155), $B172 * E155, "")</f>
        <v>353.77358490566036</v>
      </c>
      <c r="G155" s="31">
        <v>425</v>
      </c>
      <c r="H155" s="32">
        <f t="shared" si="79"/>
        <v>2.3584905660377358E-3</v>
      </c>
      <c r="I155" s="91">
        <f>IF(ISNUMBER(G155), $B172 * H155, "")</f>
        <v>353.77358490566036</v>
      </c>
      <c r="J155" s="15">
        <v>425</v>
      </c>
      <c r="K155" s="32">
        <f t="shared" si="80"/>
        <v>2.3584905660377358E-3</v>
      </c>
      <c r="L155" s="18">
        <f>IF(ISNUMBER(J155), $B172 * K155, "")</f>
        <v>353.77358490566036</v>
      </c>
      <c r="M155" s="31">
        <v>428</v>
      </c>
      <c r="N155" s="32">
        <f t="shared" si="81"/>
        <v>9.433962264150943E-3</v>
      </c>
      <c r="O155" s="18">
        <f>IF(ISNUMBER(M155), $B172 * N155, "")</f>
        <v>1415.0943396226414</v>
      </c>
      <c r="Q155" s="161"/>
      <c r="R155" s="161"/>
      <c r="S155" s="161"/>
    </row>
    <row r="156" spans="1:19" ht="17.25" thickBot="1">
      <c r="A156" s="111" t="s">
        <v>216</v>
      </c>
      <c r="B156" s="112">
        <v>451</v>
      </c>
      <c r="C156" s="71">
        <v>-3.0107526900000001E-2</v>
      </c>
      <c r="D156" s="20">
        <v>457</v>
      </c>
      <c r="E156" s="21">
        <f t="shared" si="78"/>
        <v>1.3303769401330377E-2</v>
      </c>
      <c r="F156" s="22">
        <f>IF(ISNUMBER(D156), $B172 * E156, "")</f>
        <v>1995.5654101995565</v>
      </c>
      <c r="G156" s="30">
        <v>462</v>
      </c>
      <c r="H156" s="21">
        <f t="shared" si="79"/>
        <v>2.4390243902439025E-2</v>
      </c>
      <c r="I156" s="95">
        <f>IF(ISNUMBER(G156), $B172 * H156, "")</f>
        <v>3658.5365853658536</v>
      </c>
      <c r="J156" s="20">
        <v>462</v>
      </c>
      <c r="K156" s="21">
        <f t="shared" si="80"/>
        <v>2.4390243902439025E-2</v>
      </c>
      <c r="L156" s="22">
        <f>IF(ISNUMBER(J156), $B172 * K156, "")</f>
        <v>3658.5365853658536</v>
      </c>
      <c r="M156" s="30">
        <v>459</v>
      </c>
      <c r="N156" s="21">
        <f t="shared" si="81"/>
        <v>1.7738359201773836E-2</v>
      </c>
      <c r="O156" s="22">
        <f>IF(ISNUMBER(M156), $B172 * N156, "")</f>
        <v>2660.7538802660756</v>
      </c>
      <c r="Q156" s="161"/>
      <c r="R156" s="161"/>
      <c r="S156" s="161"/>
    </row>
    <row r="157" spans="1:19" ht="17.25" thickBot="1">
      <c r="A157" s="109" t="s">
        <v>153</v>
      </c>
      <c r="B157" s="113">
        <v>339</v>
      </c>
      <c r="C157" s="73">
        <v>-3.1428571400000001E-2</v>
      </c>
      <c r="D157" s="96">
        <v>344</v>
      </c>
      <c r="E157" s="97">
        <f>IF(ISNUMBER(D157), (D157 - $B157) / $B157, "")</f>
        <v>1.4749262536873156E-2</v>
      </c>
      <c r="F157" s="98">
        <f>IF(ISNUMBER(D157), $B172 * E157, "")</f>
        <v>2212.3893805309735</v>
      </c>
      <c r="G157" s="99">
        <v>345</v>
      </c>
      <c r="H157" s="97">
        <f>IF(ISNUMBER(G157), (G157 - $B157) / $B157, "")</f>
        <v>1.7699115044247787E-2</v>
      </c>
      <c r="I157" s="100">
        <f>IF(ISNUMBER(G157), $B172 * H157, "")</f>
        <v>2654.8672566371679</v>
      </c>
      <c r="J157" s="96">
        <v>345</v>
      </c>
      <c r="K157" s="97">
        <f>IF(ISNUMBER(J157), (J157 - $B157) / $B157, "")</f>
        <v>1.7699115044247787E-2</v>
      </c>
      <c r="L157" s="98">
        <f>IF(ISNUMBER(J157), $B172 * K157, "")</f>
        <v>2654.8672566371679</v>
      </c>
      <c r="M157" s="99">
        <v>344</v>
      </c>
      <c r="N157" s="97">
        <f>IF(ISNUMBER(M157), (M157 - $B157) / $B157, "")</f>
        <v>1.4749262536873156E-2</v>
      </c>
      <c r="O157" s="98">
        <f>IF(ISNUMBER(M157), $B172 * N157, "")</f>
        <v>2212.3893805309735</v>
      </c>
      <c r="Q157" s="161"/>
      <c r="R157" s="161"/>
      <c r="S157" s="161"/>
    </row>
    <row r="158" spans="1:19" ht="17.25" thickBot="1">
      <c r="A158" s="109" t="s">
        <v>159</v>
      </c>
      <c r="B158" s="110">
        <v>154</v>
      </c>
      <c r="C158" s="70">
        <v>-3.14465409E-2</v>
      </c>
      <c r="D158" s="15">
        <v>156</v>
      </c>
      <c r="E158" s="32">
        <f t="shared" ref="E158:E161" si="82">IF(ISNUMBER(D158), (D158 - $B158) / $B158, "")</f>
        <v>1.2987012987012988E-2</v>
      </c>
      <c r="F158" s="18">
        <f>IF(ISNUMBER(D158), $B172 * E158, "")</f>
        <v>1948.0519480519481</v>
      </c>
      <c r="G158" s="31">
        <v>157</v>
      </c>
      <c r="H158" s="32">
        <f t="shared" ref="H158:H161" si="83">IF(ISNUMBER(G158), (G158 - $B158) / $B158, "")</f>
        <v>1.948051948051948E-2</v>
      </c>
      <c r="I158" s="91">
        <f>IF(ISNUMBER(G158), $B172 * H158, "")</f>
        <v>2922.0779220779218</v>
      </c>
      <c r="J158" s="15">
        <v>157</v>
      </c>
      <c r="K158" s="32">
        <f t="shared" ref="K158:K161" si="84">IF(ISNUMBER(J158), (J158 - $B158) / $B158, "")</f>
        <v>1.948051948051948E-2</v>
      </c>
      <c r="L158" s="18">
        <f>IF(ISNUMBER(J158), $B172 * K158, "")</f>
        <v>2922.0779220779218</v>
      </c>
      <c r="M158" s="31">
        <v>156</v>
      </c>
      <c r="N158" s="32">
        <f t="shared" ref="N158:N161" si="85">IF(ISNUMBER(M158), (M158 - $B158) / $B158, "")</f>
        <v>1.2987012987012988E-2</v>
      </c>
      <c r="O158" s="18">
        <f>IF(ISNUMBER(M158), $B172 * N158, "")</f>
        <v>1948.0519480519481</v>
      </c>
      <c r="Q158" s="161"/>
      <c r="R158" s="161"/>
      <c r="S158" s="161"/>
    </row>
    <row r="159" spans="1:19" ht="17.25" thickBot="1">
      <c r="A159" s="109" t="s">
        <v>204</v>
      </c>
      <c r="B159" s="110">
        <v>206</v>
      </c>
      <c r="C159" s="70">
        <v>-3.2863849799999997E-2</v>
      </c>
      <c r="D159" s="15">
        <v>209</v>
      </c>
      <c r="E159" s="32">
        <f t="shared" si="82"/>
        <v>1.4563106796116505E-2</v>
      </c>
      <c r="F159" s="18">
        <f>IF(ISNUMBER(D159), $B172 * E159, "")</f>
        <v>2184.4660194174758</v>
      </c>
      <c r="G159" s="31">
        <v>210</v>
      </c>
      <c r="H159" s="32">
        <f t="shared" si="83"/>
        <v>1.9417475728155338E-2</v>
      </c>
      <c r="I159" s="91">
        <f>IF(ISNUMBER(G159), $B172 * H159, "")</f>
        <v>2912.6213592233007</v>
      </c>
      <c r="J159" s="15">
        <v>210</v>
      </c>
      <c r="K159" s="32">
        <f t="shared" si="84"/>
        <v>1.9417475728155338E-2</v>
      </c>
      <c r="L159" s="18">
        <f>IF(ISNUMBER(J159), $B172 * K159, "")</f>
        <v>2912.6213592233007</v>
      </c>
      <c r="M159" s="31">
        <v>209</v>
      </c>
      <c r="N159" s="32">
        <f t="shared" si="85"/>
        <v>1.4563106796116505E-2</v>
      </c>
      <c r="O159" s="18">
        <f>IF(ISNUMBER(M159), $B172 * N159, "")</f>
        <v>2184.4660194174758</v>
      </c>
      <c r="Q159" s="161"/>
      <c r="R159" s="161"/>
      <c r="S159" s="161"/>
    </row>
    <row r="160" spans="1:19" ht="17.25" thickBot="1">
      <c r="A160" s="109" t="s">
        <v>68</v>
      </c>
      <c r="B160" s="110">
        <v>262</v>
      </c>
      <c r="C160" s="70">
        <v>-3.3210332100000003E-2</v>
      </c>
      <c r="D160" s="15">
        <v>268</v>
      </c>
      <c r="E160" s="32">
        <f t="shared" si="82"/>
        <v>2.2900763358778626E-2</v>
      </c>
      <c r="F160" s="18">
        <f>IF(ISNUMBER(D160), $B172 * E160, "")</f>
        <v>3435.1145038167938</v>
      </c>
      <c r="G160" s="31">
        <v>266</v>
      </c>
      <c r="H160" s="32">
        <f t="shared" si="83"/>
        <v>1.5267175572519083E-2</v>
      </c>
      <c r="I160" s="91">
        <f>IF(ISNUMBER(G160), $B172 * H160, "")</f>
        <v>2290.0763358778627</v>
      </c>
      <c r="J160" s="15">
        <v>266</v>
      </c>
      <c r="K160" s="32">
        <f t="shared" si="84"/>
        <v>1.5267175572519083E-2</v>
      </c>
      <c r="L160" s="18">
        <f>IF(ISNUMBER(J160), $B172 * K160, "")</f>
        <v>2290.0763358778627</v>
      </c>
      <c r="M160" s="31">
        <v>266</v>
      </c>
      <c r="N160" s="32">
        <f t="shared" si="85"/>
        <v>1.5267175572519083E-2</v>
      </c>
      <c r="O160" s="18">
        <f>IF(ISNUMBER(M160), $B172 * N160, "")</f>
        <v>2290.0763358778627</v>
      </c>
      <c r="Q160" s="33"/>
      <c r="R160" s="33"/>
    </row>
    <row r="161" spans="1:19" ht="17.25" thickBot="1">
      <c r="A161" s="114" t="s">
        <v>226</v>
      </c>
      <c r="B161" s="115">
        <v>203</v>
      </c>
      <c r="C161" s="72">
        <v>-3.3333333299999997E-2</v>
      </c>
      <c r="D161" s="24">
        <v>206</v>
      </c>
      <c r="E161" s="25">
        <f t="shared" si="82"/>
        <v>1.4778325123152709E-2</v>
      </c>
      <c r="F161" s="94">
        <f>IF(ISNUMBER(D161), $B172 * E161, "")</f>
        <v>2216.7487684729062</v>
      </c>
      <c r="G161" s="92">
        <v>207</v>
      </c>
      <c r="H161" s="25">
        <f t="shared" si="83"/>
        <v>1.9704433497536946E-2</v>
      </c>
      <c r="I161" s="93">
        <f>IF(ISNUMBER(G161), $B172 * H161, "")</f>
        <v>2955.6650246305421</v>
      </c>
      <c r="J161" s="24">
        <v>207</v>
      </c>
      <c r="K161" s="25">
        <f t="shared" si="84"/>
        <v>1.9704433497536946E-2</v>
      </c>
      <c r="L161" s="94">
        <f>IF(ISNUMBER(J161), $B172 * K161, "")</f>
        <v>2955.6650246305421</v>
      </c>
      <c r="M161" s="92">
        <v>205</v>
      </c>
      <c r="N161" s="25">
        <f t="shared" si="85"/>
        <v>9.852216748768473E-3</v>
      </c>
      <c r="O161" s="94">
        <f>IF(ISNUMBER(M161), $B172 * N161, "")</f>
        <v>1477.8325123152711</v>
      </c>
      <c r="Q161" s="170"/>
      <c r="R161" s="171"/>
      <c r="S161" s="172"/>
    </row>
    <row r="162" spans="1:19">
      <c r="A162" s="107" t="s">
        <v>116</v>
      </c>
      <c r="B162" s="108">
        <v>945</v>
      </c>
      <c r="C162" s="69">
        <v>-3.4729315599999998E-2</v>
      </c>
      <c r="D162" s="13">
        <v>1005</v>
      </c>
      <c r="E162" s="14">
        <f>IF(ISNUMBER(D162), (D162 - $B162) / $B162, "")</f>
        <v>6.3492063492063489E-2</v>
      </c>
      <c r="F162" s="16">
        <f>IF(ISNUMBER(D162), $B172 * E162, "")</f>
        <v>9523.8095238095229</v>
      </c>
      <c r="G162" s="29">
        <v>988</v>
      </c>
      <c r="H162" s="14">
        <f>IF(ISNUMBER(G162), (G162 - $B162) / $B162, "")</f>
        <v>4.5502645502645503E-2</v>
      </c>
      <c r="I162" s="90">
        <f>IF(ISNUMBER(G162), $B172 * H162, "")</f>
        <v>6825.3968253968251</v>
      </c>
      <c r="J162" s="13">
        <v>988</v>
      </c>
      <c r="K162" s="14">
        <f>IF(ISNUMBER(J162), (J162 - $B162) / $B162, "")</f>
        <v>4.5502645502645503E-2</v>
      </c>
      <c r="L162" s="16">
        <f>IF(ISNUMBER(J162), $B172 * K162, "")</f>
        <v>6825.3968253968251</v>
      </c>
      <c r="M162" s="29">
        <v>974</v>
      </c>
      <c r="N162" s="14">
        <f>IF(ISNUMBER(M162), (M162 - $B162) / $B162, "")</f>
        <v>3.0687830687830688E-2</v>
      </c>
      <c r="O162" s="16">
        <f>IF(ISNUMBER(M162), $B172 * N162, "")</f>
        <v>4603.1746031746034</v>
      </c>
      <c r="Q162" s="173"/>
      <c r="R162" s="174"/>
      <c r="S162" s="175"/>
    </row>
    <row r="163" spans="1:19" ht="17.25" thickBot="1">
      <c r="A163" s="109" t="s">
        <v>349</v>
      </c>
      <c r="B163" s="110">
        <v>633</v>
      </c>
      <c r="C163" s="70">
        <v>-3.5060975600000002E-2</v>
      </c>
      <c r="D163" s="15">
        <v>637</v>
      </c>
      <c r="E163" s="32">
        <f t="shared" ref="E163:E166" si="86">IF(ISNUMBER(D163), (D163 - $B163) / $B163, "")</f>
        <v>6.3191153238546603E-3</v>
      </c>
      <c r="F163" s="18">
        <f>IF(ISNUMBER(D163), $B172 * E163, "")</f>
        <v>947.86729857819898</v>
      </c>
      <c r="G163" s="31">
        <v>639</v>
      </c>
      <c r="H163" s="32">
        <f t="shared" ref="H163:H166" si="87">IF(ISNUMBER(G163), (G163 - $B163) / $B163, "")</f>
        <v>9.4786729857819912E-3</v>
      </c>
      <c r="I163" s="91">
        <f>IF(ISNUMBER(G163), $B172 * H163, "")</f>
        <v>1421.8009478672986</v>
      </c>
      <c r="J163" s="15">
        <v>639</v>
      </c>
      <c r="K163" s="32">
        <f t="shared" ref="K163:K166" si="88">IF(ISNUMBER(J163), (J163 - $B163) / $B163, "")</f>
        <v>9.4786729857819912E-3</v>
      </c>
      <c r="L163" s="18">
        <f>IF(ISNUMBER(J163), $B172 * K163, "")</f>
        <v>1421.8009478672986</v>
      </c>
      <c r="M163" s="31">
        <v>636</v>
      </c>
      <c r="N163" s="32">
        <f t="shared" ref="N163:N166" si="89">IF(ISNUMBER(M163), (M163 - $B163) / $B163, "")</f>
        <v>4.7393364928909956E-3</v>
      </c>
      <c r="O163" s="18">
        <f>IF(ISNUMBER(M163), $B172 * N163, "")</f>
        <v>710.90047393364932</v>
      </c>
      <c r="Q163" s="176"/>
      <c r="R163" s="177"/>
      <c r="S163" s="178"/>
    </row>
    <row r="164" spans="1:19" ht="17.25" thickBot="1">
      <c r="A164" s="109" t="s">
        <v>238</v>
      </c>
      <c r="B164" s="110">
        <v>546</v>
      </c>
      <c r="C164" s="70">
        <v>-3.5335689000000003E-2</v>
      </c>
      <c r="D164" s="15">
        <v>564</v>
      </c>
      <c r="E164" s="32">
        <f t="shared" si="86"/>
        <v>3.2967032967032968E-2</v>
      </c>
      <c r="F164" s="18">
        <f>IF(ISNUMBER(D164), $B172 * E164, "")</f>
        <v>4945.0549450549452</v>
      </c>
      <c r="G164" s="31">
        <v>566</v>
      </c>
      <c r="H164" s="32">
        <f t="shared" si="87"/>
        <v>3.6630036630036632E-2</v>
      </c>
      <c r="I164" s="91">
        <f>IF(ISNUMBER(G164), $B172 * H164, "")</f>
        <v>5494.5054945054944</v>
      </c>
      <c r="J164" s="15">
        <v>566</v>
      </c>
      <c r="K164" s="32">
        <f t="shared" si="88"/>
        <v>3.6630036630036632E-2</v>
      </c>
      <c r="L164" s="18">
        <f>IF(ISNUMBER(J164), $B172 * K164, "")</f>
        <v>5494.5054945054944</v>
      </c>
      <c r="M164" s="31">
        <v>562</v>
      </c>
      <c r="N164" s="32">
        <f t="shared" si="89"/>
        <v>2.9304029304029304E-2</v>
      </c>
      <c r="O164" s="18">
        <f>IF(ISNUMBER(M164), $B172 * N164, "")</f>
        <v>4395.6043956043959</v>
      </c>
      <c r="Q164" s="161"/>
      <c r="R164" s="161"/>
      <c r="S164" s="161"/>
    </row>
    <row r="165" spans="1:19" ht="17.25" thickBot="1">
      <c r="A165" s="109" t="s">
        <v>103</v>
      </c>
      <c r="B165" s="110">
        <v>213</v>
      </c>
      <c r="C165" s="70">
        <v>-3.6199095000000001E-2</v>
      </c>
      <c r="D165" s="15">
        <v>217</v>
      </c>
      <c r="E165" s="32">
        <f t="shared" si="86"/>
        <v>1.8779342723004695E-2</v>
      </c>
      <c r="F165" s="18">
        <f>IF(ISNUMBER(D165), $B172 * E165, "")</f>
        <v>2816.9014084507044</v>
      </c>
      <c r="G165" s="31">
        <v>218</v>
      </c>
      <c r="H165" s="32">
        <f t="shared" si="87"/>
        <v>2.3474178403755867E-2</v>
      </c>
      <c r="I165" s="91">
        <f>IF(ISNUMBER(G165), $B172 * H165, "")</f>
        <v>3521.1267605633802</v>
      </c>
      <c r="J165" s="15">
        <v>218</v>
      </c>
      <c r="K165" s="32">
        <f t="shared" si="88"/>
        <v>2.3474178403755867E-2</v>
      </c>
      <c r="L165" s="18">
        <f>IF(ISNUMBER(J165), $B172 * K165, "")</f>
        <v>3521.1267605633802</v>
      </c>
      <c r="M165" s="31">
        <v>218</v>
      </c>
      <c r="N165" s="32">
        <f t="shared" si="89"/>
        <v>2.3474178403755867E-2</v>
      </c>
      <c r="O165" s="18">
        <f>IF(ISNUMBER(M165), $B172 * N165, "")</f>
        <v>3521.1267605633802</v>
      </c>
      <c r="Q165" s="156"/>
      <c r="R165" s="156"/>
      <c r="S165" s="156"/>
    </row>
    <row r="166" spans="1:19" ht="17.25" thickBot="1">
      <c r="A166" s="111" t="s">
        <v>187</v>
      </c>
      <c r="B166" s="112">
        <v>794</v>
      </c>
      <c r="C166" s="71">
        <v>-3.7575757600000002E-2</v>
      </c>
      <c r="D166" s="20">
        <v>808</v>
      </c>
      <c r="E166" s="21">
        <f t="shared" si="86"/>
        <v>1.7632241813602016E-2</v>
      </c>
      <c r="F166" s="22">
        <f>IF(ISNUMBER(D166), $B172 * E166, "")</f>
        <v>2644.8362720403024</v>
      </c>
      <c r="G166" s="30">
        <v>810</v>
      </c>
      <c r="H166" s="21">
        <f t="shared" si="87"/>
        <v>2.0151133501259445E-2</v>
      </c>
      <c r="I166" s="95">
        <f>IF(ISNUMBER(G166), $B172 * H166, "")</f>
        <v>3022.670025188917</v>
      </c>
      <c r="J166" s="20">
        <v>810</v>
      </c>
      <c r="K166" s="21">
        <f t="shared" si="88"/>
        <v>2.0151133501259445E-2</v>
      </c>
      <c r="L166" s="22">
        <f>IF(ISNUMBER(J166), $B172 * K166, "")</f>
        <v>3022.670025188917</v>
      </c>
      <c r="M166" s="30">
        <v>810</v>
      </c>
      <c r="N166" s="21">
        <f t="shared" si="89"/>
        <v>2.0151133501259445E-2</v>
      </c>
      <c r="O166" s="22">
        <f>IF(ISNUMBER(M166), $B172 * N166, "")</f>
        <v>3022.670025188917</v>
      </c>
      <c r="Q166" s="156"/>
      <c r="R166" s="156"/>
      <c r="S166" s="156"/>
    </row>
    <row r="167" spans="1:19" ht="17.25" thickBot="1">
      <c r="A167" s="109" t="s">
        <v>234</v>
      </c>
      <c r="B167" s="113">
        <v>329</v>
      </c>
      <c r="C167" s="73">
        <v>-4.9132948000000003E-2</v>
      </c>
      <c r="D167" s="96">
        <v>345</v>
      </c>
      <c r="E167" s="97">
        <f>IF(ISNUMBER(D167), (D167 - $B167) / $B167, "")</f>
        <v>4.8632218844984802E-2</v>
      </c>
      <c r="F167" s="98">
        <f>IF(ISNUMBER(D167), $B172 * E167, "")</f>
        <v>7294.83282674772</v>
      </c>
      <c r="G167" s="99">
        <v>347</v>
      </c>
      <c r="H167" s="97">
        <f>IF(ISNUMBER(G167), (G167 - $B167) / $B167, "")</f>
        <v>5.4711246200607903E-2</v>
      </c>
      <c r="I167" s="100">
        <f>IF(ISNUMBER(G167), $B172 * H167, "")</f>
        <v>8206.6869300911858</v>
      </c>
      <c r="J167" s="96">
        <v>347</v>
      </c>
      <c r="K167" s="97">
        <f>IF(ISNUMBER(J167), (J167 - $B167) / $B167, "")</f>
        <v>5.4711246200607903E-2</v>
      </c>
      <c r="L167" s="98">
        <f>IF(ISNUMBER(J167), $B172 * K167, "")</f>
        <v>8206.6869300911858</v>
      </c>
      <c r="M167" s="99">
        <v>347</v>
      </c>
      <c r="N167" s="97">
        <f>IF(ISNUMBER(M167), (M167 - $B167) / $B167, "")</f>
        <v>5.4711246200607903E-2</v>
      </c>
      <c r="O167" s="98">
        <f>IF(ISNUMBER(M167), $B172 * N167, "")</f>
        <v>8206.6869300911858</v>
      </c>
      <c r="Q167" s="161"/>
      <c r="R167" s="161"/>
      <c r="S167" s="161"/>
    </row>
    <row r="168" spans="1:19" ht="17.25" thickBot="1">
      <c r="A168" s="109" t="s">
        <v>352</v>
      </c>
      <c r="B168" s="110">
        <v>180</v>
      </c>
      <c r="C168" s="70">
        <v>-5.2631578900000003E-2</v>
      </c>
      <c r="D168" s="15">
        <v>183</v>
      </c>
      <c r="E168" s="32">
        <f t="shared" ref="E168:E171" si="90">IF(ISNUMBER(D168), (D168 - $B168) / $B168, "")</f>
        <v>1.6666666666666666E-2</v>
      </c>
      <c r="F168" s="18">
        <f>IF(ISNUMBER(D168), $B172 * E168, "")</f>
        <v>2500</v>
      </c>
      <c r="G168" s="31">
        <v>183</v>
      </c>
      <c r="H168" s="32">
        <f t="shared" ref="H168:H171" si="91">IF(ISNUMBER(G168), (G168 - $B168) / $B168, "")</f>
        <v>1.6666666666666666E-2</v>
      </c>
      <c r="I168" s="91">
        <f>IF(ISNUMBER(G168), $B172 * H168, "")</f>
        <v>2500</v>
      </c>
      <c r="J168" s="15">
        <v>183</v>
      </c>
      <c r="K168" s="32">
        <f t="shared" ref="K168:K171" si="92">IF(ISNUMBER(J168), (J168 - $B168) / $B168, "")</f>
        <v>1.6666666666666666E-2</v>
      </c>
      <c r="L168" s="18">
        <f>IF(ISNUMBER(J168), $B172 * K168, "")</f>
        <v>2500</v>
      </c>
      <c r="M168" s="31">
        <v>183</v>
      </c>
      <c r="N168" s="32">
        <f t="shared" ref="N168:N171" si="93">IF(ISNUMBER(M168), (M168 - $B168) / $B168, "")</f>
        <v>1.6666666666666666E-2</v>
      </c>
      <c r="O168" s="18">
        <f>IF(ISNUMBER(M168), $B172 * N168, "")</f>
        <v>2500</v>
      </c>
      <c r="Q168" s="161"/>
      <c r="R168" s="161"/>
      <c r="S168" s="161"/>
    </row>
    <row r="169" spans="1:19" ht="17.25" thickBot="1">
      <c r="A169" s="109" t="s">
        <v>167</v>
      </c>
      <c r="B169" s="110">
        <v>168</v>
      </c>
      <c r="C169" s="70">
        <v>-5.6179775299999998E-2</v>
      </c>
      <c r="D169" s="15">
        <v>172</v>
      </c>
      <c r="E169" s="32">
        <f t="shared" si="90"/>
        <v>2.3809523809523808E-2</v>
      </c>
      <c r="F169" s="18">
        <f>IF(ISNUMBER(D169), $B172 * E169, "")</f>
        <v>3571.4285714285711</v>
      </c>
      <c r="G169" s="31">
        <v>172</v>
      </c>
      <c r="H169" s="32">
        <f t="shared" si="91"/>
        <v>2.3809523809523808E-2</v>
      </c>
      <c r="I169" s="91">
        <f>IF(ISNUMBER(G169), $B172 * H169, "")</f>
        <v>3571.4285714285711</v>
      </c>
      <c r="J169" s="15">
        <v>172</v>
      </c>
      <c r="K169" s="32">
        <f t="shared" si="92"/>
        <v>2.3809523809523808E-2</v>
      </c>
      <c r="L169" s="18">
        <f>IF(ISNUMBER(J169), $B172 * K169, "")</f>
        <v>3571.4285714285711</v>
      </c>
      <c r="M169" s="31">
        <v>172</v>
      </c>
      <c r="N169" s="32">
        <f t="shared" si="93"/>
        <v>2.3809523809523808E-2</v>
      </c>
      <c r="O169" s="18">
        <f>IF(ISNUMBER(M169), $B172 * N169, "")</f>
        <v>3571.4285714285711</v>
      </c>
      <c r="Q169" s="161"/>
      <c r="R169" s="161"/>
      <c r="S169" s="161"/>
    </row>
    <row r="170" spans="1:19">
      <c r="A170" s="109" t="s">
        <v>165</v>
      </c>
      <c r="B170" s="110">
        <v>866</v>
      </c>
      <c r="C170" s="70">
        <v>-5.8695652199999997E-2</v>
      </c>
      <c r="D170" s="15">
        <v>986</v>
      </c>
      <c r="E170" s="32">
        <f t="shared" si="90"/>
        <v>0.13856812933025403</v>
      </c>
      <c r="F170" s="18">
        <f>IF(ISNUMBER(D170), $B172 * E170, "")</f>
        <v>20785.219399538106</v>
      </c>
      <c r="G170" s="31">
        <v>965</v>
      </c>
      <c r="H170" s="32">
        <f t="shared" si="91"/>
        <v>0.11431870669745958</v>
      </c>
      <c r="I170" s="91">
        <f>IF(ISNUMBER(G170), $B172 * H170, "")</f>
        <v>17147.806004618938</v>
      </c>
      <c r="J170" s="15">
        <v>965</v>
      </c>
      <c r="K170" s="32">
        <f t="shared" si="92"/>
        <v>0.11431870669745958</v>
      </c>
      <c r="L170" s="18">
        <f>IF(ISNUMBER(J170), $B172 * K170, "")</f>
        <v>17147.806004618938</v>
      </c>
      <c r="M170" s="31">
        <v>970</v>
      </c>
      <c r="N170" s="32">
        <f t="shared" si="93"/>
        <v>0.12009237875288684</v>
      </c>
      <c r="O170" s="18">
        <f>IF(ISNUMBER(M170), $B172 * N170, "")</f>
        <v>18013.856812933027</v>
      </c>
      <c r="Q170" s="183"/>
      <c r="R170" s="184"/>
      <c r="S170" s="185"/>
    </row>
    <row r="171" spans="1:19" ht="17.25" thickBot="1">
      <c r="A171" s="114" t="s">
        <v>214</v>
      </c>
      <c r="B171" s="115">
        <v>944</v>
      </c>
      <c r="C171" s="72">
        <v>-6.9950738900000003E-2</v>
      </c>
      <c r="D171" s="24">
        <v>1060</v>
      </c>
      <c r="E171" s="25">
        <f t="shared" si="90"/>
        <v>0.1228813559322034</v>
      </c>
      <c r="F171" s="94">
        <f>IF(ISNUMBER(D171), $B172 * E171, "")</f>
        <v>18432.203389830509</v>
      </c>
      <c r="G171" s="92">
        <v>1075</v>
      </c>
      <c r="H171" s="25">
        <f t="shared" si="91"/>
        <v>0.13877118644067796</v>
      </c>
      <c r="I171" s="93">
        <f>IF(ISNUMBER(G171), $B172 * H171, "")</f>
        <v>20815.677966101695</v>
      </c>
      <c r="J171" s="24">
        <v>1075</v>
      </c>
      <c r="K171" s="25">
        <f t="shared" si="92"/>
        <v>0.13877118644067796</v>
      </c>
      <c r="L171" s="94">
        <f>IF(ISNUMBER(J171), $B172 * K171, "")</f>
        <v>20815.677966101695</v>
      </c>
      <c r="M171" s="92">
        <v>1030</v>
      </c>
      <c r="N171" s="25">
        <f t="shared" si="93"/>
        <v>9.110169491525423E-2</v>
      </c>
      <c r="O171" s="94">
        <f>IF(ISNUMBER(M171), $B172 * N171, "")</f>
        <v>13665.254237288134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3.1421083904200404E-2</v>
      </c>
      <c r="F172" s="28">
        <f>SUM(F152:F171)</f>
        <v>94263.25171260121</v>
      </c>
      <c r="G172" s="26" t="s">
        <v>261</v>
      </c>
      <c r="H172" s="27">
        <f>IF(COUNT(H152:H171), SUM(H152:H171) / COUNT(H152:H171), 0)</f>
        <v>3.2451633468848627E-2</v>
      </c>
      <c r="I172" s="28">
        <f>SUM(I152:I171)</f>
        <v>97354.900406545887</v>
      </c>
      <c r="J172" s="26" t="s">
        <v>261</v>
      </c>
      <c r="K172" s="27">
        <f>IF(COUNT(K152:K171), SUM(K152:K171) / COUNT(K152:K171), 0)</f>
        <v>3.2451633468848627E-2</v>
      </c>
      <c r="L172" s="28">
        <f>SUM(L152:L171)</f>
        <v>97354.900406545887</v>
      </c>
      <c r="M172" s="26" t="s">
        <v>261</v>
      </c>
      <c r="N172" s="27">
        <f>IF(COUNT(N152:N171), SUM(N152:N171) / COUNT(N152:N171), 0)</f>
        <v>2.8249654871406522E-2</v>
      </c>
      <c r="O172" s="28">
        <f>SUM(O152:O171)</f>
        <v>84748.964614219571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2022-12-23(금) 오전 00:00</v>
      </c>
      <c r="C177" s="199"/>
      <c r="D177" s="158" t="str">
        <f>TEXT($G$1, "[$-ko-KR]yyyy-mm-dd(ddd) ") &amp; "오후 14:00"</f>
        <v>2022-12-23(금) 오후 14:00</v>
      </c>
      <c r="E177" s="159"/>
      <c r="F177" s="160"/>
      <c r="G177" s="158" t="str">
        <f>TEXT($G$1, "[$-ko-KR]yyyy-mm-dd(ddd) ") &amp; "오후 19:00"</f>
        <v>2022-12-23(금) 오후 19:00</v>
      </c>
      <c r="H177" s="159"/>
      <c r="I177" s="160"/>
      <c r="J177" s="158" t="str">
        <f>TEXT($G$1, "[$-ko-KR]yyyy-mm-dd(ddd) ") &amp; "오후 21:00"</f>
        <v>2022-12-23(금) 오후 21:00</v>
      </c>
      <c r="K177" s="159"/>
      <c r="L177" s="160"/>
      <c r="M177" s="158" t="str">
        <f>TEXT($G$1+1, "[$-ko-KR]yyyy-mm-dd(ddd) ") &amp; "오전 00:00"</f>
        <v>2022-12-24(토)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178</v>
      </c>
      <c r="B179" s="108">
        <v>1425</v>
      </c>
      <c r="C179" s="69">
        <v>-3.3898305099999998E-2</v>
      </c>
      <c r="D179" s="13">
        <v>1480</v>
      </c>
      <c r="E179" s="14">
        <f>IF(ISNUMBER(D179), (D179 - $B179) / $B179, "")</f>
        <v>3.8596491228070177E-2</v>
      </c>
      <c r="F179" s="16">
        <f>IF(ISNUMBER(D179), $B199 * E179, "")</f>
        <v>5789.4736842105267</v>
      </c>
      <c r="G179" s="29">
        <v>1480</v>
      </c>
      <c r="H179" s="14">
        <f>IF(ISNUMBER(G179), (G179 - $B179) / $B179, "")</f>
        <v>3.8596491228070177E-2</v>
      </c>
      <c r="I179" s="90">
        <f>IF(ISNUMBER(G179), $B199 * H179, "")</f>
        <v>5789.4736842105267</v>
      </c>
      <c r="J179" s="13">
        <v>1480</v>
      </c>
      <c r="K179" s="14">
        <f>IF(ISNUMBER(J179), (J179 - $B179) / $B179, "")</f>
        <v>3.8596491228070177E-2</v>
      </c>
      <c r="L179" s="16">
        <f>IF(ISNUMBER(J179), $B199 * K179, "")</f>
        <v>5789.4736842105267</v>
      </c>
      <c r="M179" s="29">
        <v>1475</v>
      </c>
      <c r="N179" s="14">
        <f>IF(ISNUMBER(M179), (M179 - $B179) / $B179, "")</f>
        <v>3.5087719298245612E-2</v>
      </c>
      <c r="O179" s="16">
        <f>IF(ISNUMBER(M179), $B199 * N179, "")</f>
        <v>5263.1578947368416</v>
      </c>
      <c r="Q179" s="156"/>
      <c r="R179" s="156"/>
      <c r="S179" s="156"/>
    </row>
    <row r="180" spans="1:19" ht="17.25" thickBot="1">
      <c r="A180" s="109" t="s">
        <v>99</v>
      </c>
      <c r="B180" s="110">
        <v>21020</v>
      </c>
      <c r="C180" s="70">
        <v>-3.4007352900000003E-2</v>
      </c>
      <c r="D180" s="15">
        <v>21360</v>
      </c>
      <c r="E180" s="32">
        <f t="shared" ref="E180:E183" si="94">IF(ISNUMBER(D180), (D180 - $B180) / $B180, "")</f>
        <v>1.6175071360608945E-2</v>
      </c>
      <c r="F180" s="18">
        <f>IF(ISNUMBER(D180), $B199 * E180, "")</f>
        <v>2426.2607040913417</v>
      </c>
      <c r="G180" s="31">
        <v>21380</v>
      </c>
      <c r="H180" s="32">
        <f t="shared" ref="H180:H183" si="95">IF(ISNUMBER(G180), (G180 - $B180) / $B180, "")</f>
        <v>1.7126546146527116E-2</v>
      </c>
      <c r="I180" s="91">
        <f>IF(ISNUMBER(G180), $B199 * H180, "")</f>
        <v>2568.9819219790675</v>
      </c>
      <c r="J180" s="15">
        <v>21380</v>
      </c>
      <c r="K180" s="32">
        <f t="shared" ref="K180:K183" si="96">IF(ISNUMBER(J180), (J180 - $B180) / $B180, "")</f>
        <v>1.7126546146527116E-2</v>
      </c>
      <c r="L180" s="18">
        <f>IF(ISNUMBER(J180), $B199 * K180, "")</f>
        <v>2568.9819219790675</v>
      </c>
      <c r="M180" s="31">
        <v>21340</v>
      </c>
      <c r="N180" s="32">
        <f t="shared" ref="N180:N183" si="97">IF(ISNUMBER(M180), (M180 - $B180) / $B180, "")</f>
        <v>1.5223596574690771E-2</v>
      </c>
      <c r="O180" s="18">
        <f>IF(ISNUMBER(M180), $B199 * N180, "")</f>
        <v>2283.5394862036155</v>
      </c>
      <c r="Q180" s="156"/>
      <c r="R180" s="156"/>
      <c r="S180" s="156"/>
    </row>
    <row r="181" spans="1:19" ht="17.25" thickBot="1">
      <c r="A181" s="109" t="s">
        <v>228</v>
      </c>
      <c r="B181" s="110">
        <v>55.8</v>
      </c>
      <c r="C181" s="70">
        <v>-3.4602076099999997E-2</v>
      </c>
      <c r="D181" s="15">
        <v>56.8</v>
      </c>
      <c r="E181" s="32">
        <f t="shared" si="94"/>
        <v>1.7921146953405021E-2</v>
      </c>
      <c r="F181" s="18">
        <f>IF(ISNUMBER(D181), $B199 * E181, "")</f>
        <v>2688.172043010753</v>
      </c>
      <c r="G181" s="31">
        <v>56.7</v>
      </c>
      <c r="H181" s="32">
        <f t="shared" si="95"/>
        <v>1.612903225806462E-2</v>
      </c>
      <c r="I181" s="91">
        <f>IF(ISNUMBER(G181), $B199 * H181, "")</f>
        <v>2419.354838709693</v>
      </c>
      <c r="J181" s="15">
        <v>56.7</v>
      </c>
      <c r="K181" s="32">
        <f t="shared" si="96"/>
        <v>1.612903225806462E-2</v>
      </c>
      <c r="L181" s="18">
        <f>IF(ISNUMBER(J181), $B199 * K181, "")</f>
        <v>2419.354838709693</v>
      </c>
      <c r="M181" s="31">
        <v>56.5</v>
      </c>
      <c r="N181" s="32">
        <f t="shared" si="97"/>
        <v>1.2544802867383563E-2</v>
      </c>
      <c r="O181" s="18">
        <f>IF(ISNUMBER(M181), $B199 * N181, "")</f>
        <v>1881.7204301075344</v>
      </c>
      <c r="Q181" s="161"/>
      <c r="R181" s="161"/>
      <c r="S181" s="161"/>
    </row>
    <row r="182" spans="1:19" ht="17.25" thickBot="1">
      <c r="A182" s="109" t="s">
        <v>116</v>
      </c>
      <c r="B182" s="110">
        <v>945</v>
      </c>
      <c r="C182" s="70">
        <v>-3.4729315599999998E-2</v>
      </c>
      <c r="D182" s="15">
        <v>1005</v>
      </c>
      <c r="E182" s="32">
        <f t="shared" si="94"/>
        <v>6.3492063492063489E-2</v>
      </c>
      <c r="F182" s="18">
        <f>IF(ISNUMBER(D182), $B199 * E182, "")</f>
        <v>9523.8095238095229</v>
      </c>
      <c r="G182" s="31">
        <v>988</v>
      </c>
      <c r="H182" s="32">
        <f t="shared" si="95"/>
        <v>4.5502645502645503E-2</v>
      </c>
      <c r="I182" s="91">
        <f>IF(ISNUMBER(G182), $B199 * H182, "")</f>
        <v>6825.3968253968251</v>
      </c>
      <c r="J182" s="15">
        <v>988</v>
      </c>
      <c r="K182" s="32">
        <f t="shared" si="96"/>
        <v>4.5502645502645503E-2</v>
      </c>
      <c r="L182" s="18">
        <f>IF(ISNUMBER(J182), $B199 * K182, "")</f>
        <v>6825.3968253968251</v>
      </c>
      <c r="M182" s="31">
        <v>974</v>
      </c>
      <c r="N182" s="32">
        <f t="shared" si="97"/>
        <v>3.0687830687830688E-2</v>
      </c>
      <c r="O182" s="18">
        <f>IF(ISNUMBER(M182), $B199 * N182, "")</f>
        <v>4603.1746031746034</v>
      </c>
      <c r="Q182" s="161"/>
      <c r="R182" s="161"/>
      <c r="S182" s="161"/>
    </row>
    <row r="183" spans="1:19" ht="17.25" thickBot="1">
      <c r="A183" s="111" t="s">
        <v>349</v>
      </c>
      <c r="B183" s="112">
        <v>633</v>
      </c>
      <c r="C183" s="71">
        <v>-3.5060975600000002E-2</v>
      </c>
      <c r="D183" s="20">
        <v>637</v>
      </c>
      <c r="E183" s="21">
        <f t="shared" si="94"/>
        <v>6.3191153238546603E-3</v>
      </c>
      <c r="F183" s="22">
        <f>IF(ISNUMBER(D183), $B199 * E183, "")</f>
        <v>947.86729857819898</v>
      </c>
      <c r="G183" s="30">
        <v>639</v>
      </c>
      <c r="H183" s="21">
        <f t="shared" si="95"/>
        <v>9.4786729857819912E-3</v>
      </c>
      <c r="I183" s="95">
        <f>IF(ISNUMBER(G183), $B199 * H183, "")</f>
        <v>1421.8009478672986</v>
      </c>
      <c r="J183" s="20">
        <v>639</v>
      </c>
      <c r="K183" s="21">
        <f t="shared" si="96"/>
        <v>9.4786729857819912E-3</v>
      </c>
      <c r="L183" s="22">
        <f>IF(ISNUMBER(J183), $B199 * K183, "")</f>
        <v>1421.8009478672986</v>
      </c>
      <c r="M183" s="30">
        <v>636</v>
      </c>
      <c r="N183" s="21">
        <f t="shared" si="97"/>
        <v>4.7393364928909956E-3</v>
      </c>
      <c r="O183" s="22">
        <f>IF(ISNUMBER(M183), $B199 * N183, "")</f>
        <v>710.90047393364932</v>
      </c>
      <c r="Q183" s="161"/>
      <c r="R183" s="161"/>
      <c r="S183" s="161"/>
    </row>
    <row r="184" spans="1:19" ht="17.25" thickBot="1">
      <c r="A184" s="109" t="s">
        <v>238</v>
      </c>
      <c r="B184" s="113">
        <v>546</v>
      </c>
      <c r="C184" s="73">
        <v>-3.5335689000000003E-2</v>
      </c>
      <c r="D184" s="96">
        <v>564</v>
      </c>
      <c r="E184" s="97">
        <f>IF(ISNUMBER(D184), (D184 - $B184) / $B184, "")</f>
        <v>3.2967032967032968E-2</v>
      </c>
      <c r="F184" s="98">
        <f>IF(ISNUMBER(D184), $B199 * E184, "")</f>
        <v>4945.0549450549452</v>
      </c>
      <c r="G184" s="99">
        <v>566</v>
      </c>
      <c r="H184" s="97">
        <f>IF(ISNUMBER(G184), (G184 - $B184) / $B184, "")</f>
        <v>3.6630036630036632E-2</v>
      </c>
      <c r="I184" s="100">
        <f>IF(ISNUMBER(G184), $B199 * H184, "")</f>
        <v>5494.5054945054944</v>
      </c>
      <c r="J184" s="96">
        <v>566</v>
      </c>
      <c r="K184" s="97">
        <f>IF(ISNUMBER(J184), (J184 - $B184) / $B184, "")</f>
        <v>3.6630036630036632E-2</v>
      </c>
      <c r="L184" s="98">
        <f>IF(ISNUMBER(J184), $B199 * K184, "")</f>
        <v>5494.5054945054944</v>
      </c>
      <c r="M184" s="99">
        <v>562</v>
      </c>
      <c r="N184" s="97">
        <f>IF(ISNUMBER(M184), (M184 - $B184) / $B184, "")</f>
        <v>2.9304029304029304E-2</v>
      </c>
      <c r="O184" s="98">
        <f>IF(ISNUMBER(M184), $B199 * N184, "")</f>
        <v>4395.6043956043959</v>
      </c>
      <c r="Q184" s="161"/>
      <c r="R184" s="161"/>
      <c r="S184" s="161"/>
    </row>
    <row r="185" spans="1:19" ht="17.25" thickBot="1">
      <c r="A185" s="109" t="s">
        <v>103</v>
      </c>
      <c r="B185" s="110">
        <v>213</v>
      </c>
      <c r="C185" s="70">
        <v>-3.6199095000000001E-2</v>
      </c>
      <c r="D185" s="15">
        <v>217</v>
      </c>
      <c r="E185" s="32">
        <f t="shared" ref="E185:E188" si="98">IF(ISNUMBER(D185), (D185 - $B185) / $B185, "")</f>
        <v>1.8779342723004695E-2</v>
      </c>
      <c r="F185" s="18">
        <f>IF(ISNUMBER(D185), $B199 * E185, "")</f>
        <v>2816.9014084507044</v>
      </c>
      <c r="G185" s="31">
        <v>218</v>
      </c>
      <c r="H185" s="32">
        <f t="shared" ref="H185:H188" si="99">IF(ISNUMBER(G185), (G185 - $B185) / $B185, "")</f>
        <v>2.3474178403755867E-2</v>
      </c>
      <c r="I185" s="91">
        <f>IF(ISNUMBER(G185), $B199 * H185, "")</f>
        <v>3521.1267605633802</v>
      </c>
      <c r="J185" s="15">
        <v>218</v>
      </c>
      <c r="K185" s="32">
        <f t="shared" ref="K185:K188" si="100">IF(ISNUMBER(J185), (J185 - $B185) / $B185, "")</f>
        <v>2.3474178403755867E-2</v>
      </c>
      <c r="L185" s="18">
        <f>IF(ISNUMBER(J185), $B199 * K185, "")</f>
        <v>3521.1267605633802</v>
      </c>
      <c r="M185" s="31">
        <v>218</v>
      </c>
      <c r="N185" s="32">
        <f t="shared" ref="N185:N188" si="101">IF(ISNUMBER(M185), (M185 - $B185) / $B185, "")</f>
        <v>2.3474178403755867E-2</v>
      </c>
      <c r="O185" s="18">
        <f>IF(ISNUMBER(M185), $B199 * N185, "")</f>
        <v>3521.1267605633802</v>
      </c>
      <c r="Q185" s="161"/>
      <c r="R185" s="161"/>
      <c r="S185" s="161"/>
    </row>
    <row r="186" spans="1:19" ht="17.25" thickBot="1">
      <c r="A186" s="109" t="s">
        <v>187</v>
      </c>
      <c r="B186" s="110">
        <v>794</v>
      </c>
      <c r="C186" s="70">
        <v>-3.7575757600000002E-2</v>
      </c>
      <c r="D186" s="15">
        <v>808</v>
      </c>
      <c r="E186" s="32">
        <f t="shared" si="98"/>
        <v>1.7632241813602016E-2</v>
      </c>
      <c r="F186" s="18">
        <f>IF(ISNUMBER(D186), $B199 * E186, "")</f>
        <v>2644.8362720403024</v>
      </c>
      <c r="G186" s="31">
        <v>810</v>
      </c>
      <c r="H186" s="32">
        <f t="shared" si="99"/>
        <v>2.0151133501259445E-2</v>
      </c>
      <c r="I186" s="91">
        <f>IF(ISNUMBER(G186), $B199 * H186, "")</f>
        <v>3022.670025188917</v>
      </c>
      <c r="J186" s="15">
        <v>810</v>
      </c>
      <c r="K186" s="32">
        <f t="shared" si="100"/>
        <v>2.0151133501259445E-2</v>
      </c>
      <c r="L186" s="18">
        <f>IF(ISNUMBER(J186), $B199 * K186, "")</f>
        <v>3022.670025188917</v>
      </c>
      <c r="M186" s="31">
        <v>810</v>
      </c>
      <c r="N186" s="32">
        <f t="shared" si="101"/>
        <v>2.0151133501259445E-2</v>
      </c>
      <c r="O186" s="18">
        <f>IF(ISNUMBER(M186), $B199 * N186, "")</f>
        <v>3022.670025188917</v>
      </c>
      <c r="Q186" s="161"/>
      <c r="R186" s="161"/>
      <c r="S186" s="161"/>
    </row>
    <row r="187" spans="1:19" ht="17.25" thickBot="1">
      <c r="A187" s="109" t="s">
        <v>208</v>
      </c>
      <c r="B187" s="110">
        <v>90.8</v>
      </c>
      <c r="C187" s="70">
        <v>-3.8135593199999998E-2</v>
      </c>
      <c r="D187" s="15">
        <v>92.9</v>
      </c>
      <c r="E187" s="32">
        <f t="shared" si="98"/>
        <v>2.3127753303964851E-2</v>
      </c>
      <c r="F187" s="18">
        <f>IF(ISNUMBER(D187), $B199 * E187, "")</f>
        <v>3469.1629955947278</v>
      </c>
      <c r="G187" s="31">
        <v>93.1</v>
      </c>
      <c r="H187" s="32">
        <f t="shared" si="99"/>
        <v>2.5330396475770893E-2</v>
      </c>
      <c r="I187" s="91">
        <f>IF(ISNUMBER(G187), $B199 * H187, "")</f>
        <v>3799.5594713656337</v>
      </c>
      <c r="J187" s="15">
        <v>93.1</v>
      </c>
      <c r="K187" s="32">
        <f t="shared" si="100"/>
        <v>2.5330396475770893E-2</v>
      </c>
      <c r="L187" s="18">
        <f>IF(ISNUMBER(J187), $B199 * K187, "")</f>
        <v>3799.5594713656337</v>
      </c>
      <c r="M187" s="31">
        <v>92.7</v>
      </c>
      <c r="N187" s="32">
        <f t="shared" si="101"/>
        <v>2.0925110132158652E-2</v>
      </c>
      <c r="O187" s="18">
        <f>IF(ISNUMBER(M187), $B199 * N187, "")</f>
        <v>3138.7665198237978</v>
      </c>
      <c r="Q187" s="33"/>
      <c r="R187" s="33"/>
    </row>
    <row r="188" spans="1:19" ht="17.25" thickBot="1">
      <c r="A188" s="114" t="s">
        <v>163</v>
      </c>
      <c r="B188" s="115">
        <v>6050</v>
      </c>
      <c r="C188" s="72">
        <v>-3.8155802900000001E-2</v>
      </c>
      <c r="D188" s="24">
        <v>6180</v>
      </c>
      <c r="E188" s="25">
        <f t="shared" si="98"/>
        <v>2.1487603305785124E-2</v>
      </c>
      <c r="F188" s="94">
        <f>IF(ISNUMBER(D188), $B199 * E188, "")</f>
        <v>3223.1404958677685</v>
      </c>
      <c r="G188" s="92">
        <v>6185</v>
      </c>
      <c r="H188" s="25">
        <f t="shared" si="99"/>
        <v>2.2314049586776859E-2</v>
      </c>
      <c r="I188" s="93">
        <f>IF(ISNUMBER(G188), $B199 * H188, "")</f>
        <v>3347.1074380165287</v>
      </c>
      <c r="J188" s="24">
        <v>6185</v>
      </c>
      <c r="K188" s="25">
        <f t="shared" si="100"/>
        <v>2.2314049586776859E-2</v>
      </c>
      <c r="L188" s="94">
        <f>IF(ISNUMBER(J188), $B199 * K188, "")</f>
        <v>3347.1074380165287</v>
      </c>
      <c r="M188" s="92">
        <v>6195</v>
      </c>
      <c r="N188" s="25">
        <f t="shared" si="101"/>
        <v>2.3966942148760332E-2</v>
      </c>
      <c r="O188" s="94">
        <f>IF(ISNUMBER(M188), $B199 * N188, "")</f>
        <v>3595.0413223140499</v>
      </c>
      <c r="Q188" s="170"/>
      <c r="R188" s="171"/>
      <c r="S188" s="172"/>
    </row>
    <row r="189" spans="1:19">
      <c r="A189" s="107" t="s">
        <v>181</v>
      </c>
      <c r="B189" s="108">
        <v>4.1100000000000003</v>
      </c>
      <c r="C189" s="69">
        <v>-3.9719626199999997E-2</v>
      </c>
      <c r="D189" s="13">
        <v>4.1900000000000004</v>
      </c>
      <c r="E189" s="14">
        <f>IF(ISNUMBER(D189), (D189 - $B189) / $B189, "")</f>
        <v>1.9464720194647216E-2</v>
      </c>
      <c r="F189" s="16">
        <f>IF(ISNUMBER(D189), $B199 * E189, "")</f>
        <v>2919.7080291970824</v>
      </c>
      <c r="G189" s="29">
        <v>4.18</v>
      </c>
      <c r="H189" s="14">
        <f>IF(ISNUMBER(G189), (G189 - $B189) / $B189, "")</f>
        <v>1.7031630170316153E-2</v>
      </c>
      <c r="I189" s="90">
        <f>IF(ISNUMBER(G189), $B199 * H189, "")</f>
        <v>2554.7445255474227</v>
      </c>
      <c r="J189" s="13">
        <v>4.18</v>
      </c>
      <c r="K189" s="14">
        <f>IF(ISNUMBER(J189), (J189 - $B189) / $B189, "")</f>
        <v>1.7031630170316153E-2</v>
      </c>
      <c r="L189" s="16">
        <f>IF(ISNUMBER(J189), $B199 * K189, "")</f>
        <v>2554.7445255474227</v>
      </c>
      <c r="M189" s="29">
        <v>4.17</v>
      </c>
      <c r="N189" s="14">
        <f>IF(ISNUMBER(M189), (M189 - $B189) / $B189, "")</f>
        <v>1.4598540145985306E-2</v>
      </c>
      <c r="O189" s="16">
        <f>IF(ISNUMBER(M189), $B199 * N189, "")</f>
        <v>2189.7810218977957</v>
      </c>
      <c r="Q189" s="173"/>
      <c r="R189" s="174"/>
      <c r="S189" s="175"/>
    </row>
    <row r="190" spans="1:19" ht="17.25" thickBot="1">
      <c r="A190" s="109" t="s">
        <v>234</v>
      </c>
      <c r="B190" s="110">
        <v>329</v>
      </c>
      <c r="C190" s="70">
        <v>-4.9132948000000003E-2</v>
      </c>
      <c r="D190" s="15">
        <v>345</v>
      </c>
      <c r="E190" s="32">
        <f t="shared" ref="E190:E193" si="102">IF(ISNUMBER(D190), (D190 - $B190) / $B190, "")</f>
        <v>4.8632218844984802E-2</v>
      </c>
      <c r="F190" s="18">
        <f>IF(ISNUMBER(D190), $B199 * E190, "")</f>
        <v>7294.83282674772</v>
      </c>
      <c r="G190" s="31">
        <v>347</v>
      </c>
      <c r="H190" s="32">
        <f t="shared" ref="H190:H193" si="103">IF(ISNUMBER(G190), (G190 - $B190) / $B190, "")</f>
        <v>5.4711246200607903E-2</v>
      </c>
      <c r="I190" s="91">
        <f>IF(ISNUMBER(G190), $B199 * H190, "")</f>
        <v>8206.6869300911858</v>
      </c>
      <c r="J190" s="15">
        <v>347</v>
      </c>
      <c r="K190" s="32">
        <f t="shared" ref="K190:K193" si="104">IF(ISNUMBER(J190), (J190 - $B190) / $B190, "")</f>
        <v>5.4711246200607903E-2</v>
      </c>
      <c r="L190" s="18">
        <f>IF(ISNUMBER(J190), $B199 * K190, "")</f>
        <v>8206.6869300911858</v>
      </c>
      <c r="M190" s="31">
        <v>347</v>
      </c>
      <c r="N190" s="32">
        <f t="shared" ref="N190:N193" si="105">IF(ISNUMBER(M190), (M190 - $B190) / $B190, "")</f>
        <v>5.4711246200607903E-2</v>
      </c>
      <c r="O190" s="18">
        <f>IF(ISNUMBER(M190), $B199 * N190, "")</f>
        <v>8206.6869300911858</v>
      </c>
      <c r="Q190" s="176"/>
      <c r="R190" s="177"/>
      <c r="S190" s="178"/>
    </row>
    <row r="191" spans="1:19" ht="17.25" thickBot="1">
      <c r="A191" s="109" t="s">
        <v>350</v>
      </c>
      <c r="B191" s="110">
        <v>6.15</v>
      </c>
      <c r="C191" s="70">
        <v>-4.9459041699999998E-2</v>
      </c>
      <c r="D191" s="15">
        <v>6.23</v>
      </c>
      <c r="E191" s="32">
        <f t="shared" si="102"/>
        <v>1.3008130081300823E-2</v>
      </c>
      <c r="F191" s="18">
        <f>IF(ISNUMBER(D191), $B199 * E191, "")</f>
        <v>1951.2195121951236</v>
      </c>
      <c r="G191" s="31">
        <v>6.28</v>
      </c>
      <c r="H191" s="32">
        <f t="shared" si="103"/>
        <v>2.1138211382113803E-2</v>
      </c>
      <c r="I191" s="91">
        <f>IF(ISNUMBER(G191), $B199 * H191, "")</f>
        <v>3170.7317073170702</v>
      </c>
      <c r="J191" s="15">
        <v>6.28</v>
      </c>
      <c r="K191" s="32">
        <f t="shared" si="104"/>
        <v>2.1138211382113803E-2</v>
      </c>
      <c r="L191" s="18">
        <f>IF(ISNUMBER(J191), $B199 * K191, "")</f>
        <v>3170.7317073170702</v>
      </c>
      <c r="M191" s="31">
        <v>6.27</v>
      </c>
      <c r="N191" s="32">
        <f t="shared" si="105"/>
        <v>1.9512195121951091E-2</v>
      </c>
      <c r="O191" s="18">
        <f>IF(ISNUMBER(M191), $B199 * N191, "")</f>
        <v>2926.8292682926635</v>
      </c>
      <c r="Q191" s="161"/>
      <c r="R191" s="161"/>
      <c r="S191" s="161"/>
    </row>
    <row r="192" spans="1:19" ht="17.25" thickBot="1">
      <c r="A192" s="109" t="s">
        <v>224</v>
      </c>
      <c r="B192" s="110">
        <v>18.899999999999999</v>
      </c>
      <c r="C192" s="70">
        <v>-5.0251256299999998E-2</v>
      </c>
      <c r="D192" s="15">
        <v>19</v>
      </c>
      <c r="E192" s="32">
        <f t="shared" si="102"/>
        <v>5.2910052910053662E-3</v>
      </c>
      <c r="F192" s="18">
        <f>IF(ISNUMBER(D192), $B199 * E192, "")</f>
        <v>793.65079365080487</v>
      </c>
      <c r="G192" s="31">
        <v>19.100000000000001</v>
      </c>
      <c r="H192" s="32">
        <f t="shared" si="103"/>
        <v>1.0582010582010732E-2</v>
      </c>
      <c r="I192" s="91">
        <f>IF(ISNUMBER(G192), $B199 * H192, "")</f>
        <v>1587.3015873016097</v>
      </c>
      <c r="J192" s="15">
        <v>19.100000000000001</v>
      </c>
      <c r="K192" s="32">
        <f t="shared" si="104"/>
        <v>1.0582010582010732E-2</v>
      </c>
      <c r="L192" s="18">
        <f>IF(ISNUMBER(J192), $B199 * K192, "")</f>
        <v>1587.3015873016097</v>
      </c>
      <c r="M192" s="31">
        <v>19</v>
      </c>
      <c r="N192" s="32">
        <f t="shared" si="105"/>
        <v>5.2910052910053662E-3</v>
      </c>
      <c r="O192" s="18">
        <f>IF(ISNUMBER(M192), $B199 * N192, "")</f>
        <v>793.65079365080487</v>
      </c>
      <c r="Q192" s="156"/>
      <c r="R192" s="156"/>
      <c r="S192" s="156"/>
    </row>
    <row r="193" spans="1:19" ht="17.25" thickBot="1">
      <c r="A193" s="111" t="s">
        <v>198</v>
      </c>
      <c r="B193" s="112">
        <v>6.67</v>
      </c>
      <c r="C193" s="71">
        <v>-5.2556818200000001E-2</v>
      </c>
      <c r="D193" s="20">
        <v>6.84</v>
      </c>
      <c r="E193" s="21">
        <f t="shared" si="102"/>
        <v>2.5487256371814083E-2</v>
      </c>
      <c r="F193" s="22">
        <f>IF(ISNUMBER(D193), $B199 * E193, "")</f>
        <v>3823.0884557721124</v>
      </c>
      <c r="G193" s="30">
        <v>6.83</v>
      </c>
      <c r="H193" s="21">
        <f t="shared" si="103"/>
        <v>2.3988005997001519E-2</v>
      </c>
      <c r="I193" s="95">
        <f>IF(ISNUMBER(G193), $B199 * H193, "")</f>
        <v>3598.2008995502279</v>
      </c>
      <c r="J193" s="20">
        <v>6.83</v>
      </c>
      <c r="K193" s="21">
        <f t="shared" si="104"/>
        <v>2.3988005997001519E-2</v>
      </c>
      <c r="L193" s="22">
        <f>IF(ISNUMBER(J193), $B199 * K193, "")</f>
        <v>3598.2008995502279</v>
      </c>
      <c r="M193" s="30">
        <v>6.84</v>
      </c>
      <c r="N193" s="21">
        <f t="shared" si="105"/>
        <v>2.5487256371814083E-2</v>
      </c>
      <c r="O193" s="22">
        <f>IF(ISNUMBER(M193), $B199 * N193, "")</f>
        <v>3823.0884557721124</v>
      </c>
      <c r="Q193" s="156"/>
      <c r="R193" s="156"/>
      <c r="S193" s="156"/>
    </row>
    <row r="194" spans="1:19" ht="17.25" thickBot="1">
      <c r="A194" s="109" t="s">
        <v>352</v>
      </c>
      <c r="B194" s="113">
        <v>180</v>
      </c>
      <c r="C194" s="73">
        <v>-5.2631578900000003E-2</v>
      </c>
      <c r="D194" s="96">
        <v>183</v>
      </c>
      <c r="E194" s="97">
        <f>IF(ISNUMBER(D194), (D194 - $B194) / $B194, "")</f>
        <v>1.6666666666666666E-2</v>
      </c>
      <c r="F194" s="98">
        <f>IF(ISNUMBER(D194), $B199 * E194, "")</f>
        <v>2500</v>
      </c>
      <c r="G194" s="99">
        <v>183</v>
      </c>
      <c r="H194" s="97">
        <f>IF(ISNUMBER(G194), (G194 - $B194) / $B194, "")</f>
        <v>1.6666666666666666E-2</v>
      </c>
      <c r="I194" s="100">
        <f>IF(ISNUMBER(G194), $B199 * H194, "")</f>
        <v>2500</v>
      </c>
      <c r="J194" s="96">
        <v>183</v>
      </c>
      <c r="K194" s="97">
        <f>IF(ISNUMBER(J194), (J194 - $B194) / $B194, "")</f>
        <v>1.6666666666666666E-2</v>
      </c>
      <c r="L194" s="98">
        <f>IF(ISNUMBER(J194), $B199 * K194, "")</f>
        <v>2500</v>
      </c>
      <c r="M194" s="99">
        <v>183</v>
      </c>
      <c r="N194" s="97">
        <f>IF(ISNUMBER(M194), (M194 - $B194) / $B194, "")</f>
        <v>1.6666666666666666E-2</v>
      </c>
      <c r="O194" s="98">
        <f>IF(ISNUMBER(M194), $B199 * N194, "")</f>
        <v>2500</v>
      </c>
      <c r="Q194" s="161"/>
      <c r="R194" s="161"/>
      <c r="S194" s="161"/>
    </row>
    <row r="195" spans="1:19" ht="17.25" thickBot="1">
      <c r="A195" s="109" t="s">
        <v>167</v>
      </c>
      <c r="B195" s="110">
        <v>168</v>
      </c>
      <c r="C195" s="70">
        <v>-5.6179775299999998E-2</v>
      </c>
      <c r="D195" s="15">
        <v>172</v>
      </c>
      <c r="E195" s="32">
        <f t="shared" ref="E195:E198" si="106">IF(ISNUMBER(D195), (D195 - $B195) / $B195, "")</f>
        <v>2.3809523809523808E-2</v>
      </c>
      <c r="F195" s="18">
        <f>IF(ISNUMBER(D195), $B199 * E195, "")</f>
        <v>3571.4285714285711</v>
      </c>
      <c r="G195" s="31">
        <v>172</v>
      </c>
      <c r="H195" s="32">
        <f t="shared" ref="H195:H198" si="107">IF(ISNUMBER(G195), (G195 - $B195) / $B195, "")</f>
        <v>2.3809523809523808E-2</v>
      </c>
      <c r="I195" s="91">
        <f>IF(ISNUMBER(G195), $B199 * H195, "")</f>
        <v>3571.4285714285711</v>
      </c>
      <c r="J195" s="15">
        <v>172</v>
      </c>
      <c r="K195" s="32">
        <f t="shared" ref="K195:K198" si="108">IF(ISNUMBER(J195), (J195 - $B195) / $B195, "")</f>
        <v>2.3809523809523808E-2</v>
      </c>
      <c r="L195" s="18">
        <f>IF(ISNUMBER(J195), $B199 * K195, "")</f>
        <v>3571.4285714285711</v>
      </c>
      <c r="M195" s="31">
        <v>172</v>
      </c>
      <c r="N195" s="32">
        <f t="shared" ref="N195:N198" si="109">IF(ISNUMBER(M195), (M195 - $B195) / $B195, "")</f>
        <v>2.3809523809523808E-2</v>
      </c>
      <c r="O195" s="18">
        <f>IF(ISNUMBER(M195), $B199 * N195, "")</f>
        <v>3571.4285714285711</v>
      </c>
      <c r="Q195" s="161"/>
      <c r="R195" s="161"/>
      <c r="S195" s="161"/>
    </row>
    <row r="196" spans="1:19" ht="17.25" thickBot="1">
      <c r="A196" s="109" t="s">
        <v>165</v>
      </c>
      <c r="B196" s="110">
        <v>866</v>
      </c>
      <c r="C196" s="70">
        <v>-5.8695652199999997E-2</v>
      </c>
      <c r="D196" s="15">
        <v>986</v>
      </c>
      <c r="E196" s="32">
        <f t="shared" si="106"/>
        <v>0.13856812933025403</v>
      </c>
      <c r="F196" s="18">
        <f>IF(ISNUMBER(D196), $B199 * E196, "")</f>
        <v>20785.219399538106</v>
      </c>
      <c r="G196" s="31">
        <v>965</v>
      </c>
      <c r="H196" s="32">
        <f t="shared" si="107"/>
        <v>0.11431870669745958</v>
      </c>
      <c r="I196" s="91">
        <f>IF(ISNUMBER(G196), $B199 * H196, "")</f>
        <v>17147.806004618938</v>
      </c>
      <c r="J196" s="15">
        <v>965</v>
      </c>
      <c r="K196" s="32">
        <f t="shared" si="108"/>
        <v>0.11431870669745958</v>
      </c>
      <c r="L196" s="18">
        <f>IF(ISNUMBER(J196), $B199 * K196, "")</f>
        <v>17147.806004618938</v>
      </c>
      <c r="M196" s="31">
        <v>970</v>
      </c>
      <c r="N196" s="32">
        <f t="shared" si="109"/>
        <v>0.12009237875288684</v>
      </c>
      <c r="O196" s="18">
        <f>IF(ISNUMBER(M196), $B199 * N196, "")</f>
        <v>18013.856812933027</v>
      </c>
      <c r="Q196" s="161"/>
      <c r="R196" s="161"/>
      <c r="S196" s="161"/>
    </row>
    <row r="197" spans="1:19">
      <c r="A197" s="109" t="s">
        <v>212</v>
      </c>
      <c r="B197" s="110">
        <v>75.400000000000006</v>
      </c>
      <c r="C197" s="70">
        <v>-6.9135802499999996E-2</v>
      </c>
      <c r="D197" s="15">
        <v>77.3</v>
      </c>
      <c r="E197" s="32">
        <f t="shared" si="106"/>
        <v>2.5198938992042324E-2</v>
      </c>
      <c r="F197" s="18">
        <f>IF(ISNUMBER(D197), $B199 * E197, "")</f>
        <v>3779.8408488063487</v>
      </c>
      <c r="G197" s="31">
        <v>77.2</v>
      </c>
      <c r="H197" s="32">
        <f t="shared" si="107"/>
        <v>2.3872679045092798E-2</v>
      </c>
      <c r="I197" s="91">
        <f>IF(ISNUMBER(G197), $B199 * H197, "")</f>
        <v>3580.9018567639196</v>
      </c>
      <c r="J197" s="15">
        <v>77.2</v>
      </c>
      <c r="K197" s="32">
        <f t="shared" si="108"/>
        <v>2.3872679045092798E-2</v>
      </c>
      <c r="L197" s="18">
        <f>IF(ISNUMBER(J197), $B199 * K197, "")</f>
        <v>3580.9018567639196</v>
      </c>
      <c r="M197" s="31">
        <v>76.8</v>
      </c>
      <c r="N197" s="32">
        <f t="shared" si="109"/>
        <v>1.8567639257294315E-2</v>
      </c>
      <c r="O197" s="18">
        <f>IF(ISNUMBER(M197), $B199 * N197, "")</f>
        <v>2785.145888594147</v>
      </c>
      <c r="Q197" s="183"/>
      <c r="R197" s="184"/>
      <c r="S197" s="185"/>
    </row>
    <row r="198" spans="1:19" ht="17.25" thickBot="1">
      <c r="A198" s="114" t="s">
        <v>214</v>
      </c>
      <c r="B198" s="115">
        <v>944</v>
      </c>
      <c r="C198" s="72">
        <v>-6.9950738900000003E-2</v>
      </c>
      <c r="D198" s="24">
        <v>1060</v>
      </c>
      <c r="E198" s="25">
        <f t="shared" si="106"/>
        <v>0.1228813559322034</v>
      </c>
      <c r="F198" s="94">
        <f>IF(ISNUMBER(D198), $B199 * E198, "")</f>
        <v>18432.203389830509</v>
      </c>
      <c r="G198" s="92">
        <v>1075</v>
      </c>
      <c r="H198" s="25">
        <f t="shared" si="107"/>
        <v>0.13877118644067796</v>
      </c>
      <c r="I198" s="93">
        <f>IF(ISNUMBER(G198), $B199 * H198, "")</f>
        <v>20815.677966101695</v>
      </c>
      <c r="J198" s="24">
        <v>1075</v>
      </c>
      <c r="K198" s="25">
        <f t="shared" si="108"/>
        <v>0.13877118644067796</v>
      </c>
      <c r="L198" s="94">
        <f>IF(ISNUMBER(J198), $B199 * K198, "")</f>
        <v>20815.677966101695</v>
      </c>
      <c r="M198" s="92">
        <v>1030</v>
      </c>
      <c r="N198" s="25">
        <f t="shared" si="109"/>
        <v>9.110169491525423E-2</v>
      </c>
      <c r="O198" s="94">
        <f>IF(ISNUMBER(M198), $B199 * N198, "")</f>
        <v>13665.254237288134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3.4775290399291725E-2</v>
      </c>
      <c r="F199" s="28">
        <f>SUM(F179:F198)</f>
        <v>104325.87119787517</v>
      </c>
      <c r="G199" s="26" t="s">
        <v>261</v>
      </c>
      <c r="H199" s="27">
        <f>IF(COUNT(H179:H198), SUM(H179:H198) / COUNT(H179:H198), 0)</f>
        <v>3.4981152485508003E-2</v>
      </c>
      <c r="I199" s="28">
        <f>SUM(I179:I198)</f>
        <v>104943.457456524</v>
      </c>
      <c r="J199" s="26" t="s">
        <v>261</v>
      </c>
      <c r="K199" s="27">
        <f>IF(COUNT(K179:K198), SUM(K179:K198) / COUNT(K179:K198), 0)</f>
        <v>3.4981152485508003E-2</v>
      </c>
      <c r="L199" s="28">
        <f>SUM(L179:L198)</f>
        <v>104943.457456524</v>
      </c>
      <c r="M199" s="26" t="s">
        <v>261</v>
      </c>
      <c r="N199" s="27">
        <f>IF(COUNT(N179:N198), SUM(N179:N198) / COUNT(N179:N198), 0)</f>
        <v>3.0297141297199737E-2</v>
      </c>
      <c r="O199" s="28">
        <f>SUM(O179:O198)</f>
        <v>90891.423891599232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4422C-EBE9-4295-92CD-F9B9499ABBA8}">
  <sheetPr codeName="Sheet30"/>
  <dimension ref="A1:S199"/>
  <sheetViews>
    <sheetView topLeftCell="A27" zoomScaleNormal="100" workbookViewId="0">
      <selection activeCell="L29" sqref="L29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44919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-7,759 KRW (-0.26%)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24,231 KRW (0.81%)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19,415 KRW (0.65%)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9,534 KRW (0.32%)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2022-12-24(토) 오전 00:00</v>
      </c>
      <c r="C15" s="202"/>
      <c r="D15" s="158" t="str">
        <f>TEXT($G$1, "[$-ko-KR]yyyy-mm-dd(ddd) ") &amp; "오후 14:00"</f>
        <v>2022-12-24(토) 오후 14:00</v>
      </c>
      <c r="E15" s="159"/>
      <c r="F15" s="160"/>
      <c r="G15" s="158" t="str">
        <f>TEXT($G$1, "[$-ko-KR]yyyy-mm-dd(ddd) ") &amp; "오후 19:00"</f>
        <v>2022-12-24(토) 오후 19:00</v>
      </c>
      <c r="H15" s="159"/>
      <c r="I15" s="160"/>
      <c r="J15" s="158" t="str">
        <f>TEXT($G$1, "[$-ko-KR]yyyy-mm-dd(ddd) ") &amp; "오후 21:00"</f>
        <v>2022-12-24(토) 오후 21:00</v>
      </c>
      <c r="K15" s="159"/>
      <c r="L15" s="160"/>
      <c r="M15" s="158" t="str">
        <f>TEXT($G$1+1, "[$-ko-KR]yyyy-mm-dd(ddd) ") &amp; "오전 00:00"</f>
        <v>2022-12-25(일)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2022-12-24(토) 오전 00:00</v>
      </c>
      <c r="C42" s="199"/>
      <c r="D42" s="158" t="str">
        <f>TEXT($G$1, "[$-ko-KR]yyyy-mm-dd(ddd) ") &amp; "오후 14:00"</f>
        <v>2022-12-24(토) 오후 14:00</v>
      </c>
      <c r="E42" s="159"/>
      <c r="F42" s="160"/>
      <c r="G42" s="158" t="str">
        <f>TEXT($G$1, "[$-ko-KR]yyyy-mm-dd(ddd) ") &amp; "오후 19:00"</f>
        <v>2022-12-24(토) 오후 19:00</v>
      </c>
      <c r="H42" s="159"/>
      <c r="I42" s="160"/>
      <c r="J42" s="158" t="str">
        <f>TEXT($G$1, "[$-ko-KR]yyyy-mm-dd(ddd) ") &amp; "오후 21:00"</f>
        <v>2022-12-24(토) 오후 21:00</v>
      </c>
      <c r="K42" s="159"/>
      <c r="L42" s="160"/>
      <c r="M42" s="158" t="str">
        <f>TEXT($G$1+1, "[$-ko-KR]yyyy-mm-dd(ddd) ") &amp; "오전 00:00"</f>
        <v>2022-12-25(일)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97</v>
      </c>
      <c r="B44" s="108">
        <v>8.9999999999999998E-4</v>
      </c>
      <c r="C44" s="69">
        <v>0.125</v>
      </c>
      <c r="D44" s="13">
        <v>8.0000000000000004E-4</v>
      </c>
      <c r="E44" s="14">
        <f>IF(ISNUMBER(D44), (D44 - $B44) / $B44, "")</f>
        <v>-0.11111111111111105</v>
      </c>
      <c r="F44" s="16">
        <f>IF(ISNUMBER(D44), $B64 * E44, "")</f>
        <v>-16666.666666666657</v>
      </c>
      <c r="G44" s="29">
        <v>8.0000000000000004E-4</v>
      </c>
      <c r="H44" s="14">
        <f>IF(ISNUMBER(G44), (G44 - $B44) / $B44, "")</f>
        <v>-0.11111111111111105</v>
      </c>
      <c r="I44" s="90">
        <f>IF(ISNUMBER(G44), $B64 * H44, "")</f>
        <v>-16666.666666666657</v>
      </c>
      <c r="J44" s="13">
        <v>8.0000000000000004E-4</v>
      </c>
      <c r="K44" s="14">
        <f>IF(ISNUMBER(J44), (J44 - $B44) / $B44, "")</f>
        <v>-0.11111111111111105</v>
      </c>
      <c r="L44" s="16">
        <f>IF(ISNUMBER(J44), $B64 * K44, "")</f>
        <v>-16666.666666666657</v>
      </c>
      <c r="M44" s="29">
        <v>8.0000000000000004E-4</v>
      </c>
      <c r="N44" s="14">
        <f>IF(ISNUMBER(M44), (M44 - $B44) / $B44, "")</f>
        <v>-0.11111111111111105</v>
      </c>
      <c r="O44" s="16">
        <f>IF(ISNUMBER(M44), $B64 * N44, "")</f>
        <v>-16666.666666666657</v>
      </c>
      <c r="Q44" s="156"/>
      <c r="R44" s="156"/>
      <c r="S44" s="156"/>
    </row>
    <row r="45" spans="1:19" ht="17.25" customHeight="1" thickBot="1">
      <c r="A45" s="109" t="s">
        <v>132</v>
      </c>
      <c r="B45" s="110">
        <v>48.3</v>
      </c>
      <c r="C45" s="70">
        <v>3.4261241999999997E-2</v>
      </c>
      <c r="D45" s="15">
        <v>48.3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48.3</v>
      </c>
      <c r="H45" s="32">
        <f t="shared" ref="H45:H48" si="15">IF(ISNUMBER(G45), (G45 - $B45) / $B45, "")</f>
        <v>0</v>
      </c>
      <c r="I45" s="91">
        <f>IF(ISNUMBER(G45), $B64 * H45, "")</f>
        <v>0</v>
      </c>
      <c r="J45" s="15">
        <v>48.3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48.2</v>
      </c>
      <c r="N45" s="32">
        <f t="shared" ref="N45:N48" si="17">IF(ISNUMBER(M45), (M45 - $B45) / $B45, "")</f>
        <v>-2.0703933747410834E-3</v>
      </c>
      <c r="O45" s="18">
        <f>IF(ISNUMBER(M45), $B64 * N45, "")</f>
        <v>-310.55900621116251</v>
      </c>
      <c r="Q45" s="156"/>
      <c r="R45" s="156"/>
      <c r="S45" s="156"/>
    </row>
    <row r="46" spans="1:19" ht="17.25" customHeight="1" thickBot="1">
      <c r="A46" s="109" t="s">
        <v>107</v>
      </c>
      <c r="B46" s="110">
        <v>38</v>
      </c>
      <c r="C46" s="70">
        <v>2.4258760099999999E-2</v>
      </c>
      <c r="D46" s="15">
        <v>38</v>
      </c>
      <c r="E46" s="32">
        <f t="shared" si="14"/>
        <v>0</v>
      </c>
      <c r="F46" s="18">
        <f>IF(ISNUMBER(D46), $B64 * E46, "")</f>
        <v>0</v>
      </c>
      <c r="G46" s="31">
        <v>38</v>
      </c>
      <c r="H46" s="32">
        <f t="shared" si="15"/>
        <v>0</v>
      </c>
      <c r="I46" s="91">
        <f>IF(ISNUMBER(G46), $B64 * H46, "")</f>
        <v>0</v>
      </c>
      <c r="J46" s="15">
        <v>38</v>
      </c>
      <c r="K46" s="32">
        <f t="shared" si="16"/>
        <v>0</v>
      </c>
      <c r="L46" s="18">
        <f>IF(ISNUMBER(J46), $B64 * K46, "")</f>
        <v>0</v>
      </c>
      <c r="M46" s="31">
        <v>38</v>
      </c>
      <c r="N46" s="32">
        <f t="shared" si="17"/>
        <v>0</v>
      </c>
      <c r="O46" s="18">
        <f>IF(ISNUMBER(M46), $B64 * N46, "")</f>
        <v>0</v>
      </c>
      <c r="Q46" s="161"/>
      <c r="R46" s="161"/>
      <c r="S46" s="161"/>
    </row>
    <row r="47" spans="1:19" ht="17.25" customHeight="1" thickBot="1">
      <c r="A47" s="109" t="s">
        <v>230</v>
      </c>
      <c r="B47" s="110">
        <v>37</v>
      </c>
      <c r="C47" s="70">
        <v>2.2099447500000001E-2</v>
      </c>
      <c r="D47" s="15">
        <v>38.1</v>
      </c>
      <c r="E47" s="32">
        <f t="shared" si="14"/>
        <v>2.972972972972977E-2</v>
      </c>
      <c r="F47" s="18">
        <f>IF(ISNUMBER(D47), $B64 * E47, "")</f>
        <v>4459.4594594594655</v>
      </c>
      <c r="G47" s="31">
        <v>38.1</v>
      </c>
      <c r="H47" s="32">
        <f t="shared" si="15"/>
        <v>2.972972972972977E-2</v>
      </c>
      <c r="I47" s="91">
        <f>IF(ISNUMBER(G47), $B64 * H47, "")</f>
        <v>4459.4594594594655</v>
      </c>
      <c r="J47" s="15">
        <v>38.1</v>
      </c>
      <c r="K47" s="32">
        <f t="shared" si="16"/>
        <v>2.972972972972977E-2</v>
      </c>
      <c r="L47" s="18">
        <f>IF(ISNUMBER(J47), $B64 * K47, "")</f>
        <v>4459.4594594594655</v>
      </c>
      <c r="M47" s="31">
        <v>37.9</v>
      </c>
      <c r="N47" s="32">
        <f t="shared" si="17"/>
        <v>2.4324324324324288E-2</v>
      </c>
      <c r="O47" s="18">
        <f>IF(ISNUMBER(M47), $B64 * N47, "")</f>
        <v>3648.6486486486433</v>
      </c>
      <c r="Q47" s="161"/>
      <c r="R47" s="161"/>
      <c r="S47" s="161"/>
    </row>
    <row r="48" spans="1:19" ht="17.25" customHeight="1" thickBot="1">
      <c r="A48" s="111" t="s">
        <v>336</v>
      </c>
      <c r="B48" s="112">
        <v>76.3</v>
      </c>
      <c r="C48" s="71">
        <v>1.73333333E-2</v>
      </c>
      <c r="D48" s="20">
        <v>78</v>
      </c>
      <c r="E48" s="21">
        <f t="shared" si="14"/>
        <v>2.2280471821756263E-2</v>
      </c>
      <c r="F48" s="22">
        <f>IF(ISNUMBER(D48), $B64 * E48, "")</f>
        <v>3342.0707732634396</v>
      </c>
      <c r="G48" s="30">
        <v>78</v>
      </c>
      <c r="H48" s="21">
        <f t="shared" si="15"/>
        <v>2.2280471821756263E-2</v>
      </c>
      <c r="I48" s="95">
        <f>IF(ISNUMBER(G48), $B64 * H48, "")</f>
        <v>3342.0707732634396</v>
      </c>
      <c r="J48" s="20">
        <v>78</v>
      </c>
      <c r="K48" s="21">
        <f t="shared" si="16"/>
        <v>2.2280471821756263E-2</v>
      </c>
      <c r="L48" s="22">
        <f>IF(ISNUMBER(J48), $B64 * K48, "")</f>
        <v>3342.0707732634396</v>
      </c>
      <c r="M48" s="30">
        <v>78.3</v>
      </c>
      <c r="N48" s="21">
        <f t="shared" si="17"/>
        <v>2.6212319790301444E-2</v>
      </c>
      <c r="O48" s="22">
        <f>IF(ISNUMBER(M48), $B64 * N48, "")</f>
        <v>3931.8479685452166</v>
      </c>
      <c r="Q48" s="161"/>
      <c r="R48" s="161"/>
      <c r="S48" s="161"/>
    </row>
    <row r="49" spans="1:19" ht="17.25" customHeight="1" thickBot="1">
      <c r="A49" s="109" t="s">
        <v>118</v>
      </c>
      <c r="B49" s="113">
        <v>5.42</v>
      </c>
      <c r="C49" s="73">
        <v>1.30841121E-2</v>
      </c>
      <c r="D49" s="96">
        <v>5.44</v>
      </c>
      <c r="E49" s="97">
        <f>IF(ISNUMBER(D49), (D49 - $B49) / $B49, "")</f>
        <v>3.690036900369089E-3</v>
      </c>
      <c r="F49" s="98">
        <f>IF(ISNUMBER(D49), $B64 * E49, "")</f>
        <v>553.50553505536334</v>
      </c>
      <c r="G49" s="99">
        <v>5.44</v>
      </c>
      <c r="H49" s="97">
        <f>IF(ISNUMBER(G49), (G49 - $B49) / $B49, "")</f>
        <v>3.690036900369089E-3</v>
      </c>
      <c r="I49" s="100">
        <f>IF(ISNUMBER(G49), $B64 * H49, "")</f>
        <v>553.50553505536334</v>
      </c>
      <c r="J49" s="96">
        <v>5.44</v>
      </c>
      <c r="K49" s="97">
        <f>IF(ISNUMBER(J49), (J49 - $B49) / $B49, "")</f>
        <v>3.690036900369089E-3</v>
      </c>
      <c r="L49" s="98">
        <f>IF(ISNUMBER(J49), $B64 * K49, "")</f>
        <v>553.50553505536334</v>
      </c>
      <c r="M49" s="99">
        <v>5.43</v>
      </c>
      <c r="N49" s="97">
        <f>IF(ISNUMBER(M49), (M49 - $B49) / $B49, "")</f>
        <v>1.8450184501844625E-3</v>
      </c>
      <c r="O49" s="98">
        <f>IF(ISNUMBER(M49), $B64 * N49, "")</f>
        <v>276.75276752766939</v>
      </c>
      <c r="Q49" s="161"/>
      <c r="R49" s="161"/>
      <c r="S49" s="161"/>
    </row>
    <row r="50" spans="1:19" ht="17.25" customHeight="1" thickBot="1">
      <c r="A50" s="109" t="s">
        <v>71</v>
      </c>
      <c r="B50" s="110">
        <v>10.3</v>
      </c>
      <c r="C50" s="70">
        <v>9.8039215999999995E-3</v>
      </c>
      <c r="D50" s="15">
        <v>10.4</v>
      </c>
      <c r="E50" s="32">
        <f t="shared" ref="E50:E53" si="18">IF(ISNUMBER(D50), (D50 - $B50) / $B50, "")</f>
        <v>9.7087378640776344E-3</v>
      </c>
      <c r="F50" s="18">
        <f>IF(ISNUMBER(D50), $B64 * E50, "")</f>
        <v>1456.3106796116451</v>
      </c>
      <c r="G50" s="31">
        <v>10.4</v>
      </c>
      <c r="H50" s="32">
        <f t="shared" ref="H50:H53" si="19">IF(ISNUMBER(G50), (G50 - $B50) / $B50, "")</f>
        <v>9.7087378640776344E-3</v>
      </c>
      <c r="I50" s="91">
        <f>IF(ISNUMBER(G50), $B64 * H50, "")</f>
        <v>1456.3106796116451</v>
      </c>
      <c r="J50" s="15">
        <v>10.4</v>
      </c>
      <c r="K50" s="32">
        <f t="shared" ref="K50:K53" si="20">IF(ISNUMBER(J50), (J50 - $B50) / $B50, "")</f>
        <v>9.7087378640776344E-3</v>
      </c>
      <c r="L50" s="18">
        <f>IF(ISNUMBER(J50), $B64 * K50, "")</f>
        <v>1456.3106796116451</v>
      </c>
      <c r="M50" s="31">
        <v>10.4</v>
      </c>
      <c r="N50" s="32">
        <f t="shared" ref="N50:N53" si="21">IF(ISNUMBER(M50), (M50 - $B50) / $B50, "")</f>
        <v>9.7087378640776344E-3</v>
      </c>
      <c r="O50" s="18">
        <f>IF(ISNUMBER(M50), $B64 * N50, "")</f>
        <v>1456.3106796116451</v>
      </c>
      <c r="Q50" s="161"/>
      <c r="R50" s="161"/>
      <c r="S50" s="161"/>
    </row>
    <row r="51" spans="1:19" ht="17.25" customHeight="1" thickBot="1">
      <c r="A51" s="109" t="s">
        <v>208</v>
      </c>
      <c r="B51" s="110">
        <v>92.7</v>
      </c>
      <c r="C51" s="70">
        <v>9.8039215999999995E-3</v>
      </c>
      <c r="D51" s="15">
        <v>106</v>
      </c>
      <c r="E51" s="32">
        <f t="shared" si="18"/>
        <v>0.14347357065803665</v>
      </c>
      <c r="F51" s="18">
        <f>IF(ISNUMBER(D51), $B64 * E51, "")</f>
        <v>21521.035598705497</v>
      </c>
      <c r="G51" s="31">
        <v>106</v>
      </c>
      <c r="H51" s="32">
        <f t="shared" si="19"/>
        <v>0.14347357065803665</v>
      </c>
      <c r="I51" s="91">
        <f>IF(ISNUMBER(G51), $B64 * H51, "")</f>
        <v>21521.035598705497</v>
      </c>
      <c r="J51" s="15">
        <v>106</v>
      </c>
      <c r="K51" s="32">
        <f t="shared" si="20"/>
        <v>0.14347357065803665</v>
      </c>
      <c r="L51" s="18">
        <f>IF(ISNUMBER(J51), $B64 * K51, "")</f>
        <v>21521.035598705497</v>
      </c>
      <c r="M51" s="31">
        <v>102</v>
      </c>
      <c r="N51" s="32">
        <f t="shared" si="21"/>
        <v>0.10032362459546922</v>
      </c>
      <c r="O51" s="18">
        <f>IF(ISNUMBER(M51), $B64 * N51, "")</f>
        <v>15048.543689320382</v>
      </c>
      <c r="Q51" s="161"/>
      <c r="R51" s="161"/>
      <c r="S51" s="161"/>
    </row>
    <row r="52" spans="1:19" ht="17.25" customHeight="1" thickBot="1">
      <c r="A52" s="109" t="s">
        <v>326</v>
      </c>
      <c r="B52" s="110">
        <v>21.2</v>
      </c>
      <c r="C52" s="70">
        <v>9.5238094999999991E-3</v>
      </c>
      <c r="D52" s="15">
        <v>21.7</v>
      </c>
      <c r="E52" s="32">
        <f t="shared" si="18"/>
        <v>2.358490566037736E-2</v>
      </c>
      <c r="F52" s="18">
        <f>IF(ISNUMBER(D52), $B64 * E52, "")</f>
        <v>3537.7358490566039</v>
      </c>
      <c r="G52" s="31">
        <v>21.7</v>
      </c>
      <c r="H52" s="32">
        <f t="shared" si="19"/>
        <v>2.358490566037736E-2</v>
      </c>
      <c r="I52" s="91">
        <f>IF(ISNUMBER(G52), $B64 * H52, "")</f>
        <v>3537.7358490566039</v>
      </c>
      <c r="J52" s="15">
        <v>21.7</v>
      </c>
      <c r="K52" s="32">
        <f t="shared" si="20"/>
        <v>2.358490566037736E-2</v>
      </c>
      <c r="L52" s="18">
        <f>IF(ISNUMBER(J52), $B64 * K52, "")</f>
        <v>3537.7358490566039</v>
      </c>
      <c r="M52" s="31">
        <v>21.5</v>
      </c>
      <c r="N52" s="32">
        <f t="shared" si="21"/>
        <v>1.4150943396226448E-2</v>
      </c>
      <c r="O52" s="18">
        <f>IF(ISNUMBER(M52), $B64 * N52, "")</f>
        <v>2122.6415094339673</v>
      </c>
      <c r="Q52" s="33"/>
      <c r="R52" s="33"/>
    </row>
    <row r="53" spans="1:19" ht="17.25" customHeight="1" thickBot="1">
      <c r="A53" s="114" t="s">
        <v>212</v>
      </c>
      <c r="B53" s="115">
        <v>76.8</v>
      </c>
      <c r="C53" s="72">
        <v>9.1984231000000003E-3</v>
      </c>
      <c r="D53" s="24">
        <v>78.8</v>
      </c>
      <c r="E53" s="25">
        <f t="shared" si="18"/>
        <v>2.6041666666666668E-2</v>
      </c>
      <c r="F53" s="94">
        <f>IF(ISNUMBER(D53), $B64 * E53, "")</f>
        <v>3906.25</v>
      </c>
      <c r="G53" s="92">
        <v>78.8</v>
      </c>
      <c r="H53" s="25">
        <f t="shared" si="19"/>
        <v>2.6041666666666668E-2</v>
      </c>
      <c r="I53" s="93">
        <f>IF(ISNUMBER(G53), $B64 * H53, "")</f>
        <v>3906.25</v>
      </c>
      <c r="J53" s="24">
        <v>78.8</v>
      </c>
      <c r="K53" s="25">
        <f t="shared" si="20"/>
        <v>2.6041666666666668E-2</v>
      </c>
      <c r="L53" s="94">
        <f>IF(ISNUMBER(J53), $B64 * K53, "")</f>
        <v>3906.25</v>
      </c>
      <c r="M53" s="92">
        <v>78.3</v>
      </c>
      <c r="N53" s="25">
        <f t="shared" si="21"/>
        <v>1.953125E-2</v>
      </c>
      <c r="O53" s="94">
        <f>IF(ISNUMBER(M53), $B64 * N53, "")</f>
        <v>2929.6875</v>
      </c>
      <c r="Q53" s="170"/>
      <c r="R53" s="171"/>
      <c r="S53" s="172"/>
    </row>
    <row r="54" spans="1:19" ht="17.25" customHeight="1">
      <c r="A54" s="107" t="s">
        <v>143</v>
      </c>
      <c r="B54" s="108">
        <v>3.6</v>
      </c>
      <c r="C54" s="69">
        <v>8.4033613000000004E-3</v>
      </c>
      <c r="D54" s="13">
        <v>3.66</v>
      </c>
      <c r="E54" s="14">
        <f>IF(ISNUMBER(D54), (D54 - $B54) / $B54, "")</f>
        <v>1.666666666666668E-2</v>
      </c>
      <c r="F54" s="16">
        <f>IF(ISNUMBER(D54), $B64 * E54, "")</f>
        <v>2500.0000000000023</v>
      </c>
      <c r="G54" s="29">
        <v>3.66</v>
      </c>
      <c r="H54" s="14">
        <f>IF(ISNUMBER(G54), (G54 - $B54) / $B54, "")</f>
        <v>1.666666666666668E-2</v>
      </c>
      <c r="I54" s="90">
        <f>IF(ISNUMBER(G54), $B64 * H54, "")</f>
        <v>2500.0000000000023</v>
      </c>
      <c r="J54" s="13">
        <v>3.66</v>
      </c>
      <c r="K54" s="14">
        <f>IF(ISNUMBER(J54), (J54 - $B54) / $B54, "")</f>
        <v>1.666666666666668E-2</v>
      </c>
      <c r="L54" s="16">
        <f>IF(ISNUMBER(J54), $B64 * K54, "")</f>
        <v>2500.0000000000023</v>
      </c>
      <c r="M54" s="29">
        <v>3.69</v>
      </c>
      <c r="N54" s="14">
        <f>IF(ISNUMBER(M54), (M54 - $B54) / $B54, "")</f>
        <v>2.499999999999996E-2</v>
      </c>
      <c r="O54" s="16">
        <f>IF(ISNUMBER(M54), $B64 * N54, "")</f>
        <v>3749.9999999999941</v>
      </c>
      <c r="Q54" s="173"/>
      <c r="R54" s="174"/>
      <c r="S54" s="175"/>
    </row>
    <row r="55" spans="1:19" ht="17.25" customHeight="1" thickBot="1">
      <c r="A55" s="109" t="s">
        <v>200</v>
      </c>
      <c r="B55" s="110">
        <v>6.18</v>
      </c>
      <c r="C55" s="70">
        <v>8.1566069000000001E-3</v>
      </c>
      <c r="D55" s="15">
        <v>6.25</v>
      </c>
      <c r="E55" s="32">
        <f t="shared" ref="E55:E58" si="22">IF(ISNUMBER(D55), (D55 - $B55) / $B55, "")</f>
        <v>1.1326860841423994E-2</v>
      </c>
      <c r="F55" s="18">
        <f>IF(ISNUMBER(D55), $B64 * E55, "")</f>
        <v>1699.0291262135991</v>
      </c>
      <c r="G55" s="31">
        <v>6.25</v>
      </c>
      <c r="H55" s="32">
        <f t="shared" ref="H55:H58" si="23">IF(ISNUMBER(G55), (G55 - $B55) / $B55, "")</f>
        <v>1.1326860841423994E-2</v>
      </c>
      <c r="I55" s="91">
        <f>IF(ISNUMBER(G55), $B64 * H55, "")</f>
        <v>1699.0291262135991</v>
      </c>
      <c r="J55" s="15">
        <v>6.25</v>
      </c>
      <c r="K55" s="32">
        <f t="shared" ref="K55:K58" si="24">IF(ISNUMBER(J55), (J55 - $B55) / $B55, "")</f>
        <v>1.1326860841423994E-2</v>
      </c>
      <c r="L55" s="18">
        <f>IF(ISNUMBER(J55), $B64 * K55, "")</f>
        <v>1699.0291262135991</v>
      </c>
      <c r="M55" s="31">
        <v>6.26</v>
      </c>
      <c r="N55" s="32">
        <f t="shared" ref="N55:N58" si="25">IF(ISNUMBER(M55), (M55 - $B55) / $B55, "")</f>
        <v>1.2944983818770239E-2</v>
      </c>
      <c r="O55" s="18">
        <f>IF(ISNUMBER(M55), $B64 * N55, "")</f>
        <v>1941.7475728155359</v>
      </c>
      <c r="Q55" s="176"/>
      <c r="R55" s="177"/>
      <c r="S55" s="178"/>
    </row>
    <row r="56" spans="1:19" ht="17.25" customHeight="1" thickBot="1">
      <c r="A56" s="109" t="s">
        <v>240</v>
      </c>
      <c r="B56" s="110">
        <v>27.2</v>
      </c>
      <c r="C56" s="70">
        <v>7.4074073999999997E-3</v>
      </c>
      <c r="D56" s="15">
        <v>27.2</v>
      </c>
      <c r="E56" s="32">
        <f t="shared" si="22"/>
        <v>0</v>
      </c>
      <c r="F56" s="18">
        <f>IF(ISNUMBER(D56), $B64 * E56, "")</f>
        <v>0</v>
      </c>
      <c r="G56" s="31">
        <v>27.2</v>
      </c>
      <c r="H56" s="32">
        <f t="shared" si="23"/>
        <v>0</v>
      </c>
      <c r="I56" s="91">
        <f>IF(ISNUMBER(G56), $B64 * H56, "")</f>
        <v>0</v>
      </c>
      <c r="J56" s="15">
        <v>27.2</v>
      </c>
      <c r="K56" s="32">
        <f t="shared" si="24"/>
        <v>0</v>
      </c>
      <c r="L56" s="18">
        <f>IF(ISNUMBER(J56), $B64 * K56, "")</f>
        <v>0</v>
      </c>
      <c r="M56" s="31">
        <v>27.2</v>
      </c>
      <c r="N56" s="32">
        <f t="shared" si="25"/>
        <v>0</v>
      </c>
      <c r="O56" s="18">
        <f>IF(ISNUMBER(M56), $B64 * N56, "")</f>
        <v>0</v>
      </c>
      <c r="Q56" s="161"/>
      <c r="R56" s="161"/>
      <c r="S56" s="161"/>
    </row>
    <row r="57" spans="1:19" ht="17.25" customHeight="1" thickBot="1">
      <c r="A57" s="109" t="s">
        <v>155</v>
      </c>
      <c r="B57" s="110">
        <v>27.4</v>
      </c>
      <c r="C57" s="70">
        <v>7.3529412000000001E-3</v>
      </c>
      <c r="D57" s="15">
        <v>27.4</v>
      </c>
      <c r="E57" s="32">
        <f t="shared" si="22"/>
        <v>0</v>
      </c>
      <c r="F57" s="18">
        <f>IF(ISNUMBER(D57), $B64 * E57, "")</f>
        <v>0</v>
      </c>
      <c r="G57" s="31">
        <v>27.4</v>
      </c>
      <c r="H57" s="32">
        <f t="shared" si="23"/>
        <v>0</v>
      </c>
      <c r="I57" s="91">
        <f>IF(ISNUMBER(G57), $B64 * H57, "")</f>
        <v>0</v>
      </c>
      <c r="J57" s="15">
        <v>27.4</v>
      </c>
      <c r="K57" s="32">
        <f t="shared" si="24"/>
        <v>0</v>
      </c>
      <c r="L57" s="18">
        <f>IF(ISNUMBER(J57), $B64 * K57, "")</f>
        <v>0</v>
      </c>
      <c r="M57" s="31">
        <v>27.5</v>
      </c>
      <c r="N57" s="32">
        <f t="shared" si="25"/>
        <v>3.6496350364964023E-3</v>
      </c>
      <c r="O57" s="18">
        <f>IF(ISNUMBER(M57), $B64 * N57, "")</f>
        <v>547.4452554744604</v>
      </c>
      <c r="Q57" s="156"/>
      <c r="R57" s="156"/>
      <c r="S57" s="156"/>
    </row>
    <row r="58" spans="1:19" ht="17.25" customHeight="1" thickBot="1">
      <c r="A58" s="111" t="s">
        <v>228</v>
      </c>
      <c r="B58" s="112">
        <v>56.5</v>
      </c>
      <c r="C58" s="71">
        <v>7.1301248000000001E-3</v>
      </c>
      <c r="D58" s="20">
        <v>58.3</v>
      </c>
      <c r="E58" s="21">
        <f t="shared" si="22"/>
        <v>3.1858407079645969E-2</v>
      </c>
      <c r="F58" s="22">
        <f>IF(ISNUMBER(D58), $B64 * E58, "")</f>
        <v>4778.7610619468951</v>
      </c>
      <c r="G58" s="30">
        <v>58.3</v>
      </c>
      <c r="H58" s="21">
        <f t="shared" si="23"/>
        <v>3.1858407079645969E-2</v>
      </c>
      <c r="I58" s="95">
        <f>IF(ISNUMBER(G58), $B64 * H58, "")</f>
        <v>4778.7610619468951</v>
      </c>
      <c r="J58" s="20">
        <v>58.3</v>
      </c>
      <c r="K58" s="21">
        <f t="shared" si="24"/>
        <v>3.1858407079645969E-2</v>
      </c>
      <c r="L58" s="22">
        <f>IF(ISNUMBER(J58), $B64 * K58, "")</f>
        <v>4778.7610619468951</v>
      </c>
      <c r="M58" s="30">
        <v>57.8</v>
      </c>
      <c r="N58" s="21">
        <f t="shared" si="25"/>
        <v>2.3008849557522075E-2</v>
      </c>
      <c r="O58" s="22">
        <f>IF(ISNUMBER(M58), $B64 * N58, "")</f>
        <v>3451.3274336283112</v>
      </c>
      <c r="Q58" s="156"/>
      <c r="R58" s="156"/>
      <c r="S58" s="156"/>
    </row>
    <row r="59" spans="1:19" ht="17.25" customHeight="1" thickBot="1">
      <c r="A59" s="109" t="s">
        <v>333</v>
      </c>
      <c r="B59" s="113">
        <v>56.9</v>
      </c>
      <c r="C59" s="73">
        <v>5.3003534E-3</v>
      </c>
      <c r="D59" s="96">
        <v>56.9</v>
      </c>
      <c r="E59" s="97">
        <f>IF(ISNUMBER(D59), (D59 - $B59) / $B59, "")</f>
        <v>0</v>
      </c>
      <c r="F59" s="98">
        <f>IF(ISNUMBER(D59), $B64 * E59, "")</f>
        <v>0</v>
      </c>
      <c r="G59" s="99">
        <v>56.9</v>
      </c>
      <c r="H59" s="97">
        <f>IF(ISNUMBER(G59), (G59 - $B59) / $B59, "")</f>
        <v>0</v>
      </c>
      <c r="I59" s="100">
        <f>IF(ISNUMBER(G59), $B64 * H59, "")</f>
        <v>0</v>
      </c>
      <c r="J59" s="96">
        <v>56.9</v>
      </c>
      <c r="K59" s="97">
        <f>IF(ISNUMBER(J59), (J59 - $B59) / $B59, "")</f>
        <v>0</v>
      </c>
      <c r="L59" s="98">
        <f>IF(ISNUMBER(J59), $B64 * K59, "")</f>
        <v>0</v>
      </c>
      <c r="M59" s="99">
        <v>56.9</v>
      </c>
      <c r="N59" s="97">
        <f>IF(ISNUMBER(M59), (M59 - $B59) / $B59, "")</f>
        <v>0</v>
      </c>
      <c r="O59" s="98">
        <f>IF(ISNUMBER(M59), $B64 * N59, "")</f>
        <v>0</v>
      </c>
      <c r="Q59" s="161"/>
      <c r="R59" s="161"/>
      <c r="S59" s="161"/>
    </row>
    <row r="60" spans="1:19" ht="17.25" customHeight="1" thickBot="1">
      <c r="A60" s="109" t="s">
        <v>181</v>
      </c>
      <c r="B60" s="110">
        <v>4.17</v>
      </c>
      <c r="C60" s="70">
        <v>4.8192770999999999E-3</v>
      </c>
      <c r="D60" s="15">
        <v>4.24</v>
      </c>
      <c r="E60" s="32">
        <f t="shared" ref="E60:E63" si="26">IF(ISNUMBER(D60), (D60 - $B60) / $B60, "")</f>
        <v>1.6786570743405345E-2</v>
      </c>
      <c r="F60" s="18">
        <f>IF(ISNUMBER(D60), $B64 * E60, "")</f>
        <v>2517.9856115108018</v>
      </c>
      <c r="G60" s="31">
        <v>4.24</v>
      </c>
      <c r="H60" s="32">
        <f t="shared" ref="H60:H63" si="27">IF(ISNUMBER(G60), (G60 - $B60) / $B60, "")</f>
        <v>1.6786570743405345E-2</v>
      </c>
      <c r="I60" s="91">
        <f>IF(ISNUMBER(G60), $B64 * H60, "")</f>
        <v>2517.9856115108018</v>
      </c>
      <c r="J60" s="15">
        <v>4.24</v>
      </c>
      <c r="K60" s="32">
        <f t="shared" ref="K60:K63" si="28">IF(ISNUMBER(J60), (J60 - $B60) / $B60, "")</f>
        <v>1.6786570743405345E-2</v>
      </c>
      <c r="L60" s="18">
        <f>IF(ISNUMBER(J60), $B64 * K60, "")</f>
        <v>2517.9856115108018</v>
      </c>
      <c r="M60" s="31">
        <v>4.21</v>
      </c>
      <c r="N60" s="32">
        <f t="shared" ref="N60:N63" si="29">IF(ISNUMBER(M60), (M60 - $B60) / $B60, "")</f>
        <v>9.592326139088737E-3</v>
      </c>
      <c r="O60" s="18">
        <f>IF(ISNUMBER(M60), $B64 * N60, "")</f>
        <v>1438.8489208633105</v>
      </c>
      <c r="Q60" s="161"/>
      <c r="R60" s="161"/>
      <c r="S60" s="161"/>
    </row>
    <row r="61" spans="1:19" ht="17.25" customHeight="1" thickBot="1">
      <c r="A61" s="109" t="s">
        <v>122</v>
      </c>
      <c r="B61" s="110">
        <v>21.4</v>
      </c>
      <c r="C61" s="70">
        <v>4.6948357000000003E-3</v>
      </c>
      <c r="D61" s="15">
        <v>21.1</v>
      </c>
      <c r="E61" s="32">
        <f t="shared" si="26"/>
        <v>-1.4018691588784915E-2</v>
      </c>
      <c r="F61" s="18">
        <f>IF(ISNUMBER(D61), $B64 * E61, "")</f>
        <v>-2102.803738317737</v>
      </c>
      <c r="G61" s="31">
        <v>21.1</v>
      </c>
      <c r="H61" s="32">
        <f t="shared" si="27"/>
        <v>-1.4018691588784915E-2</v>
      </c>
      <c r="I61" s="91">
        <f>IF(ISNUMBER(G61), $B64 * H61, "")</f>
        <v>-2102.803738317737</v>
      </c>
      <c r="J61" s="15">
        <v>21.1</v>
      </c>
      <c r="K61" s="32">
        <f t="shared" si="28"/>
        <v>-1.4018691588784915E-2</v>
      </c>
      <c r="L61" s="18">
        <f>IF(ISNUMBER(J61), $B64 * K61, "")</f>
        <v>-2102.803738317737</v>
      </c>
      <c r="M61" s="31">
        <v>21.3</v>
      </c>
      <c r="N61" s="32">
        <f t="shared" si="29"/>
        <v>-4.672897196261583E-3</v>
      </c>
      <c r="O61" s="18">
        <f>IF(ISNUMBER(M61), $B64 * N61, "")</f>
        <v>-700.9345794392375</v>
      </c>
      <c r="Q61" s="161"/>
      <c r="R61" s="161"/>
      <c r="S61" s="161"/>
    </row>
    <row r="62" spans="1:19" ht="17.25" customHeight="1">
      <c r="A62" s="109" t="s">
        <v>338</v>
      </c>
      <c r="B62" s="110">
        <v>4.45</v>
      </c>
      <c r="C62" s="70">
        <v>4.5146726999999998E-3</v>
      </c>
      <c r="D62" s="15">
        <v>4.5</v>
      </c>
      <c r="E62" s="32">
        <f t="shared" si="26"/>
        <v>1.1235955056179735E-2</v>
      </c>
      <c r="F62" s="18">
        <f>IF(ISNUMBER(D62), $B64 * E62, "")</f>
        <v>1685.3932584269603</v>
      </c>
      <c r="G62" s="31">
        <v>4.5</v>
      </c>
      <c r="H62" s="32">
        <f t="shared" si="27"/>
        <v>1.1235955056179735E-2</v>
      </c>
      <c r="I62" s="91">
        <f>IF(ISNUMBER(G62), $B64 * H62, "")</f>
        <v>1685.3932584269603</v>
      </c>
      <c r="J62" s="15">
        <v>4.5</v>
      </c>
      <c r="K62" s="32">
        <f t="shared" si="28"/>
        <v>1.1235955056179735E-2</v>
      </c>
      <c r="L62" s="18">
        <f>IF(ISNUMBER(J62), $B64 * K62, "")</f>
        <v>1685.3932584269603</v>
      </c>
      <c r="M62" s="31">
        <v>4.5</v>
      </c>
      <c r="N62" s="32">
        <f t="shared" si="29"/>
        <v>1.1235955056179735E-2</v>
      </c>
      <c r="O62" s="18">
        <f>IF(ISNUMBER(M62), $B64 * N62, "")</f>
        <v>1685.3932584269603</v>
      </c>
      <c r="Q62" s="183"/>
      <c r="R62" s="184"/>
      <c r="S62" s="185"/>
    </row>
    <row r="63" spans="1:19" ht="17.25" customHeight="1" thickBot="1">
      <c r="A63" s="114" t="s">
        <v>64</v>
      </c>
      <c r="B63" s="115">
        <v>9.36</v>
      </c>
      <c r="C63" s="72">
        <v>4.2918454999999996E-3</v>
      </c>
      <c r="D63" s="24">
        <v>9.36</v>
      </c>
      <c r="E63" s="25">
        <f t="shared" si="26"/>
        <v>0</v>
      </c>
      <c r="F63" s="94">
        <f>IF(ISNUMBER(D63), $B64 * E63, "")</f>
        <v>0</v>
      </c>
      <c r="G63" s="92">
        <v>9.36</v>
      </c>
      <c r="H63" s="25">
        <f t="shared" si="27"/>
        <v>0</v>
      </c>
      <c r="I63" s="93">
        <f>IF(ISNUMBER(G63), $B64 * H63, "")</f>
        <v>0</v>
      </c>
      <c r="J63" s="24">
        <v>9.36</v>
      </c>
      <c r="K63" s="25">
        <f t="shared" si="28"/>
        <v>0</v>
      </c>
      <c r="L63" s="94">
        <f>IF(ISNUMBER(J63), $B64 * K63, "")</f>
        <v>0</v>
      </c>
      <c r="M63" s="92">
        <v>9.34</v>
      </c>
      <c r="N63" s="25">
        <f t="shared" si="29"/>
        <v>-2.1367521367520914E-3</v>
      </c>
      <c r="O63" s="94">
        <f>IF(ISNUMBER(M63), $B64 * N63, "")</f>
        <v>-320.51282051281373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1.1062688849421959E-2</v>
      </c>
      <c r="F64" s="28">
        <f>SUM(F44:F63)</f>
        <v>33188.066548265881</v>
      </c>
      <c r="G64" s="26" t="s">
        <v>261</v>
      </c>
      <c r="H64" s="27">
        <f>IF(COUNT(H44:H63), SUM(H44:H63) / COUNT(H44:H63), 0)</f>
        <v>1.1062688849421959E-2</v>
      </c>
      <c r="I64" s="28">
        <f>SUM(I44:I63)</f>
        <v>33188.066548265881</v>
      </c>
      <c r="J64" s="26" t="s">
        <v>261</v>
      </c>
      <c r="K64" s="27">
        <f>IF(COUNT(K44:K63), SUM(K44:K63) / COUNT(K44:K63), 0)</f>
        <v>1.1062688849421959E-2</v>
      </c>
      <c r="L64" s="28">
        <f>SUM(L44:L63)</f>
        <v>33188.066548265881</v>
      </c>
      <c r="M64" s="26" t="s">
        <v>261</v>
      </c>
      <c r="N64" s="27">
        <f>IF(COUNT(N44:N63), SUM(N44:N63) / COUNT(N44:N63), 0)</f>
        <v>8.0768407104887426E-3</v>
      </c>
      <c r="O64" s="28">
        <f>SUM(O44:O63)</f>
        <v>24230.522131466223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2022-12-24(토) 오전 00:00</v>
      </c>
      <c r="C69" s="199"/>
      <c r="D69" s="158" t="str">
        <f>TEXT($G$1, "[$-ko-KR]yyyy-mm-dd(ddd) ") &amp; "오후 14:00"</f>
        <v>2022-12-24(토) 오후 14:00</v>
      </c>
      <c r="E69" s="159"/>
      <c r="F69" s="160"/>
      <c r="G69" s="158" t="str">
        <f>TEXT($G$1, "[$-ko-KR]yyyy-mm-dd(ddd) ") &amp; "오후 19:00"</f>
        <v>2022-12-24(토) 오후 19:00</v>
      </c>
      <c r="H69" s="159"/>
      <c r="I69" s="160"/>
      <c r="J69" s="158" t="str">
        <f>TEXT($G$1, "[$-ko-KR]yyyy-mm-dd(ddd) ") &amp; "오후 21:00"</f>
        <v>2022-12-24(토) 오후 21:00</v>
      </c>
      <c r="K69" s="159"/>
      <c r="L69" s="160"/>
      <c r="M69" s="158" t="str">
        <f>TEXT($G$1+1, "[$-ko-KR]yyyy-mm-dd(ddd) ") &amp; "오전 00:00"</f>
        <v>2022-12-25(일)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165</v>
      </c>
      <c r="B71" s="108">
        <v>970</v>
      </c>
      <c r="C71" s="69">
        <v>0.10604332950000001</v>
      </c>
      <c r="D71" s="13">
        <v>932</v>
      </c>
      <c r="E71" s="14">
        <f>IF(ISNUMBER(D71), (D71 - $B71) / $B71, "")</f>
        <v>-3.9175257731958762E-2</v>
      </c>
      <c r="F71" s="16">
        <f>IF(ISNUMBER(D71), $B91 * E71, "")</f>
        <v>-5876.2886597938141</v>
      </c>
      <c r="G71" s="29">
        <v>932</v>
      </c>
      <c r="H71" s="14">
        <f>IF(ISNUMBER(G71), (G71 - $B71) / $B71, "")</f>
        <v>-3.9175257731958762E-2</v>
      </c>
      <c r="I71" s="90">
        <f>IF(ISNUMBER(G71), $B91 * H71, "")</f>
        <v>-5876.2886597938141</v>
      </c>
      <c r="J71" s="13">
        <v>932</v>
      </c>
      <c r="K71" s="14">
        <f>IF(ISNUMBER(J71), (J71 - $B71) / $B71, "")</f>
        <v>-3.9175257731958762E-2</v>
      </c>
      <c r="L71" s="16">
        <f>IF(ISNUMBER(J71), $B91 * K71, "")</f>
        <v>-5876.2886597938141</v>
      </c>
      <c r="M71" s="29">
        <v>938</v>
      </c>
      <c r="N71" s="14">
        <f>IF(ISNUMBER(M71), (M71 - $B71) / $B71, "")</f>
        <v>-3.2989690721649485E-2</v>
      </c>
      <c r="O71" s="16">
        <f>IF(ISNUMBER(M71), $B91 * N71, "")</f>
        <v>-4948.4536082474224</v>
      </c>
      <c r="Q71" s="156"/>
      <c r="R71" s="156"/>
      <c r="S71" s="156"/>
    </row>
    <row r="72" spans="1:19" ht="17.25" thickBot="1">
      <c r="A72" s="109" t="s">
        <v>234</v>
      </c>
      <c r="B72" s="110">
        <v>347</v>
      </c>
      <c r="C72" s="70">
        <v>3.5820895499999998E-2</v>
      </c>
      <c r="D72" s="15">
        <v>359</v>
      </c>
      <c r="E72" s="32">
        <f t="shared" ref="E72:E75" si="30">IF(ISNUMBER(D72), (D72 - $B72) / $B72, "")</f>
        <v>3.4582132564841501E-2</v>
      </c>
      <c r="F72" s="18">
        <f>IF(ISNUMBER(D72), $B91 * E72, "")</f>
        <v>5187.3198847262256</v>
      </c>
      <c r="G72" s="31">
        <v>359</v>
      </c>
      <c r="H72" s="32">
        <f t="shared" ref="H72:H75" si="31">IF(ISNUMBER(G72), (G72 - $B72) / $B72, "")</f>
        <v>3.4582132564841501E-2</v>
      </c>
      <c r="I72" s="91">
        <f>IF(ISNUMBER(G72), $B91 * H72, "")</f>
        <v>5187.3198847262256</v>
      </c>
      <c r="J72" s="15">
        <v>359</v>
      </c>
      <c r="K72" s="32">
        <f t="shared" ref="K72:K75" si="32">IF(ISNUMBER(J72), (J72 - $B72) / $B72, "")</f>
        <v>3.4582132564841501E-2</v>
      </c>
      <c r="L72" s="18">
        <f>IF(ISNUMBER(J72), $B91 * K72, "")</f>
        <v>5187.3198847262256</v>
      </c>
      <c r="M72" s="31">
        <v>356</v>
      </c>
      <c r="N72" s="32">
        <f t="shared" ref="N72:N75" si="33">IF(ISNUMBER(M72), (M72 - $B72) / $B72, "")</f>
        <v>2.5936599423631124E-2</v>
      </c>
      <c r="O72" s="18">
        <f>IF(ISNUMBER(M72), $B91 * N72, "")</f>
        <v>3890.4899135446685</v>
      </c>
      <c r="Q72" s="156"/>
      <c r="R72" s="156"/>
      <c r="S72" s="156"/>
    </row>
    <row r="73" spans="1:19" ht="17.25" thickBot="1">
      <c r="A73" s="109" t="s">
        <v>169</v>
      </c>
      <c r="B73" s="110">
        <v>222</v>
      </c>
      <c r="C73" s="70">
        <v>1.83486239E-2</v>
      </c>
      <c r="D73" s="15">
        <v>221</v>
      </c>
      <c r="E73" s="32">
        <f t="shared" si="30"/>
        <v>-4.5045045045045045E-3</v>
      </c>
      <c r="F73" s="18">
        <f>IF(ISNUMBER(D73), $B91 * E73, "")</f>
        <v>-675.67567567567562</v>
      </c>
      <c r="G73" s="31">
        <v>221</v>
      </c>
      <c r="H73" s="32">
        <f t="shared" si="31"/>
        <v>-4.5045045045045045E-3</v>
      </c>
      <c r="I73" s="91">
        <f>IF(ISNUMBER(G73), $B91 * H73, "")</f>
        <v>-675.67567567567562</v>
      </c>
      <c r="J73" s="15">
        <v>221</v>
      </c>
      <c r="K73" s="32">
        <f t="shared" si="32"/>
        <v>-4.5045045045045045E-3</v>
      </c>
      <c r="L73" s="18">
        <f>IF(ISNUMBER(J73), $B91 * K73, "")</f>
        <v>-675.67567567567562</v>
      </c>
      <c r="M73" s="31">
        <v>220</v>
      </c>
      <c r="N73" s="32">
        <f t="shared" si="33"/>
        <v>-9.0090090090090089E-3</v>
      </c>
      <c r="O73" s="18">
        <f>IF(ISNUMBER(M73), $B91 * N73, "")</f>
        <v>-1351.3513513513512</v>
      </c>
      <c r="Q73" s="161"/>
      <c r="R73" s="161"/>
      <c r="S73" s="161"/>
    </row>
    <row r="74" spans="1:19" ht="17.25" thickBot="1">
      <c r="A74" s="109" t="s">
        <v>116</v>
      </c>
      <c r="B74" s="110">
        <v>974</v>
      </c>
      <c r="C74" s="70">
        <v>1.6701461399999999E-2</v>
      </c>
      <c r="D74" s="15">
        <v>976</v>
      </c>
      <c r="E74" s="32">
        <f t="shared" si="30"/>
        <v>2.0533880903490761E-3</v>
      </c>
      <c r="F74" s="18">
        <f>IF(ISNUMBER(D74), $B91 * E74, "")</f>
        <v>308.00821355236138</v>
      </c>
      <c r="G74" s="31">
        <v>976</v>
      </c>
      <c r="H74" s="32">
        <f t="shared" si="31"/>
        <v>2.0533880903490761E-3</v>
      </c>
      <c r="I74" s="91">
        <f>IF(ISNUMBER(G74), $B91 * H74, "")</f>
        <v>308.00821355236138</v>
      </c>
      <c r="J74" s="15">
        <v>976</v>
      </c>
      <c r="K74" s="32">
        <f t="shared" si="32"/>
        <v>2.0533880903490761E-3</v>
      </c>
      <c r="L74" s="18">
        <f>IF(ISNUMBER(J74), $B91 * K74, "")</f>
        <v>308.00821355236138</v>
      </c>
      <c r="M74" s="31">
        <v>983</v>
      </c>
      <c r="N74" s="32">
        <f t="shared" si="33"/>
        <v>9.2402464065708418E-3</v>
      </c>
      <c r="O74" s="18">
        <f>IF(ISNUMBER(M74), $B91 * N74, "")</f>
        <v>1386.0369609856264</v>
      </c>
      <c r="Q74" s="161"/>
      <c r="R74" s="161"/>
      <c r="S74" s="161"/>
    </row>
    <row r="75" spans="1:19" ht="17.25" thickBot="1">
      <c r="A75" s="111" t="s">
        <v>167</v>
      </c>
      <c r="B75" s="112">
        <v>172</v>
      </c>
      <c r="C75" s="71">
        <v>1.17647059E-2</v>
      </c>
      <c r="D75" s="20">
        <v>174</v>
      </c>
      <c r="E75" s="21">
        <f t="shared" si="30"/>
        <v>1.1627906976744186E-2</v>
      </c>
      <c r="F75" s="22">
        <f>IF(ISNUMBER(D75), $B91 * E75, "")</f>
        <v>1744.1860465116279</v>
      </c>
      <c r="G75" s="30">
        <v>174</v>
      </c>
      <c r="H75" s="21">
        <f t="shared" si="31"/>
        <v>1.1627906976744186E-2</v>
      </c>
      <c r="I75" s="95">
        <f>IF(ISNUMBER(G75), $B91 * H75, "")</f>
        <v>1744.1860465116279</v>
      </c>
      <c r="J75" s="20">
        <v>174</v>
      </c>
      <c r="K75" s="21">
        <f t="shared" si="32"/>
        <v>1.1627906976744186E-2</v>
      </c>
      <c r="L75" s="22">
        <f>IF(ISNUMBER(J75), $B91 * K75, "")</f>
        <v>1744.1860465116279</v>
      </c>
      <c r="M75" s="30">
        <v>174</v>
      </c>
      <c r="N75" s="21">
        <f t="shared" si="33"/>
        <v>1.1627906976744186E-2</v>
      </c>
      <c r="O75" s="22">
        <f>IF(ISNUMBER(M75), $B91 * N75, "")</f>
        <v>1744.1860465116279</v>
      </c>
      <c r="Q75" s="161"/>
      <c r="R75" s="161"/>
      <c r="S75" s="161"/>
    </row>
    <row r="76" spans="1:19" ht="17.25" thickBot="1">
      <c r="A76" s="109" t="s">
        <v>161</v>
      </c>
      <c r="B76" s="113">
        <v>300</v>
      </c>
      <c r="C76" s="73">
        <v>1.01010101E-2</v>
      </c>
      <c r="D76" s="96">
        <v>308</v>
      </c>
      <c r="E76" s="97">
        <f>IF(ISNUMBER(D76), (D76 - $B76) / $B76, "")</f>
        <v>2.6666666666666668E-2</v>
      </c>
      <c r="F76" s="98">
        <f>IF(ISNUMBER(D76), $B91 * E76, "")</f>
        <v>4000.0000000000005</v>
      </c>
      <c r="G76" s="99">
        <v>308</v>
      </c>
      <c r="H76" s="97">
        <f>IF(ISNUMBER(G76), (G76 - $B76) / $B76, "")</f>
        <v>2.6666666666666668E-2</v>
      </c>
      <c r="I76" s="100">
        <f>IF(ISNUMBER(G76), $B91 * H76, "")</f>
        <v>4000.0000000000005</v>
      </c>
      <c r="J76" s="96">
        <v>308</v>
      </c>
      <c r="K76" s="97">
        <f>IF(ISNUMBER(J76), (J76 - $B76) / $B76, "")</f>
        <v>2.6666666666666668E-2</v>
      </c>
      <c r="L76" s="98">
        <f>IF(ISNUMBER(J76), $B91 * K76, "")</f>
        <v>4000.0000000000005</v>
      </c>
      <c r="M76" s="99">
        <v>307</v>
      </c>
      <c r="N76" s="97">
        <f>IF(ISNUMBER(M76), (M76 - $B76) / $B76, "")</f>
        <v>2.3333333333333334E-2</v>
      </c>
      <c r="O76" s="98">
        <f>IF(ISNUMBER(M76), $B91 * N76, "")</f>
        <v>3500</v>
      </c>
      <c r="Q76" s="161"/>
      <c r="R76" s="161"/>
      <c r="S76" s="161"/>
    </row>
    <row r="77" spans="1:19" ht="17.25" thickBot="1">
      <c r="A77" s="109" t="s">
        <v>256</v>
      </c>
      <c r="B77" s="110">
        <v>101</v>
      </c>
      <c r="C77" s="70">
        <v>0.01</v>
      </c>
      <c r="D77" s="15">
        <v>100</v>
      </c>
      <c r="E77" s="32">
        <f t="shared" ref="E77:E80" si="34">IF(ISNUMBER(D77), (D77 - $B77) / $B77, "")</f>
        <v>-9.9009900990099011E-3</v>
      </c>
      <c r="F77" s="18">
        <f>IF(ISNUMBER(D77), $B91 * E77, "")</f>
        <v>-1485.1485148514851</v>
      </c>
      <c r="G77" s="31">
        <v>100</v>
      </c>
      <c r="H77" s="32">
        <f t="shared" ref="H77:H80" si="35">IF(ISNUMBER(G77), (G77 - $B77) / $B77, "")</f>
        <v>-9.9009900990099011E-3</v>
      </c>
      <c r="I77" s="91">
        <f>IF(ISNUMBER(G77), $B91 * H77, "")</f>
        <v>-1485.1485148514851</v>
      </c>
      <c r="J77" s="15">
        <v>100</v>
      </c>
      <c r="K77" s="32">
        <f t="shared" ref="K77:K80" si="36">IF(ISNUMBER(J77), (J77 - $B77) / $B77, "")</f>
        <v>-9.9009900990099011E-3</v>
      </c>
      <c r="L77" s="18">
        <f>IF(ISNUMBER(J77), $B91 * K77, "")</f>
        <v>-1485.1485148514851</v>
      </c>
      <c r="M77" s="31">
        <v>100</v>
      </c>
      <c r="N77" s="32">
        <f t="shared" ref="N77:N80" si="37">IF(ISNUMBER(M77), (M77 - $B77) / $B77, "")</f>
        <v>-9.9009900990099011E-3</v>
      </c>
      <c r="O77" s="18">
        <f>IF(ISNUMBER(M77), $B91 * N77, "")</f>
        <v>-1485.1485148514851</v>
      </c>
      <c r="Q77" s="161"/>
      <c r="R77" s="161"/>
      <c r="S77" s="161"/>
    </row>
    <row r="78" spans="1:19" ht="17.25" thickBot="1">
      <c r="A78" s="109" t="s">
        <v>60</v>
      </c>
      <c r="B78" s="110">
        <v>410</v>
      </c>
      <c r="C78" s="70">
        <v>9.8522166999999994E-3</v>
      </c>
      <c r="D78" s="15">
        <v>428</v>
      </c>
      <c r="E78" s="32">
        <f t="shared" si="34"/>
        <v>4.3902439024390241E-2</v>
      </c>
      <c r="F78" s="18">
        <f>IF(ISNUMBER(D78), $B91 * E78, "")</f>
        <v>6585.3658536585363</v>
      </c>
      <c r="G78" s="31">
        <v>428</v>
      </c>
      <c r="H78" s="32">
        <f t="shared" si="35"/>
        <v>4.3902439024390241E-2</v>
      </c>
      <c r="I78" s="91">
        <f>IF(ISNUMBER(G78), $B91 * H78, "")</f>
        <v>6585.3658536585363</v>
      </c>
      <c r="J78" s="15">
        <v>428</v>
      </c>
      <c r="K78" s="32">
        <f t="shared" si="36"/>
        <v>4.3902439024390241E-2</v>
      </c>
      <c r="L78" s="18">
        <f>IF(ISNUMBER(J78), $B91 * K78, "")</f>
        <v>6585.3658536585363</v>
      </c>
      <c r="M78" s="31">
        <v>426</v>
      </c>
      <c r="N78" s="32">
        <f t="shared" si="37"/>
        <v>3.9024390243902439E-2</v>
      </c>
      <c r="O78" s="18">
        <f>IF(ISNUMBER(M78), $B91 * N78, "")</f>
        <v>5853.6585365853662</v>
      </c>
      <c r="Q78" s="161"/>
      <c r="R78" s="161"/>
      <c r="S78" s="161"/>
    </row>
    <row r="79" spans="1:19" ht="17.25" thickBot="1">
      <c r="A79" s="109" t="s">
        <v>120</v>
      </c>
      <c r="B79" s="110">
        <v>113</v>
      </c>
      <c r="C79" s="70">
        <v>8.9285713999999999E-3</v>
      </c>
      <c r="D79" s="15">
        <v>112</v>
      </c>
      <c r="E79" s="32">
        <f t="shared" si="34"/>
        <v>-8.8495575221238937E-3</v>
      </c>
      <c r="F79" s="18">
        <f>IF(ISNUMBER(D79), $B91 * E79, "")</f>
        <v>-1327.4336283185839</v>
      </c>
      <c r="G79" s="31">
        <v>112</v>
      </c>
      <c r="H79" s="32">
        <f t="shared" si="35"/>
        <v>-8.8495575221238937E-3</v>
      </c>
      <c r="I79" s="91">
        <f>IF(ISNUMBER(G79), $B91 * H79, "")</f>
        <v>-1327.4336283185839</v>
      </c>
      <c r="J79" s="15">
        <v>112</v>
      </c>
      <c r="K79" s="32">
        <f t="shared" si="36"/>
        <v>-8.8495575221238937E-3</v>
      </c>
      <c r="L79" s="18">
        <f>IF(ISNUMBER(J79), $B91 * K79, "")</f>
        <v>-1327.4336283185839</v>
      </c>
      <c r="M79" s="31">
        <v>112</v>
      </c>
      <c r="N79" s="32">
        <f t="shared" si="37"/>
        <v>-8.8495575221238937E-3</v>
      </c>
      <c r="O79" s="18">
        <f>IF(ISNUMBER(M79), $B91 * N79, "")</f>
        <v>-1327.4336283185839</v>
      </c>
      <c r="Q79" s="33"/>
      <c r="R79" s="33"/>
    </row>
    <row r="80" spans="1:19" ht="17.25" thickBot="1">
      <c r="A80" s="114" t="s">
        <v>216</v>
      </c>
      <c r="B80" s="115">
        <v>459</v>
      </c>
      <c r="C80" s="72">
        <v>8.7912088000000003E-3</v>
      </c>
      <c r="D80" s="24">
        <v>468</v>
      </c>
      <c r="E80" s="25">
        <f t="shared" si="34"/>
        <v>1.9607843137254902E-2</v>
      </c>
      <c r="F80" s="94">
        <f>IF(ISNUMBER(D80), $B91 * E80, "")</f>
        <v>2941.1764705882351</v>
      </c>
      <c r="G80" s="92">
        <v>468</v>
      </c>
      <c r="H80" s="25">
        <f t="shared" si="35"/>
        <v>1.9607843137254902E-2</v>
      </c>
      <c r="I80" s="93">
        <f>IF(ISNUMBER(G80), $B91 * H80, "")</f>
        <v>2941.1764705882351</v>
      </c>
      <c r="J80" s="24">
        <v>468</v>
      </c>
      <c r="K80" s="25">
        <f t="shared" si="36"/>
        <v>1.9607843137254902E-2</v>
      </c>
      <c r="L80" s="94">
        <f>IF(ISNUMBER(J80), $B91 * K80, "")</f>
        <v>2941.1764705882351</v>
      </c>
      <c r="M80" s="92">
        <v>468</v>
      </c>
      <c r="N80" s="25">
        <f t="shared" si="37"/>
        <v>1.9607843137254902E-2</v>
      </c>
      <c r="O80" s="94">
        <f>IF(ISNUMBER(M80), $B91 * N80, "")</f>
        <v>2941.1764705882351</v>
      </c>
      <c r="Q80" s="170"/>
      <c r="R80" s="171"/>
      <c r="S80" s="172"/>
    </row>
    <row r="81" spans="1:19">
      <c r="A81" s="107" t="s">
        <v>342</v>
      </c>
      <c r="B81" s="108">
        <v>119</v>
      </c>
      <c r="C81" s="69">
        <v>8.4745762999999998E-3</v>
      </c>
      <c r="D81" s="13">
        <v>120</v>
      </c>
      <c r="E81" s="14">
        <f>IF(ISNUMBER(D81), (D81 - $B81) / $B81, "")</f>
        <v>8.4033613445378148E-3</v>
      </c>
      <c r="F81" s="16">
        <f>IF(ISNUMBER(D81), $B91 * E81, "")</f>
        <v>1260.5042016806722</v>
      </c>
      <c r="G81" s="29">
        <v>120</v>
      </c>
      <c r="H81" s="14">
        <f>IF(ISNUMBER(G81), (G81 - $B81) / $B81, "")</f>
        <v>8.4033613445378148E-3</v>
      </c>
      <c r="I81" s="90">
        <f>IF(ISNUMBER(G81), $B91 * H81, "")</f>
        <v>1260.5042016806722</v>
      </c>
      <c r="J81" s="13">
        <v>120</v>
      </c>
      <c r="K81" s="14">
        <f>IF(ISNUMBER(J81), (J81 - $B81) / $B81, "")</f>
        <v>8.4033613445378148E-3</v>
      </c>
      <c r="L81" s="16">
        <f>IF(ISNUMBER(J81), $B91 * K81, "")</f>
        <v>1260.5042016806722</v>
      </c>
      <c r="M81" s="29">
        <v>120</v>
      </c>
      <c r="N81" s="14">
        <f>IF(ISNUMBER(M81), (M81 - $B81) / $B81, "")</f>
        <v>8.4033613445378148E-3</v>
      </c>
      <c r="O81" s="16">
        <f>IF(ISNUMBER(M81), $B91 * N81, "")</f>
        <v>1260.5042016806722</v>
      </c>
      <c r="Q81" s="173"/>
      <c r="R81" s="174"/>
      <c r="S81" s="175"/>
    </row>
    <row r="82" spans="1:19" ht="17.25" thickBot="1">
      <c r="A82" s="109" t="s">
        <v>183</v>
      </c>
      <c r="B82" s="110">
        <v>128</v>
      </c>
      <c r="C82" s="70">
        <v>7.8740157000000005E-3</v>
      </c>
      <c r="D82" s="15">
        <v>131</v>
      </c>
      <c r="E82" s="32">
        <f t="shared" ref="E82:E85" si="38">IF(ISNUMBER(D82), (D82 - $B82) / $B82, "")</f>
        <v>2.34375E-2</v>
      </c>
      <c r="F82" s="18">
        <f>IF(ISNUMBER(D82), $B91 * E82, "")</f>
        <v>3515.625</v>
      </c>
      <c r="G82" s="31">
        <v>131</v>
      </c>
      <c r="H82" s="32">
        <f t="shared" ref="H82:H85" si="39">IF(ISNUMBER(G82), (G82 - $B82) / $B82, "")</f>
        <v>2.34375E-2</v>
      </c>
      <c r="I82" s="91">
        <f>IF(ISNUMBER(G82), $B91 * H82, "")</f>
        <v>3515.625</v>
      </c>
      <c r="J82" s="15">
        <v>131</v>
      </c>
      <c r="K82" s="32">
        <f t="shared" ref="K82:K85" si="40">IF(ISNUMBER(J82), (J82 - $B82) / $B82, "")</f>
        <v>2.34375E-2</v>
      </c>
      <c r="L82" s="18">
        <f>IF(ISNUMBER(J82), $B91 * K82, "")</f>
        <v>3515.625</v>
      </c>
      <c r="M82" s="31">
        <v>130</v>
      </c>
      <c r="N82" s="32">
        <f t="shared" ref="N82:N85" si="41">IF(ISNUMBER(M82), (M82 - $B82) / $B82, "")</f>
        <v>1.5625E-2</v>
      </c>
      <c r="O82" s="18">
        <f>IF(ISNUMBER(M82), $B91 * N82, "")</f>
        <v>2343.75</v>
      </c>
      <c r="Q82" s="176"/>
      <c r="R82" s="177"/>
      <c r="S82" s="178"/>
    </row>
    <row r="83" spans="1:19" ht="17.25" thickBot="1">
      <c r="A83" s="109" t="s">
        <v>111</v>
      </c>
      <c r="B83" s="110">
        <v>585</v>
      </c>
      <c r="C83" s="70">
        <v>6.8846816000000003E-3</v>
      </c>
      <c r="D83" s="15">
        <v>584</v>
      </c>
      <c r="E83" s="32">
        <f t="shared" si="38"/>
        <v>-1.7094017094017094E-3</v>
      </c>
      <c r="F83" s="18">
        <f>IF(ISNUMBER(D83), $B91 * E83, "")</f>
        <v>-256.41025641025641</v>
      </c>
      <c r="G83" s="31">
        <v>584</v>
      </c>
      <c r="H83" s="32">
        <f t="shared" si="39"/>
        <v>-1.7094017094017094E-3</v>
      </c>
      <c r="I83" s="91">
        <f>IF(ISNUMBER(G83), $B91 * H83, "")</f>
        <v>-256.41025641025641</v>
      </c>
      <c r="J83" s="15">
        <v>584</v>
      </c>
      <c r="K83" s="32">
        <f t="shared" si="40"/>
        <v>-1.7094017094017094E-3</v>
      </c>
      <c r="L83" s="18">
        <f>IF(ISNUMBER(J83), $B91 * K83, "")</f>
        <v>-256.41025641025641</v>
      </c>
      <c r="M83" s="31">
        <v>583</v>
      </c>
      <c r="N83" s="32">
        <f t="shared" si="41"/>
        <v>-3.4188034188034188E-3</v>
      </c>
      <c r="O83" s="18">
        <f>IF(ISNUMBER(M83), $B91 * N83, "")</f>
        <v>-512.82051282051282</v>
      </c>
      <c r="Q83" s="161"/>
      <c r="R83" s="161"/>
      <c r="S83" s="161"/>
    </row>
    <row r="84" spans="1:19" ht="17.25" thickBot="1">
      <c r="A84" s="109" t="s">
        <v>159</v>
      </c>
      <c r="B84" s="110">
        <v>156</v>
      </c>
      <c r="C84" s="70">
        <v>6.4516128999999997E-3</v>
      </c>
      <c r="D84" s="15">
        <v>159</v>
      </c>
      <c r="E84" s="32">
        <f t="shared" si="38"/>
        <v>1.9230769230769232E-2</v>
      </c>
      <c r="F84" s="18">
        <f>IF(ISNUMBER(D84), $B91 * E84, "")</f>
        <v>2884.6153846153848</v>
      </c>
      <c r="G84" s="31">
        <v>159</v>
      </c>
      <c r="H84" s="32">
        <f t="shared" si="39"/>
        <v>1.9230769230769232E-2</v>
      </c>
      <c r="I84" s="91">
        <f>IF(ISNUMBER(G84), $B91 * H84, "")</f>
        <v>2884.6153846153848</v>
      </c>
      <c r="J84" s="15">
        <v>159</v>
      </c>
      <c r="K84" s="32">
        <f t="shared" si="40"/>
        <v>1.9230769230769232E-2</v>
      </c>
      <c r="L84" s="18">
        <f>IF(ISNUMBER(J84), $B91 * K84, "")</f>
        <v>2884.6153846153848</v>
      </c>
      <c r="M84" s="31">
        <v>159</v>
      </c>
      <c r="N84" s="32">
        <f t="shared" si="41"/>
        <v>1.9230769230769232E-2</v>
      </c>
      <c r="O84" s="18">
        <f>IF(ISNUMBER(M84), $B91 * N84, "")</f>
        <v>2884.6153846153848</v>
      </c>
      <c r="Q84" s="156"/>
      <c r="R84" s="156"/>
      <c r="S84" s="156"/>
    </row>
    <row r="85" spans="1:19" ht="17.25" thickBot="1">
      <c r="A85" s="111" t="s">
        <v>187</v>
      </c>
      <c r="B85" s="112">
        <v>810</v>
      </c>
      <c r="C85" s="71">
        <v>6.2111800999999998E-3</v>
      </c>
      <c r="D85" s="20">
        <v>813</v>
      </c>
      <c r="E85" s="21">
        <f t="shared" si="38"/>
        <v>3.7037037037037038E-3</v>
      </c>
      <c r="F85" s="22">
        <f>IF(ISNUMBER(D85), $B91 * E85, "")</f>
        <v>555.55555555555554</v>
      </c>
      <c r="G85" s="30">
        <v>813</v>
      </c>
      <c r="H85" s="21">
        <f t="shared" si="39"/>
        <v>3.7037037037037038E-3</v>
      </c>
      <c r="I85" s="95">
        <f>IF(ISNUMBER(G85), $B91 * H85, "")</f>
        <v>555.55555555555554</v>
      </c>
      <c r="J85" s="20">
        <v>813</v>
      </c>
      <c r="K85" s="21">
        <f t="shared" si="40"/>
        <v>3.7037037037037038E-3</v>
      </c>
      <c r="L85" s="22">
        <f>IF(ISNUMBER(J85), $B91 * K85, "")</f>
        <v>555.55555555555554</v>
      </c>
      <c r="M85" s="30">
        <v>813</v>
      </c>
      <c r="N85" s="21">
        <f t="shared" si="41"/>
        <v>3.7037037037037038E-3</v>
      </c>
      <c r="O85" s="22">
        <f>IF(ISNUMBER(M85), $B91 * N85, "")</f>
        <v>555.55555555555554</v>
      </c>
      <c r="Q85" s="156"/>
      <c r="R85" s="156"/>
      <c r="S85" s="156"/>
    </row>
    <row r="86" spans="1:19" ht="17.25" thickBot="1">
      <c r="A86" s="109" t="s">
        <v>66</v>
      </c>
      <c r="B86" s="113">
        <v>663</v>
      </c>
      <c r="C86" s="73">
        <v>6.0698026999999998E-3</v>
      </c>
      <c r="D86" s="96">
        <v>669</v>
      </c>
      <c r="E86" s="97">
        <f>IF(ISNUMBER(D86), (D86 - $B86) / $B86, "")</f>
        <v>9.0497737556561094E-3</v>
      </c>
      <c r="F86" s="98">
        <f>IF(ISNUMBER(D86), $B91 * E86, "")</f>
        <v>1357.4660633484164</v>
      </c>
      <c r="G86" s="99">
        <v>669</v>
      </c>
      <c r="H86" s="97">
        <f>IF(ISNUMBER(G86), (G86 - $B86) / $B86, "")</f>
        <v>9.0497737556561094E-3</v>
      </c>
      <c r="I86" s="100">
        <f>IF(ISNUMBER(G86), $B91 * H86, "")</f>
        <v>1357.4660633484164</v>
      </c>
      <c r="J86" s="96">
        <v>669</v>
      </c>
      <c r="K86" s="97">
        <f>IF(ISNUMBER(J86), (J86 - $B86) / $B86, "")</f>
        <v>9.0497737556561094E-3</v>
      </c>
      <c r="L86" s="98">
        <f>IF(ISNUMBER(J86), $B91 * K86, "")</f>
        <v>1357.4660633484164</v>
      </c>
      <c r="M86" s="99">
        <v>667</v>
      </c>
      <c r="N86" s="97">
        <f>IF(ISNUMBER(M86), (M86 - $B86) / $B86, "")</f>
        <v>6.0331825037707393E-3</v>
      </c>
      <c r="O86" s="98">
        <f>IF(ISNUMBER(M86), $B91 * N86, "")</f>
        <v>904.97737556561094</v>
      </c>
      <c r="Q86" s="161"/>
      <c r="R86" s="161"/>
      <c r="S86" s="161"/>
    </row>
    <row r="87" spans="1:19" ht="17.25" thickBot="1">
      <c r="A87" s="109" t="s">
        <v>149</v>
      </c>
      <c r="B87" s="110">
        <v>342</v>
      </c>
      <c r="C87" s="70">
        <v>5.8823529000000003E-3</v>
      </c>
      <c r="D87" s="15">
        <v>346</v>
      </c>
      <c r="E87" s="32">
        <f t="shared" ref="E87:E90" si="42">IF(ISNUMBER(D87), (D87 - $B87) / $B87, "")</f>
        <v>1.1695906432748537E-2</v>
      </c>
      <c r="F87" s="18">
        <f>IF(ISNUMBER(D87), $B91 * E87, "")</f>
        <v>1754.3859649122805</v>
      </c>
      <c r="G87" s="31">
        <v>346</v>
      </c>
      <c r="H87" s="32">
        <f t="shared" ref="H87:H90" si="43">IF(ISNUMBER(G87), (G87 - $B87) / $B87, "")</f>
        <v>1.1695906432748537E-2</v>
      </c>
      <c r="I87" s="91">
        <f>IF(ISNUMBER(G87), $B91 * H87, "")</f>
        <v>1754.3859649122805</v>
      </c>
      <c r="J87" s="15">
        <v>346</v>
      </c>
      <c r="K87" s="32">
        <f t="shared" ref="K87:K90" si="44">IF(ISNUMBER(J87), (J87 - $B87) / $B87, "")</f>
        <v>1.1695906432748537E-2</v>
      </c>
      <c r="L87" s="18">
        <f>IF(ISNUMBER(J87), $B91 * K87, "")</f>
        <v>1754.3859649122805</v>
      </c>
      <c r="M87" s="31">
        <v>346</v>
      </c>
      <c r="N87" s="32">
        <f t="shared" ref="N87:N90" si="45">IF(ISNUMBER(M87), (M87 - $B87) / $B87, "")</f>
        <v>1.1695906432748537E-2</v>
      </c>
      <c r="O87" s="18">
        <f>IF(ISNUMBER(M87), $B91 * N87, "")</f>
        <v>1754.3859649122805</v>
      </c>
      <c r="Q87" s="161"/>
      <c r="R87" s="161"/>
      <c r="S87" s="161"/>
    </row>
    <row r="88" spans="1:19" ht="17.25" thickBot="1">
      <c r="A88" s="109" t="s">
        <v>130</v>
      </c>
      <c r="B88" s="110">
        <v>687</v>
      </c>
      <c r="C88" s="70">
        <v>5.8565153999999998E-3</v>
      </c>
      <c r="D88" s="15">
        <v>689</v>
      </c>
      <c r="E88" s="32">
        <f t="shared" si="42"/>
        <v>2.911208151382824E-3</v>
      </c>
      <c r="F88" s="18">
        <f>IF(ISNUMBER(D88), $B91 * E88, "")</f>
        <v>436.68122270742361</v>
      </c>
      <c r="G88" s="31">
        <v>689</v>
      </c>
      <c r="H88" s="32">
        <f t="shared" si="43"/>
        <v>2.911208151382824E-3</v>
      </c>
      <c r="I88" s="91">
        <f>IF(ISNUMBER(G88), $B91 * H88, "")</f>
        <v>436.68122270742361</v>
      </c>
      <c r="J88" s="15">
        <v>689</v>
      </c>
      <c r="K88" s="32">
        <f t="shared" si="44"/>
        <v>2.911208151382824E-3</v>
      </c>
      <c r="L88" s="18">
        <f>IF(ISNUMBER(J88), $B91 * K88, "")</f>
        <v>436.68122270742361</v>
      </c>
      <c r="M88" s="31">
        <v>691</v>
      </c>
      <c r="N88" s="32">
        <f t="shared" si="45"/>
        <v>5.822416302765648E-3</v>
      </c>
      <c r="O88" s="18">
        <f>IF(ISNUMBER(M88), $B91 * N88, "")</f>
        <v>873.36244541484723</v>
      </c>
      <c r="Q88" s="161"/>
      <c r="R88" s="161"/>
      <c r="S88" s="161"/>
    </row>
    <row r="89" spans="1:19">
      <c r="A89" s="109" t="s">
        <v>157</v>
      </c>
      <c r="B89" s="110">
        <v>176</v>
      </c>
      <c r="C89" s="70">
        <v>5.7142857000000002E-3</v>
      </c>
      <c r="D89" s="15">
        <v>176</v>
      </c>
      <c r="E89" s="32">
        <f t="shared" si="42"/>
        <v>0</v>
      </c>
      <c r="F89" s="18">
        <f>IF(ISNUMBER(D89), $B91 * E89, "")</f>
        <v>0</v>
      </c>
      <c r="G89" s="31">
        <v>176</v>
      </c>
      <c r="H89" s="32">
        <f t="shared" si="43"/>
        <v>0</v>
      </c>
      <c r="I89" s="91">
        <f>IF(ISNUMBER(G89), $B91 * H89, "")</f>
        <v>0</v>
      </c>
      <c r="J89" s="15">
        <v>176</v>
      </c>
      <c r="K89" s="32">
        <f t="shared" si="44"/>
        <v>0</v>
      </c>
      <c r="L89" s="18">
        <f>IF(ISNUMBER(J89), $B91 * K89, "")</f>
        <v>0</v>
      </c>
      <c r="M89" s="31">
        <v>175</v>
      </c>
      <c r="N89" s="32">
        <f t="shared" si="45"/>
        <v>-5.681818181818182E-3</v>
      </c>
      <c r="O89" s="18">
        <f>IF(ISNUMBER(M89), $B91 * N89, "")</f>
        <v>-852.27272727272725</v>
      </c>
      <c r="Q89" s="183"/>
      <c r="R89" s="184"/>
      <c r="S89" s="185"/>
    </row>
    <row r="90" spans="1:19" ht="17.25" thickBot="1">
      <c r="A90" s="114" t="s">
        <v>105</v>
      </c>
      <c r="B90" s="115">
        <v>197</v>
      </c>
      <c r="C90" s="72">
        <v>5.1020407999999998E-3</v>
      </c>
      <c r="D90" s="24">
        <v>195</v>
      </c>
      <c r="E90" s="25">
        <f t="shared" si="42"/>
        <v>-1.015228426395939E-2</v>
      </c>
      <c r="F90" s="94">
        <f>IF(ISNUMBER(D90), $B91 * E90, "")</f>
        <v>-1522.8426395939084</v>
      </c>
      <c r="G90" s="92">
        <v>195</v>
      </c>
      <c r="H90" s="25">
        <f t="shared" si="43"/>
        <v>-1.015228426395939E-2</v>
      </c>
      <c r="I90" s="93">
        <f>IF(ISNUMBER(G90), $B91 * H90, "")</f>
        <v>-1522.8426395939084</v>
      </c>
      <c r="J90" s="24">
        <v>195</v>
      </c>
      <c r="K90" s="25">
        <f t="shared" si="44"/>
        <v>-1.015228426395939E-2</v>
      </c>
      <c r="L90" s="94">
        <f>IF(ISNUMBER(J90), $B91 * K90, "")</f>
        <v>-1522.8426395939084</v>
      </c>
      <c r="M90" s="92">
        <v>197</v>
      </c>
      <c r="N90" s="25">
        <f t="shared" si="45"/>
        <v>0</v>
      </c>
      <c r="O90" s="94">
        <f>IF(ISNUMBER(M90), $B91 * N90, "")</f>
        <v>0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7.1290301624043319E-3</v>
      </c>
      <c r="F91" s="28">
        <f>SUM(F71:F90)</f>
        <v>21387.090487212994</v>
      </c>
      <c r="G91" s="26" t="s">
        <v>261</v>
      </c>
      <c r="H91" s="27">
        <f>IF(COUNT(H71:H90), SUM(H71:H90) / COUNT(H71:H90), 0)</f>
        <v>7.1290301624043319E-3</v>
      </c>
      <c r="I91" s="28">
        <f>SUM(I71:I90)</f>
        <v>21387.090487212994</v>
      </c>
      <c r="J91" s="26" t="s">
        <v>261</v>
      </c>
      <c r="K91" s="27">
        <f>IF(COUNT(K71:K90), SUM(K71:K90) / COUNT(K71:K90), 0)</f>
        <v>7.1290301624043319E-3</v>
      </c>
      <c r="L91" s="28">
        <f>SUM(L71:L90)</f>
        <v>21387.090487212994</v>
      </c>
      <c r="M91" s="26" t="s">
        <v>261</v>
      </c>
      <c r="N91" s="27">
        <f>IF(COUNT(N71:N90), SUM(N71:N90) / COUNT(N71:N90), 0)</f>
        <v>6.4717395043659308E-3</v>
      </c>
      <c r="O91" s="28">
        <f>SUM(O71:O90)</f>
        <v>19415.218513097792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2022-12-24(토) 오전 00:00</v>
      </c>
      <c r="C96" s="199"/>
      <c r="D96" s="158" t="str">
        <f>TEXT($G$1, "[$-ko-KR]yyyy-mm-dd(ddd) ") &amp; "오후 14:00"</f>
        <v>2022-12-24(토) 오후 14:00</v>
      </c>
      <c r="E96" s="159"/>
      <c r="F96" s="160"/>
      <c r="G96" s="158" t="str">
        <f>TEXT($G$1, "[$-ko-KR]yyyy-mm-dd(ddd) ") &amp; "오후 19:00"</f>
        <v>2022-12-24(토) 오후 19:00</v>
      </c>
      <c r="H96" s="159"/>
      <c r="I96" s="160"/>
      <c r="J96" s="158" t="str">
        <f>TEXT($G$1, "[$-ko-KR]yyyy-mm-dd(ddd) ") &amp; "오후 21:00"</f>
        <v>2022-12-24(토) 오후 21:00</v>
      </c>
      <c r="K96" s="159"/>
      <c r="L96" s="160"/>
      <c r="M96" s="158" t="str">
        <f>TEXT($G$1+1, "[$-ko-KR]yyyy-mm-dd(ddd) ") &amp; "오전 00:00"</f>
        <v>2022-12-25(일)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97</v>
      </c>
      <c r="B98" s="108">
        <v>8.9999999999999998E-4</v>
      </c>
      <c r="C98" s="69">
        <v>0.125</v>
      </c>
      <c r="D98" s="13">
        <v>8.0000000000000004E-4</v>
      </c>
      <c r="E98" s="14">
        <f>IF(ISNUMBER(D98), (D98 - $B98) / $B98, "")</f>
        <v>-0.11111111111111105</v>
      </c>
      <c r="F98" s="16">
        <f>IF(ISNUMBER(D98), $B118 * E98, "")</f>
        <v>-16666.666666666657</v>
      </c>
      <c r="G98" s="29">
        <v>8.0000000000000004E-4</v>
      </c>
      <c r="H98" s="14">
        <f>IF(ISNUMBER(G98), (G98 - $B98) / $B98, "")</f>
        <v>-0.11111111111111105</v>
      </c>
      <c r="I98" s="90">
        <f>IF(ISNUMBER(G98), $B118 * H98, "")</f>
        <v>-16666.666666666657</v>
      </c>
      <c r="J98" s="13">
        <v>8.0000000000000004E-4</v>
      </c>
      <c r="K98" s="14">
        <f>IF(ISNUMBER(J98), (J98 - $B98) / $B98, "")</f>
        <v>-0.11111111111111105</v>
      </c>
      <c r="L98" s="16">
        <f>IF(ISNUMBER(J98), $B118 * K98, "")</f>
        <v>-16666.666666666657</v>
      </c>
      <c r="M98" s="29">
        <v>8.0000000000000004E-4</v>
      </c>
      <c r="N98" s="14">
        <f>IF(ISNUMBER(M98), (M98 - $B98) / $B98, "")</f>
        <v>-0.11111111111111105</v>
      </c>
      <c r="O98" s="16">
        <f>IF(ISNUMBER(M98), $B118 * N98, "")</f>
        <v>-16666.666666666657</v>
      </c>
      <c r="Q98" s="156"/>
      <c r="R98" s="156"/>
      <c r="S98" s="156"/>
    </row>
    <row r="99" spans="1:19" ht="17.25" thickBot="1">
      <c r="A99" s="109" t="s">
        <v>165</v>
      </c>
      <c r="B99" s="110">
        <v>970</v>
      </c>
      <c r="C99" s="70">
        <v>0.10604332950000001</v>
      </c>
      <c r="D99" s="15">
        <v>932</v>
      </c>
      <c r="E99" s="32">
        <f t="shared" ref="E99:E102" si="46">IF(ISNUMBER(D99), (D99 - $B99) / $B99, "")</f>
        <v>-3.9175257731958762E-2</v>
      </c>
      <c r="F99" s="18">
        <f>IF(ISNUMBER(D99), $B118 * E99, "")</f>
        <v>-5876.2886597938141</v>
      </c>
      <c r="G99" s="31">
        <v>932</v>
      </c>
      <c r="H99" s="32">
        <f t="shared" ref="H99:H102" si="47">IF(ISNUMBER(G99), (G99 - $B99) / $B99, "")</f>
        <v>-3.9175257731958762E-2</v>
      </c>
      <c r="I99" s="91">
        <f>IF(ISNUMBER(G99), $B118 * H99, "")</f>
        <v>-5876.2886597938141</v>
      </c>
      <c r="J99" s="15">
        <v>932</v>
      </c>
      <c r="K99" s="32">
        <f t="shared" ref="K99:K102" si="48">IF(ISNUMBER(J99), (J99 - $B99) / $B99, "")</f>
        <v>-3.9175257731958762E-2</v>
      </c>
      <c r="L99" s="18">
        <f>IF(ISNUMBER(J99), $B118 * K99, "")</f>
        <v>-5876.2886597938141</v>
      </c>
      <c r="M99" s="31">
        <v>938</v>
      </c>
      <c r="N99" s="32">
        <f t="shared" ref="N99:N102" si="49">IF(ISNUMBER(M99), (M99 - $B99) / $B99, "")</f>
        <v>-3.2989690721649485E-2</v>
      </c>
      <c r="O99" s="18">
        <f>IF(ISNUMBER(M99), $B118 * N99, "")</f>
        <v>-4948.4536082474224</v>
      </c>
      <c r="Q99" s="156"/>
      <c r="R99" s="156"/>
      <c r="S99" s="156"/>
    </row>
    <row r="100" spans="1:19" ht="17.25" thickBot="1">
      <c r="A100" s="109" t="s">
        <v>214</v>
      </c>
      <c r="B100" s="110">
        <v>1030</v>
      </c>
      <c r="C100" s="70">
        <v>5.4247696999999998E-2</v>
      </c>
      <c r="D100" s="15">
        <v>977</v>
      </c>
      <c r="E100" s="32">
        <f t="shared" si="46"/>
        <v>-5.145631067961165E-2</v>
      </c>
      <c r="F100" s="18">
        <f>IF(ISNUMBER(D100), $B118 * E100, "")</f>
        <v>-7718.4466019417478</v>
      </c>
      <c r="G100" s="31">
        <v>977</v>
      </c>
      <c r="H100" s="32">
        <f t="shared" si="47"/>
        <v>-5.145631067961165E-2</v>
      </c>
      <c r="I100" s="91">
        <f>IF(ISNUMBER(G100), $B118 * H100, "")</f>
        <v>-7718.4466019417478</v>
      </c>
      <c r="J100" s="15">
        <v>977</v>
      </c>
      <c r="K100" s="32">
        <f t="shared" si="48"/>
        <v>-5.145631067961165E-2</v>
      </c>
      <c r="L100" s="18">
        <f>IF(ISNUMBER(J100), $B118 * K100, "")</f>
        <v>-7718.4466019417478</v>
      </c>
      <c r="M100" s="31">
        <v>982</v>
      </c>
      <c r="N100" s="32">
        <f t="shared" si="49"/>
        <v>-4.6601941747572817E-2</v>
      </c>
      <c r="O100" s="18">
        <f>IF(ISNUMBER(M100), $B118 * N100, "")</f>
        <v>-6990.2912621359228</v>
      </c>
      <c r="Q100" s="161"/>
      <c r="R100" s="161"/>
      <c r="S100" s="161"/>
    </row>
    <row r="101" spans="1:19" ht="17.25" thickBot="1">
      <c r="A101" s="109" t="s">
        <v>234</v>
      </c>
      <c r="B101" s="110">
        <v>347</v>
      </c>
      <c r="C101" s="70">
        <v>3.5820895499999998E-2</v>
      </c>
      <c r="D101" s="15">
        <v>359</v>
      </c>
      <c r="E101" s="32">
        <f t="shared" si="46"/>
        <v>3.4582132564841501E-2</v>
      </c>
      <c r="F101" s="18">
        <f>IF(ISNUMBER(D101), $B118 * E101, "")</f>
        <v>5187.3198847262256</v>
      </c>
      <c r="G101" s="31">
        <v>359</v>
      </c>
      <c r="H101" s="32">
        <f t="shared" si="47"/>
        <v>3.4582132564841501E-2</v>
      </c>
      <c r="I101" s="91">
        <f>IF(ISNUMBER(G101), $B118 * H101, "")</f>
        <v>5187.3198847262256</v>
      </c>
      <c r="J101" s="15">
        <v>359</v>
      </c>
      <c r="K101" s="32">
        <f t="shared" si="48"/>
        <v>3.4582132564841501E-2</v>
      </c>
      <c r="L101" s="18">
        <f>IF(ISNUMBER(J101), $B118 * K101, "")</f>
        <v>5187.3198847262256</v>
      </c>
      <c r="M101" s="31">
        <v>356</v>
      </c>
      <c r="N101" s="32">
        <f t="shared" si="49"/>
        <v>2.5936599423631124E-2</v>
      </c>
      <c r="O101" s="18">
        <f>IF(ISNUMBER(M101), $B118 * N101, "")</f>
        <v>3890.4899135446685</v>
      </c>
      <c r="Q101" s="161"/>
      <c r="R101" s="161"/>
      <c r="S101" s="161"/>
    </row>
    <row r="102" spans="1:19" ht="17.25" thickBot="1">
      <c r="A102" s="111" t="s">
        <v>132</v>
      </c>
      <c r="B102" s="112">
        <v>48.3</v>
      </c>
      <c r="C102" s="71">
        <v>3.4261241999999997E-2</v>
      </c>
      <c r="D102" s="20">
        <v>48.3</v>
      </c>
      <c r="E102" s="21">
        <f t="shared" si="46"/>
        <v>0</v>
      </c>
      <c r="F102" s="22">
        <f>IF(ISNUMBER(D102), $B118 * E102, "")</f>
        <v>0</v>
      </c>
      <c r="G102" s="30">
        <v>48.3</v>
      </c>
      <c r="H102" s="21">
        <f t="shared" si="47"/>
        <v>0</v>
      </c>
      <c r="I102" s="95">
        <f>IF(ISNUMBER(G102), $B118 * H102, "")</f>
        <v>0</v>
      </c>
      <c r="J102" s="20">
        <v>48.3</v>
      </c>
      <c r="K102" s="21">
        <f t="shared" si="48"/>
        <v>0</v>
      </c>
      <c r="L102" s="22">
        <f>IF(ISNUMBER(J102), $B118 * K102, "")</f>
        <v>0</v>
      </c>
      <c r="M102" s="30">
        <v>48.2</v>
      </c>
      <c r="N102" s="21">
        <f t="shared" si="49"/>
        <v>-2.0703933747410834E-3</v>
      </c>
      <c r="O102" s="22">
        <f>IF(ISNUMBER(M102), $B118 * N102, "")</f>
        <v>-310.55900621116251</v>
      </c>
      <c r="Q102" s="161"/>
      <c r="R102" s="161"/>
      <c r="S102" s="161"/>
    </row>
    <row r="103" spans="1:19" ht="17.25" thickBot="1">
      <c r="A103" s="109" t="s">
        <v>107</v>
      </c>
      <c r="B103" s="113">
        <v>38</v>
      </c>
      <c r="C103" s="73">
        <v>2.4258760099999999E-2</v>
      </c>
      <c r="D103" s="96">
        <v>38</v>
      </c>
      <c r="E103" s="97">
        <f>IF(ISNUMBER(D103), (D103 - $B103) / $B103, "")</f>
        <v>0</v>
      </c>
      <c r="F103" s="98">
        <f>IF(ISNUMBER(D103), $B118 * E103, "")</f>
        <v>0</v>
      </c>
      <c r="G103" s="99">
        <v>38</v>
      </c>
      <c r="H103" s="97">
        <f>IF(ISNUMBER(G103), (G103 - $B103) / $B103, "")</f>
        <v>0</v>
      </c>
      <c r="I103" s="100">
        <f>IF(ISNUMBER(G103), $B118 * H103, "")</f>
        <v>0</v>
      </c>
      <c r="J103" s="96">
        <v>38</v>
      </c>
      <c r="K103" s="97">
        <f>IF(ISNUMBER(J103), (J103 - $B103) / $B103, "")</f>
        <v>0</v>
      </c>
      <c r="L103" s="98">
        <f>IF(ISNUMBER(J103), $B118 * K103, "")</f>
        <v>0</v>
      </c>
      <c r="M103" s="99">
        <v>38</v>
      </c>
      <c r="N103" s="97">
        <f>IF(ISNUMBER(M103), (M103 - $B103) / $B103, "")</f>
        <v>0</v>
      </c>
      <c r="O103" s="98">
        <f>IF(ISNUMBER(M103), $B118 * N103, "")</f>
        <v>0</v>
      </c>
      <c r="Q103" s="161"/>
      <c r="R103" s="161"/>
      <c r="S103" s="161"/>
    </row>
    <row r="104" spans="1:19" ht="17.25" thickBot="1">
      <c r="A104" s="109" t="s">
        <v>230</v>
      </c>
      <c r="B104" s="110">
        <v>37</v>
      </c>
      <c r="C104" s="70">
        <v>2.2099447500000001E-2</v>
      </c>
      <c r="D104" s="15">
        <v>38.1</v>
      </c>
      <c r="E104" s="32">
        <f t="shared" ref="E104:E107" si="50">IF(ISNUMBER(D104), (D104 - $B104) / $B104, "")</f>
        <v>2.972972972972977E-2</v>
      </c>
      <c r="F104" s="18">
        <f>IF(ISNUMBER(D104), $B118 * E104, "")</f>
        <v>4459.4594594594655</v>
      </c>
      <c r="G104" s="31">
        <v>38.1</v>
      </c>
      <c r="H104" s="32">
        <f t="shared" ref="H104:H107" si="51">IF(ISNUMBER(G104), (G104 - $B104) / $B104, "")</f>
        <v>2.972972972972977E-2</v>
      </c>
      <c r="I104" s="91">
        <f>IF(ISNUMBER(G104), $B118 * H104, "")</f>
        <v>4459.4594594594655</v>
      </c>
      <c r="J104" s="15">
        <v>38.1</v>
      </c>
      <c r="K104" s="32">
        <f t="shared" ref="K104:K107" si="52">IF(ISNUMBER(J104), (J104 - $B104) / $B104, "")</f>
        <v>2.972972972972977E-2</v>
      </c>
      <c r="L104" s="18">
        <f>IF(ISNUMBER(J104), $B118 * K104, "")</f>
        <v>4459.4594594594655</v>
      </c>
      <c r="M104" s="31">
        <v>37.9</v>
      </c>
      <c r="N104" s="32">
        <f t="shared" ref="N104:N107" si="53">IF(ISNUMBER(M104), (M104 - $B104) / $B104, "")</f>
        <v>2.4324324324324288E-2</v>
      </c>
      <c r="O104" s="18">
        <f>IF(ISNUMBER(M104), $B118 * N104, "")</f>
        <v>3648.6486486486433</v>
      </c>
      <c r="Q104" s="161"/>
      <c r="R104" s="161"/>
      <c r="S104" s="161"/>
    </row>
    <row r="105" spans="1:19" ht="17.25" thickBot="1">
      <c r="A105" s="109" t="s">
        <v>178</v>
      </c>
      <c r="B105" s="110">
        <v>1475</v>
      </c>
      <c r="C105" s="70">
        <v>2.07612457E-2</v>
      </c>
      <c r="D105" s="15">
        <v>1475</v>
      </c>
      <c r="E105" s="32">
        <f t="shared" si="50"/>
        <v>0</v>
      </c>
      <c r="F105" s="18">
        <f>IF(ISNUMBER(D105), $B118 * E105, "")</f>
        <v>0</v>
      </c>
      <c r="G105" s="31">
        <v>1475</v>
      </c>
      <c r="H105" s="32">
        <f t="shared" si="51"/>
        <v>0</v>
      </c>
      <c r="I105" s="91">
        <f>IF(ISNUMBER(G105), $B118 * H105, "")</f>
        <v>0</v>
      </c>
      <c r="J105" s="15">
        <v>1475</v>
      </c>
      <c r="K105" s="32">
        <f t="shared" si="52"/>
        <v>0</v>
      </c>
      <c r="L105" s="18">
        <f>IF(ISNUMBER(J105), $B118 * K105, "")</f>
        <v>0</v>
      </c>
      <c r="M105" s="31">
        <v>1465</v>
      </c>
      <c r="N105" s="32">
        <f t="shared" si="53"/>
        <v>-6.7796610169491523E-3</v>
      </c>
      <c r="O105" s="18">
        <f>IF(ISNUMBER(M105), $B118 * N105, "")</f>
        <v>-1016.9491525423729</v>
      </c>
      <c r="Q105" s="161"/>
      <c r="R105" s="161"/>
      <c r="S105" s="161"/>
    </row>
    <row r="106" spans="1:19" ht="17.25" thickBot="1">
      <c r="A106" s="109" t="s">
        <v>320</v>
      </c>
      <c r="B106" s="110">
        <v>1755</v>
      </c>
      <c r="C106" s="70">
        <v>2.0348837200000001E-2</v>
      </c>
      <c r="D106" s="15">
        <v>1750</v>
      </c>
      <c r="E106" s="32">
        <f t="shared" si="50"/>
        <v>-2.8490028490028491E-3</v>
      </c>
      <c r="F106" s="18">
        <f>IF(ISNUMBER(D106), $B118 * E106, "")</f>
        <v>-427.35042735042737</v>
      </c>
      <c r="G106" s="31">
        <v>1750</v>
      </c>
      <c r="H106" s="32">
        <f t="shared" si="51"/>
        <v>-2.8490028490028491E-3</v>
      </c>
      <c r="I106" s="91">
        <f>IF(ISNUMBER(G106), $B118 * H106, "")</f>
        <v>-427.35042735042737</v>
      </c>
      <c r="J106" s="15">
        <v>1750</v>
      </c>
      <c r="K106" s="32">
        <f t="shared" si="52"/>
        <v>-2.8490028490028491E-3</v>
      </c>
      <c r="L106" s="18">
        <f>IF(ISNUMBER(J106), $B118 * K106, "")</f>
        <v>-427.35042735042737</v>
      </c>
      <c r="M106" s="31">
        <v>1745</v>
      </c>
      <c r="N106" s="32">
        <f t="shared" si="53"/>
        <v>-5.6980056980056983E-3</v>
      </c>
      <c r="O106" s="18">
        <f>IF(ISNUMBER(M106), $B118 * N106, "")</f>
        <v>-854.70085470085473</v>
      </c>
      <c r="Q106" s="33"/>
      <c r="R106" s="33"/>
    </row>
    <row r="107" spans="1:19" ht="17.25" thickBot="1">
      <c r="A107" s="114" t="s">
        <v>169</v>
      </c>
      <c r="B107" s="115">
        <v>222</v>
      </c>
      <c r="C107" s="72">
        <v>1.83486239E-2</v>
      </c>
      <c r="D107" s="24">
        <v>221</v>
      </c>
      <c r="E107" s="25">
        <f t="shared" si="50"/>
        <v>-4.5045045045045045E-3</v>
      </c>
      <c r="F107" s="94">
        <f>IF(ISNUMBER(D107), $B118 * E107, "")</f>
        <v>-675.67567567567562</v>
      </c>
      <c r="G107" s="92">
        <v>221</v>
      </c>
      <c r="H107" s="25">
        <f t="shared" si="51"/>
        <v>-4.5045045045045045E-3</v>
      </c>
      <c r="I107" s="93">
        <f>IF(ISNUMBER(G107), $B118 * H107, "")</f>
        <v>-675.67567567567562</v>
      </c>
      <c r="J107" s="24">
        <v>221</v>
      </c>
      <c r="K107" s="25">
        <f t="shared" si="52"/>
        <v>-4.5045045045045045E-3</v>
      </c>
      <c r="L107" s="94">
        <f>IF(ISNUMBER(J107), $B118 * K107, "")</f>
        <v>-675.67567567567562</v>
      </c>
      <c r="M107" s="92">
        <v>220</v>
      </c>
      <c r="N107" s="25">
        <f t="shared" si="53"/>
        <v>-9.0090090090090089E-3</v>
      </c>
      <c r="O107" s="94">
        <f>IF(ISNUMBER(M107), $B118 * N107, "")</f>
        <v>-1351.3513513513512</v>
      </c>
      <c r="Q107" s="170"/>
      <c r="R107" s="171"/>
      <c r="S107" s="172"/>
    </row>
    <row r="108" spans="1:19">
      <c r="A108" s="107" t="s">
        <v>336</v>
      </c>
      <c r="B108" s="108">
        <v>76.3</v>
      </c>
      <c r="C108" s="69">
        <v>1.73333333E-2</v>
      </c>
      <c r="D108" s="13">
        <v>78</v>
      </c>
      <c r="E108" s="14">
        <f>IF(ISNUMBER(D108), (D108 - $B108) / $B108, "")</f>
        <v>2.2280471821756263E-2</v>
      </c>
      <c r="F108" s="16">
        <f>IF(ISNUMBER(D108), $B118 * E108, "")</f>
        <v>3342.0707732634396</v>
      </c>
      <c r="G108" s="29">
        <v>78</v>
      </c>
      <c r="H108" s="14">
        <f>IF(ISNUMBER(G108), (G108 - $B108) / $B108, "")</f>
        <v>2.2280471821756263E-2</v>
      </c>
      <c r="I108" s="90">
        <f>IF(ISNUMBER(G108), $B118 * H108, "")</f>
        <v>3342.0707732634396</v>
      </c>
      <c r="J108" s="13">
        <v>78</v>
      </c>
      <c r="K108" s="14">
        <f>IF(ISNUMBER(J108), (J108 - $B108) / $B108, "")</f>
        <v>2.2280471821756263E-2</v>
      </c>
      <c r="L108" s="16">
        <f>IF(ISNUMBER(J108), $B118 * K108, "")</f>
        <v>3342.0707732634396</v>
      </c>
      <c r="M108" s="29">
        <v>78.3</v>
      </c>
      <c r="N108" s="14">
        <f>IF(ISNUMBER(M108), (M108 - $B108) / $B108, "")</f>
        <v>2.6212319790301444E-2</v>
      </c>
      <c r="O108" s="16">
        <f>IF(ISNUMBER(M108), $B118 * N108, "")</f>
        <v>3931.8479685452166</v>
      </c>
      <c r="Q108" s="173"/>
      <c r="R108" s="174"/>
      <c r="S108" s="175"/>
    </row>
    <row r="109" spans="1:19" ht="17.25" thickBot="1">
      <c r="A109" s="109" t="s">
        <v>116</v>
      </c>
      <c r="B109" s="110">
        <v>974</v>
      </c>
      <c r="C109" s="70">
        <v>1.6701461399999999E-2</v>
      </c>
      <c r="D109" s="15">
        <v>976</v>
      </c>
      <c r="E109" s="32">
        <f t="shared" ref="E109:E112" si="54">IF(ISNUMBER(D109), (D109 - $B109) / $B109, "")</f>
        <v>2.0533880903490761E-3</v>
      </c>
      <c r="F109" s="18">
        <f>IF(ISNUMBER(D109), $B118 * E109, "")</f>
        <v>308.00821355236138</v>
      </c>
      <c r="G109" s="31">
        <v>976</v>
      </c>
      <c r="H109" s="32">
        <f t="shared" ref="H109:H112" si="55">IF(ISNUMBER(G109), (G109 - $B109) / $B109, "")</f>
        <v>2.0533880903490761E-3</v>
      </c>
      <c r="I109" s="91">
        <f>IF(ISNUMBER(G109), $B118 * H109, "")</f>
        <v>308.00821355236138</v>
      </c>
      <c r="J109" s="15">
        <v>976</v>
      </c>
      <c r="K109" s="32">
        <f t="shared" ref="K109:K112" si="56">IF(ISNUMBER(J109), (J109 - $B109) / $B109, "")</f>
        <v>2.0533880903490761E-3</v>
      </c>
      <c r="L109" s="18">
        <f>IF(ISNUMBER(J109), $B118 * K109, "")</f>
        <v>308.00821355236138</v>
      </c>
      <c r="M109" s="31">
        <v>983</v>
      </c>
      <c r="N109" s="32">
        <f t="shared" ref="N109:N112" si="57">IF(ISNUMBER(M109), (M109 - $B109) / $B109, "")</f>
        <v>9.2402464065708418E-3</v>
      </c>
      <c r="O109" s="18">
        <f>IF(ISNUMBER(M109), $B118 * N109, "")</f>
        <v>1386.0369609856264</v>
      </c>
      <c r="Q109" s="176"/>
      <c r="R109" s="177"/>
      <c r="S109" s="178"/>
    </row>
    <row r="110" spans="1:19" ht="17.25" thickBot="1">
      <c r="A110" s="109" t="s">
        <v>118</v>
      </c>
      <c r="B110" s="110">
        <v>5.42</v>
      </c>
      <c r="C110" s="70">
        <v>1.30841121E-2</v>
      </c>
      <c r="D110" s="15">
        <v>5.44</v>
      </c>
      <c r="E110" s="32">
        <f t="shared" si="54"/>
        <v>3.690036900369089E-3</v>
      </c>
      <c r="F110" s="18">
        <f>IF(ISNUMBER(D110), $B118 * E110, "")</f>
        <v>553.50553505536334</v>
      </c>
      <c r="G110" s="31">
        <v>5.44</v>
      </c>
      <c r="H110" s="32">
        <f t="shared" si="55"/>
        <v>3.690036900369089E-3</v>
      </c>
      <c r="I110" s="91">
        <f>IF(ISNUMBER(G110), $B118 * H110, "")</f>
        <v>553.50553505536334</v>
      </c>
      <c r="J110" s="15">
        <v>5.44</v>
      </c>
      <c r="K110" s="32">
        <f t="shared" si="56"/>
        <v>3.690036900369089E-3</v>
      </c>
      <c r="L110" s="18">
        <f>IF(ISNUMBER(J110), $B118 * K110, "")</f>
        <v>553.50553505536334</v>
      </c>
      <c r="M110" s="31">
        <v>5.43</v>
      </c>
      <c r="N110" s="32">
        <f t="shared" si="57"/>
        <v>1.8450184501844625E-3</v>
      </c>
      <c r="O110" s="18">
        <f>IF(ISNUMBER(M110), $B118 * N110, "")</f>
        <v>276.75276752766939</v>
      </c>
      <c r="Q110" s="161"/>
      <c r="R110" s="161"/>
      <c r="S110" s="161"/>
    </row>
    <row r="111" spans="1:19" ht="17.25" thickBot="1">
      <c r="A111" s="109" t="s">
        <v>167</v>
      </c>
      <c r="B111" s="110">
        <v>172</v>
      </c>
      <c r="C111" s="70">
        <v>1.17647059E-2</v>
      </c>
      <c r="D111" s="15">
        <v>174</v>
      </c>
      <c r="E111" s="32">
        <f t="shared" si="54"/>
        <v>1.1627906976744186E-2</v>
      </c>
      <c r="F111" s="18">
        <f>IF(ISNUMBER(D111), $B118 * E111, "")</f>
        <v>1744.1860465116279</v>
      </c>
      <c r="G111" s="31">
        <v>174</v>
      </c>
      <c r="H111" s="32">
        <f t="shared" si="55"/>
        <v>1.1627906976744186E-2</v>
      </c>
      <c r="I111" s="91">
        <f>IF(ISNUMBER(G111), $B118 * H111, "")</f>
        <v>1744.1860465116279</v>
      </c>
      <c r="J111" s="15">
        <v>174</v>
      </c>
      <c r="K111" s="32">
        <f t="shared" si="56"/>
        <v>1.1627906976744186E-2</v>
      </c>
      <c r="L111" s="18">
        <f>IF(ISNUMBER(J111), $B118 * K111, "")</f>
        <v>1744.1860465116279</v>
      </c>
      <c r="M111" s="31">
        <v>174</v>
      </c>
      <c r="N111" s="32">
        <f t="shared" si="57"/>
        <v>1.1627906976744186E-2</v>
      </c>
      <c r="O111" s="18">
        <f>IF(ISNUMBER(M111), $B118 * N111, "")</f>
        <v>1744.1860465116279</v>
      </c>
      <c r="Q111" s="156"/>
      <c r="R111" s="156"/>
      <c r="S111" s="156"/>
    </row>
    <row r="112" spans="1:19" ht="17.25" thickBot="1">
      <c r="A112" s="111" t="s">
        <v>163</v>
      </c>
      <c r="B112" s="112">
        <v>6195</v>
      </c>
      <c r="C112" s="71">
        <v>1.06035889E-2</v>
      </c>
      <c r="D112" s="20">
        <v>6170</v>
      </c>
      <c r="E112" s="21">
        <f t="shared" si="54"/>
        <v>-4.0355125100887809E-3</v>
      </c>
      <c r="F112" s="22">
        <f>IF(ISNUMBER(D112), $B118 * E112, "")</f>
        <v>-605.32687651331719</v>
      </c>
      <c r="G112" s="30">
        <v>6170</v>
      </c>
      <c r="H112" s="21">
        <f t="shared" si="55"/>
        <v>-4.0355125100887809E-3</v>
      </c>
      <c r="I112" s="95">
        <f>IF(ISNUMBER(G112), $B118 * H112, "")</f>
        <v>-605.32687651331719</v>
      </c>
      <c r="J112" s="20">
        <v>6170</v>
      </c>
      <c r="K112" s="21">
        <f t="shared" si="56"/>
        <v>-4.0355125100887809E-3</v>
      </c>
      <c r="L112" s="22">
        <f>IF(ISNUMBER(J112), $B118 * K112, "")</f>
        <v>-605.32687651331719</v>
      </c>
      <c r="M112" s="30">
        <v>6215</v>
      </c>
      <c r="N112" s="21">
        <f t="shared" si="57"/>
        <v>3.2284100080710249E-3</v>
      </c>
      <c r="O112" s="22">
        <f>IF(ISNUMBER(M112), $B118 * N112, "")</f>
        <v>484.26150121065371</v>
      </c>
      <c r="Q112" s="156"/>
      <c r="R112" s="156"/>
      <c r="S112" s="156"/>
    </row>
    <row r="113" spans="1:19" ht="17.25" thickBot="1">
      <c r="A113" s="109" t="s">
        <v>344</v>
      </c>
      <c r="B113" s="113">
        <v>4880</v>
      </c>
      <c r="C113" s="73">
        <v>1.0351966900000001E-2</v>
      </c>
      <c r="D113" s="96">
        <v>4885</v>
      </c>
      <c r="E113" s="97">
        <f>IF(ISNUMBER(D113), (D113 - $B113) / $B113, "")</f>
        <v>1.0245901639344263E-3</v>
      </c>
      <c r="F113" s="98">
        <f>IF(ISNUMBER(D113), $B118 * E113, "")</f>
        <v>153.68852459016395</v>
      </c>
      <c r="G113" s="99">
        <v>4885</v>
      </c>
      <c r="H113" s="97">
        <f>IF(ISNUMBER(G113), (G113 - $B113) / $B113, "")</f>
        <v>1.0245901639344263E-3</v>
      </c>
      <c r="I113" s="100">
        <f>IF(ISNUMBER(G113), $B118 * H113, "")</f>
        <v>153.68852459016395</v>
      </c>
      <c r="J113" s="96">
        <v>4885</v>
      </c>
      <c r="K113" s="97">
        <f>IF(ISNUMBER(J113), (J113 - $B113) / $B113, "")</f>
        <v>1.0245901639344263E-3</v>
      </c>
      <c r="L113" s="98">
        <f>IF(ISNUMBER(J113), $B118 * K113, "")</f>
        <v>153.68852459016395</v>
      </c>
      <c r="M113" s="99">
        <v>4870</v>
      </c>
      <c r="N113" s="97">
        <f>IF(ISNUMBER(M113), (M113 - $B113) / $B113, "")</f>
        <v>-2.0491803278688526E-3</v>
      </c>
      <c r="O113" s="98">
        <f>IF(ISNUMBER(M113), $B118 * N113, "")</f>
        <v>-307.3770491803279</v>
      </c>
      <c r="Q113" s="161"/>
      <c r="R113" s="161"/>
      <c r="S113" s="161"/>
    </row>
    <row r="114" spans="1:19" ht="17.25" thickBot="1">
      <c r="A114" s="109" t="s">
        <v>161</v>
      </c>
      <c r="B114" s="110">
        <v>300</v>
      </c>
      <c r="C114" s="70">
        <v>1.01010101E-2</v>
      </c>
      <c r="D114" s="15">
        <v>308</v>
      </c>
      <c r="E114" s="32">
        <f t="shared" ref="E114:E117" si="58">IF(ISNUMBER(D114), (D114 - $B114) / $B114, "")</f>
        <v>2.6666666666666668E-2</v>
      </c>
      <c r="F114" s="18">
        <f>IF(ISNUMBER(D114), $B118 * E114, "")</f>
        <v>4000.0000000000005</v>
      </c>
      <c r="G114" s="31">
        <v>308</v>
      </c>
      <c r="H114" s="32">
        <f t="shared" ref="H114:H117" si="59">IF(ISNUMBER(G114), (G114 - $B114) / $B114, "")</f>
        <v>2.6666666666666668E-2</v>
      </c>
      <c r="I114" s="91">
        <f>IF(ISNUMBER(G114), $B118 * H114, "")</f>
        <v>4000.0000000000005</v>
      </c>
      <c r="J114" s="15">
        <v>308</v>
      </c>
      <c r="K114" s="32">
        <f t="shared" ref="K114:K117" si="60">IF(ISNUMBER(J114), (J114 - $B114) / $B114, "")</f>
        <v>2.6666666666666668E-2</v>
      </c>
      <c r="L114" s="18">
        <f>IF(ISNUMBER(J114), $B118 * K114, "")</f>
        <v>4000.0000000000005</v>
      </c>
      <c r="M114" s="31">
        <v>307</v>
      </c>
      <c r="N114" s="32">
        <f t="shared" ref="N114:N117" si="61">IF(ISNUMBER(M114), (M114 - $B114) / $B114, "")</f>
        <v>2.3333333333333334E-2</v>
      </c>
      <c r="O114" s="18">
        <f>IF(ISNUMBER(M114), $B118 * N114, "")</f>
        <v>3500</v>
      </c>
      <c r="Q114" s="161"/>
      <c r="R114" s="161"/>
      <c r="S114" s="161"/>
    </row>
    <row r="115" spans="1:19" ht="17.25" thickBot="1">
      <c r="A115" s="109" t="s">
        <v>256</v>
      </c>
      <c r="B115" s="110">
        <v>101</v>
      </c>
      <c r="C115" s="70">
        <v>0.01</v>
      </c>
      <c r="D115" s="15">
        <v>100</v>
      </c>
      <c r="E115" s="32">
        <f t="shared" si="58"/>
        <v>-9.9009900990099011E-3</v>
      </c>
      <c r="F115" s="18">
        <f>IF(ISNUMBER(D115), $B118 * E115, "")</f>
        <v>-1485.1485148514851</v>
      </c>
      <c r="G115" s="31">
        <v>100</v>
      </c>
      <c r="H115" s="32">
        <f t="shared" si="59"/>
        <v>-9.9009900990099011E-3</v>
      </c>
      <c r="I115" s="91">
        <f>IF(ISNUMBER(G115), $B118 * H115, "")</f>
        <v>-1485.1485148514851</v>
      </c>
      <c r="J115" s="15">
        <v>100</v>
      </c>
      <c r="K115" s="32">
        <f t="shared" si="60"/>
        <v>-9.9009900990099011E-3</v>
      </c>
      <c r="L115" s="18">
        <f>IF(ISNUMBER(J115), $B118 * K115, "")</f>
        <v>-1485.1485148514851</v>
      </c>
      <c r="M115" s="31">
        <v>100</v>
      </c>
      <c r="N115" s="32">
        <f t="shared" si="61"/>
        <v>-9.9009900990099011E-3</v>
      </c>
      <c r="O115" s="18">
        <f>IF(ISNUMBER(M115), $B118 * N115, "")</f>
        <v>-1485.1485148514851</v>
      </c>
      <c r="Q115" s="161"/>
      <c r="R115" s="161"/>
      <c r="S115" s="161"/>
    </row>
    <row r="116" spans="1:19">
      <c r="A116" s="109" t="s">
        <v>60</v>
      </c>
      <c r="B116" s="110">
        <v>410</v>
      </c>
      <c r="C116" s="70">
        <v>9.8522166999999994E-3</v>
      </c>
      <c r="D116" s="15">
        <v>428</v>
      </c>
      <c r="E116" s="32">
        <f t="shared" si="58"/>
        <v>4.3902439024390241E-2</v>
      </c>
      <c r="F116" s="18">
        <f>IF(ISNUMBER(D116), $B118 * E116, "")</f>
        <v>6585.3658536585363</v>
      </c>
      <c r="G116" s="31">
        <v>428</v>
      </c>
      <c r="H116" s="32">
        <f t="shared" si="59"/>
        <v>4.3902439024390241E-2</v>
      </c>
      <c r="I116" s="91">
        <f>IF(ISNUMBER(G116), $B118 * H116, "")</f>
        <v>6585.3658536585363</v>
      </c>
      <c r="J116" s="15">
        <v>428</v>
      </c>
      <c r="K116" s="32">
        <f t="shared" si="60"/>
        <v>4.3902439024390241E-2</v>
      </c>
      <c r="L116" s="18">
        <f>IF(ISNUMBER(J116), $B118 * K116, "")</f>
        <v>6585.3658536585363</v>
      </c>
      <c r="M116" s="31">
        <v>426</v>
      </c>
      <c r="N116" s="32">
        <f t="shared" si="61"/>
        <v>3.9024390243902439E-2</v>
      </c>
      <c r="O116" s="18">
        <f>IF(ISNUMBER(M116), $B118 * N116, "")</f>
        <v>5853.6585365853662</v>
      </c>
      <c r="Q116" s="183"/>
      <c r="R116" s="184"/>
      <c r="S116" s="185"/>
    </row>
    <row r="117" spans="1:19" ht="17.25" thickBot="1">
      <c r="A117" s="114" t="s">
        <v>71</v>
      </c>
      <c r="B117" s="115">
        <v>10.3</v>
      </c>
      <c r="C117" s="72">
        <v>9.8039215999999995E-3</v>
      </c>
      <c r="D117" s="24">
        <v>10.4</v>
      </c>
      <c r="E117" s="25">
        <f t="shared" si="58"/>
        <v>9.7087378640776344E-3</v>
      </c>
      <c r="F117" s="94">
        <f>IF(ISNUMBER(D117), $B118 * E117, "")</f>
        <v>1456.3106796116451</v>
      </c>
      <c r="G117" s="92">
        <v>10.4</v>
      </c>
      <c r="H117" s="25">
        <f t="shared" si="59"/>
        <v>9.7087378640776344E-3</v>
      </c>
      <c r="I117" s="93">
        <f>IF(ISNUMBER(G117), $B118 * H117, "")</f>
        <v>1456.3106796116451</v>
      </c>
      <c r="J117" s="24">
        <v>10.4</v>
      </c>
      <c r="K117" s="25">
        <f t="shared" si="60"/>
        <v>9.7087378640776344E-3</v>
      </c>
      <c r="L117" s="94">
        <f>IF(ISNUMBER(J117), $B118 * K117, "")</f>
        <v>1456.3106796116451</v>
      </c>
      <c r="M117" s="92">
        <v>10.4</v>
      </c>
      <c r="N117" s="25">
        <f t="shared" si="61"/>
        <v>9.7087378640776344E-3</v>
      </c>
      <c r="O117" s="94">
        <f>IF(ISNUMBER(M117), $B118 * N117, "")</f>
        <v>1456.3106796116451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-1.8883294841214328E-3</v>
      </c>
      <c r="F118" s="28">
        <f>SUM(F98:F117)</f>
        <v>-5664.9884523642977</v>
      </c>
      <c r="G118" s="26" t="s">
        <v>261</v>
      </c>
      <c r="H118" s="27">
        <f>IF(COUNT(H98:H117), SUM(H98:H117) / COUNT(H98:H117), 0)</f>
        <v>-1.8883294841214328E-3</v>
      </c>
      <c r="I118" s="28">
        <f>SUM(I98:I117)</f>
        <v>-5664.9884523642977</v>
      </c>
      <c r="J118" s="26" t="s">
        <v>261</v>
      </c>
      <c r="K118" s="27">
        <f>IF(COUNT(K98:K117), SUM(K98:K117) / COUNT(K98:K117), 0)</f>
        <v>-1.8883294841214328E-3</v>
      </c>
      <c r="L118" s="28">
        <f>SUM(L98:L117)</f>
        <v>-5664.9884523642977</v>
      </c>
      <c r="M118" s="26" t="s">
        <v>261</v>
      </c>
      <c r="N118" s="27">
        <f>IF(COUNT(N98:N117), SUM(N98:N117) / COUNT(N98:N117), 0)</f>
        <v>-2.5864348142388117E-3</v>
      </c>
      <c r="O118" s="28">
        <f>SUM(O98:O117)</f>
        <v>-7759.3044427164305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2022-12-24(토) 오전 00:00</v>
      </c>
      <c r="C123" s="199"/>
      <c r="D123" s="158" t="str">
        <f>TEXT($G$1, "[$-ko-KR]yyyy-mm-dd(ddd) ") &amp; "오후 14:00"</f>
        <v>2022-12-24(토) 오후 14:00</v>
      </c>
      <c r="E123" s="159"/>
      <c r="F123" s="160"/>
      <c r="G123" s="158" t="str">
        <f>TEXT($G$1, "[$-ko-KR]yyyy-mm-dd(ddd) ") &amp; "오후 19:00"</f>
        <v>2022-12-24(토) 오후 19:00</v>
      </c>
      <c r="H123" s="159"/>
      <c r="I123" s="160"/>
      <c r="J123" s="158" t="str">
        <f>TEXT($G$1, "[$-ko-KR]yyyy-mm-dd(ddd) ") &amp; "오후 21:00"</f>
        <v>2022-12-24(토) 오후 21:00</v>
      </c>
      <c r="K123" s="159"/>
      <c r="L123" s="160"/>
      <c r="M123" s="158" t="str">
        <f>TEXT($G$1+1, "[$-ko-KR]yyyy-mm-dd(ddd) ") &amp; "오전 00:00"</f>
        <v>2022-12-25(일)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64</v>
      </c>
      <c r="B125" s="108">
        <v>9.36</v>
      </c>
      <c r="C125" s="69">
        <v>4.2918454999999996E-3</v>
      </c>
      <c r="D125" s="13">
        <v>9.36</v>
      </c>
      <c r="E125" s="14">
        <f>IF(ISNUMBER(D125), (D125 - $B125) / $B125, "")</f>
        <v>0</v>
      </c>
      <c r="F125" s="16">
        <f>IF(ISNUMBER(D125), $B145 * E125, "")</f>
        <v>0</v>
      </c>
      <c r="G125" s="29">
        <v>9.36</v>
      </c>
      <c r="H125" s="14">
        <f>IF(ISNUMBER(G125), (G125 - $B125) / $B125, "")</f>
        <v>0</v>
      </c>
      <c r="I125" s="90">
        <f>IF(ISNUMBER(G125), $B145 * H125, "")</f>
        <v>0</v>
      </c>
      <c r="J125" s="13">
        <v>9.36</v>
      </c>
      <c r="K125" s="14">
        <f>IF(ISNUMBER(J125), (J125 - $B125) / $B125, "")</f>
        <v>0</v>
      </c>
      <c r="L125" s="16">
        <f>IF(ISNUMBER(J125), $B145 * K125, "")</f>
        <v>0</v>
      </c>
      <c r="M125" s="29">
        <v>9.34</v>
      </c>
      <c r="N125" s="14">
        <f>IF(ISNUMBER(M125), (M125 - $B125) / $B125, "")</f>
        <v>-2.1367521367520914E-3</v>
      </c>
      <c r="O125" s="16">
        <f>IF(ISNUMBER(M125), $B145 * N125, "")</f>
        <v>-320.51282051281373</v>
      </c>
      <c r="Q125" s="156"/>
      <c r="R125" s="156"/>
      <c r="S125" s="156"/>
    </row>
    <row r="126" spans="1:19" ht="17.25" thickBot="1">
      <c r="A126" s="109" t="s">
        <v>195</v>
      </c>
      <c r="B126" s="110">
        <v>6.02</v>
      </c>
      <c r="C126" s="70">
        <v>3.3333333000000001E-3</v>
      </c>
      <c r="D126" s="15">
        <v>6.05</v>
      </c>
      <c r="E126" s="32">
        <f t="shared" ref="E126:E129" si="62">IF(ISNUMBER(D126), (D126 - $B126) / $B126, "")</f>
        <v>4.9833887043189782E-3</v>
      </c>
      <c r="F126" s="18">
        <f>IF(ISNUMBER(D126), $B145 * E126, "")</f>
        <v>747.50830564784678</v>
      </c>
      <c r="G126" s="31">
        <v>6.05</v>
      </c>
      <c r="H126" s="32">
        <f t="shared" ref="H126:H129" si="63">IF(ISNUMBER(G126), (G126 - $B126) / $B126, "")</f>
        <v>4.9833887043189782E-3</v>
      </c>
      <c r="I126" s="91">
        <f>IF(ISNUMBER(G126), $B145 * H126, "")</f>
        <v>747.50830564784678</v>
      </c>
      <c r="J126" s="15">
        <v>6.05</v>
      </c>
      <c r="K126" s="32">
        <f t="shared" ref="K126:K129" si="64">IF(ISNUMBER(J126), (J126 - $B126) / $B126, "")</f>
        <v>4.9833887043189782E-3</v>
      </c>
      <c r="L126" s="18">
        <f>IF(ISNUMBER(J126), $B145 * K126, "")</f>
        <v>747.50830564784678</v>
      </c>
      <c r="M126" s="31">
        <v>6.08</v>
      </c>
      <c r="N126" s="32">
        <f t="shared" ref="N126:N129" si="65">IF(ISNUMBER(M126), (M126 - $B126) / $B126, "")</f>
        <v>9.9667774086379564E-3</v>
      </c>
      <c r="O126" s="18">
        <f>IF(ISNUMBER(M126), $B145 * N126, "")</f>
        <v>1495.0166112956936</v>
      </c>
      <c r="Q126" s="156"/>
      <c r="R126" s="156"/>
      <c r="S126" s="156"/>
    </row>
    <row r="127" spans="1:19" ht="17.25" thickBot="1">
      <c r="A127" s="109" t="s">
        <v>124</v>
      </c>
      <c r="B127" s="110">
        <v>30.4</v>
      </c>
      <c r="C127" s="70">
        <v>3.3003300000000002E-3</v>
      </c>
      <c r="D127" s="15">
        <v>30.4</v>
      </c>
      <c r="E127" s="32">
        <f t="shared" si="62"/>
        <v>0</v>
      </c>
      <c r="F127" s="18">
        <f>IF(ISNUMBER(D127), $B145 * E127, "")</f>
        <v>0</v>
      </c>
      <c r="G127" s="31">
        <v>30.4</v>
      </c>
      <c r="H127" s="32">
        <f t="shared" si="63"/>
        <v>0</v>
      </c>
      <c r="I127" s="91">
        <f>IF(ISNUMBER(G127), $B145 * H127, "")</f>
        <v>0</v>
      </c>
      <c r="J127" s="15">
        <v>30.4</v>
      </c>
      <c r="K127" s="32">
        <f t="shared" si="64"/>
        <v>0</v>
      </c>
      <c r="L127" s="18">
        <f>IF(ISNUMBER(J127), $B145 * K127, "")</f>
        <v>0</v>
      </c>
      <c r="M127" s="31">
        <v>30.4</v>
      </c>
      <c r="N127" s="32">
        <f t="shared" si="65"/>
        <v>0</v>
      </c>
      <c r="O127" s="18">
        <f>IF(ISNUMBER(M127), $B145 * N127, "")</f>
        <v>0</v>
      </c>
      <c r="Q127" s="161"/>
      <c r="R127" s="161"/>
      <c r="S127" s="161"/>
    </row>
    <row r="128" spans="1:19" ht="17.25" thickBot="1">
      <c r="A128" s="109" t="s">
        <v>51</v>
      </c>
      <c r="B128" s="110">
        <v>98.5</v>
      </c>
      <c r="C128" s="70">
        <v>1.0162602E-3</v>
      </c>
      <c r="D128" s="15">
        <v>97.7</v>
      </c>
      <c r="E128" s="32">
        <f t="shared" si="62"/>
        <v>-8.1218274111674836E-3</v>
      </c>
      <c r="F128" s="18">
        <f>IF(ISNUMBER(D128), $B145 * E128, "")</f>
        <v>-1218.2741116751226</v>
      </c>
      <c r="G128" s="31">
        <v>97.7</v>
      </c>
      <c r="H128" s="32">
        <f t="shared" si="63"/>
        <v>-8.1218274111674836E-3</v>
      </c>
      <c r="I128" s="91">
        <f>IF(ISNUMBER(G128), $B145 * H128, "")</f>
        <v>-1218.2741116751226</v>
      </c>
      <c r="J128" s="15">
        <v>97.7</v>
      </c>
      <c r="K128" s="32">
        <f t="shared" si="64"/>
        <v>-8.1218274111674836E-3</v>
      </c>
      <c r="L128" s="18">
        <f>IF(ISNUMBER(J128), $B145 * K128, "")</f>
        <v>-1218.2741116751226</v>
      </c>
      <c r="M128" s="31">
        <v>97.2</v>
      </c>
      <c r="N128" s="32">
        <f t="shared" si="65"/>
        <v>-1.3197969543147179E-2</v>
      </c>
      <c r="O128" s="18">
        <f>IF(ISNUMBER(M128), $B145 * N128, "")</f>
        <v>-1979.6954314720767</v>
      </c>
      <c r="Q128" s="161"/>
      <c r="R128" s="161"/>
      <c r="S128" s="161"/>
    </row>
    <row r="129" spans="1:19" ht="17.25" thickBot="1">
      <c r="A129" s="111" t="s">
        <v>56</v>
      </c>
      <c r="B129" s="112">
        <v>39.5</v>
      </c>
      <c r="C129" s="71">
        <v>0</v>
      </c>
      <c r="D129" s="20">
        <v>39.4</v>
      </c>
      <c r="E129" s="21">
        <f t="shared" si="62"/>
        <v>-2.5316455696202892E-3</v>
      </c>
      <c r="F129" s="22">
        <f>IF(ISNUMBER(D129), $B145 * E129, "")</f>
        <v>-379.74683544304338</v>
      </c>
      <c r="G129" s="30">
        <v>39.4</v>
      </c>
      <c r="H129" s="21">
        <f t="shared" si="63"/>
        <v>-2.5316455696202892E-3</v>
      </c>
      <c r="I129" s="95">
        <f>IF(ISNUMBER(G129), $B145 * H129, "")</f>
        <v>-379.74683544304338</v>
      </c>
      <c r="J129" s="20">
        <v>39.4</v>
      </c>
      <c r="K129" s="21">
        <f t="shared" si="64"/>
        <v>-2.5316455696202892E-3</v>
      </c>
      <c r="L129" s="22">
        <f>IF(ISNUMBER(J129), $B145 * K129, "")</f>
        <v>-379.74683544304338</v>
      </c>
      <c r="M129" s="30">
        <v>39.4</v>
      </c>
      <c r="N129" s="21">
        <f t="shared" si="65"/>
        <v>-2.5316455696202892E-3</v>
      </c>
      <c r="O129" s="22">
        <f>IF(ISNUMBER(M129), $B145 * N129, "")</f>
        <v>-379.74683544304338</v>
      </c>
      <c r="Q129" s="161"/>
      <c r="R129" s="161"/>
      <c r="S129" s="161"/>
    </row>
    <row r="130" spans="1:19" ht="17.25" thickBot="1">
      <c r="A130" s="109" t="s">
        <v>141</v>
      </c>
      <c r="B130" s="113">
        <v>3.13</v>
      </c>
      <c r="C130" s="73">
        <v>0</v>
      </c>
      <c r="D130" s="96">
        <v>3.16</v>
      </c>
      <c r="E130" s="97">
        <f>IF(ISNUMBER(D130), (D130 - $B130) / $B130, "")</f>
        <v>9.5846645367412935E-3</v>
      </c>
      <c r="F130" s="98">
        <f>IF(ISNUMBER(D130), $B145 * E130, "")</f>
        <v>1437.6996805111939</v>
      </c>
      <c r="G130" s="99">
        <v>3.16</v>
      </c>
      <c r="H130" s="97">
        <f>IF(ISNUMBER(G130), (G130 - $B130) / $B130, "")</f>
        <v>9.5846645367412935E-3</v>
      </c>
      <c r="I130" s="100">
        <f>IF(ISNUMBER(G130), $B145 * H130, "")</f>
        <v>1437.6996805111939</v>
      </c>
      <c r="J130" s="96">
        <v>3.16</v>
      </c>
      <c r="K130" s="97">
        <f>IF(ISNUMBER(J130), (J130 - $B130) / $B130, "")</f>
        <v>9.5846645367412935E-3</v>
      </c>
      <c r="L130" s="98">
        <f>IF(ISNUMBER(J130), $B145 * K130, "")</f>
        <v>1437.6996805111939</v>
      </c>
      <c r="M130" s="99">
        <v>3.16</v>
      </c>
      <c r="N130" s="97">
        <f>IF(ISNUMBER(M130), (M130 - $B130) / $B130, "")</f>
        <v>9.5846645367412935E-3</v>
      </c>
      <c r="O130" s="98">
        <f>IF(ISNUMBER(M130), $B145 * N130, "")</f>
        <v>1437.6996805111939</v>
      </c>
      <c r="Q130" s="161"/>
      <c r="R130" s="161"/>
      <c r="S130" s="161"/>
    </row>
    <row r="131" spans="1:19" ht="17.25" thickBot="1">
      <c r="A131" s="109" t="s">
        <v>138</v>
      </c>
      <c r="B131" s="110">
        <v>22.8</v>
      </c>
      <c r="C131" s="70">
        <v>0</v>
      </c>
      <c r="D131" s="15">
        <v>22.9</v>
      </c>
      <c r="E131" s="32">
        <f t="shared" ref="E131:E134" si="66">IF(ISNUMBER(D131), (D131 - $B131) / $B131, "")</f>
        <v>4.3859649122806078E-3</v>
      </c>
      <c r="F131" s="18">
        <f>IF(ISNUMBER(D131), $B145 * E131, "")</f>
        <v>657.89473684209122</v>
      </c>
      <c r="G131" s="31">
        <v>22.9</v>
      </c>
      <c r="H131" s="32">
        <f t="shared" ref="H131:H134" si="67">IF(ISNUMBER(G131), (G131 - $B131) / $B131, "")</f>
        <v>4.3859649122806078E-3</v>
      </c>
      <c r="I131" s="91">
        <f>IF(ISNUMBER(G131), $B145 * H131, "")</f>
        <v>657.89473684209122</v>
      </c>
      <c r="J131" s="15">
        <v>22.9</v>
      </c>
      <c r="K131" s="32">
        <f t="shared" ref="K131:K134" si="68">IF(ISNUMBER(J131), (J131 - $B131) / $B131, "")</f>
        <v>4.3859649122806078E-3</v>
      </c>
      <c r="L131" s="18">
        <f>IF(ISNUMBER(J131), $B145 * K131, "")</f>
        <v>657.89473684209122</v>
      </c>
      <c r="M131" s="31">
        <v>22.9</v>
      </c>
      <c r="N131" s="32">
        <f t="shared" ref="N131:N134" si="69">IF(ISNUMBER(M131), (M131 - $B131) / $B131, "")</f>
        <v>4.3859649122806078E-3</v>
      </c>
      <c r="O131" s="18">
        <f>IF(ISNUMBER(M131), $B145 * N131, "")</f>
        <v>657.89473684209122</v>
      </c>
      <c r="Q131" s="161"/>
      <c r="R131" s="161"/>
      <c r="S131" s="161"/>
    </row>
    <row r="132" spans="1:19" ht="17.25" thickBot="1">
      <c r="A132" s="109" t="s">
        <v>206</v>
      </c>
      <c r="B132" s="110">
        <v>3.22</v>
      </c>
      <c r="C132" s="70">
        <v>0</v>
      </c>
      <c r="D132" s="15">
        <v>3.26</v>
      </c>
      <c r="E132" s="32">
        <f t="shared" si="66"/>
        <v>1.2422360248447077E-2</v>
      </c>
      <c r="F132" s="18">
        <f>IF(ISNUMBER(D132), $B145 * E132, "")</f>
        <v>1863.3540372670616</v>
      </c>
      <c r="G132" s="31">
        <v>3.26</v>
      </c>
      <c r="H132" s="32">
        <f t="shared" si="67"/>
        <v>1.2422360248447077E-2</v>
      </c>
      <c r="I132" s="91">
        <f>IF(ISNUMBER(G132), $B145 * H132, "")</f>
        <v>1863.3540372670616</v>
      </c>
      <c r="J132" s="15">
        <v>3.26</v>
      </c>
      <c r="K132" s="32">
        <f t="shared" si="68"/>
        <v>1.2422360248447077E-2</v>
      </c>
      <c r="L132" s="18">
        <f>IF(ISNUMBER(J132), $B145 * K132, "")</f>
        <v>1863.3540372670616</v>
      </c>
      <c r="M132" s="31">
        <v>3.28</v>
      </c>
      <c r="N132" s="32">
        <f t="shared" si="69"/>
        <v>1.8633540372670686E-2</v>
      </c>
      <c r="O132" s="18">
        <f>IF(ISNUMBER(M132), $B145 * N132, "")</f>
        <v>2795.031055900603</v>
      </c>
      <c r="Q132" s="161"/>
      <c r="R132" s="161"/>
      <c r="S132" s="161"/>
    </row>
    <row r="133" spans="1:19" ht="17.25" thickBot="1">
      <c r="A133" s="109" t="s">
        <v>220</v>
      </c>
      <c r="B133" s="110">
        <v>63</v>
      </c>
      <c r="C133" s="70">
        <v>0</v>
      </c>
      <c r="D133" s="15">
        <v>63.3</v>
      </c>
      <c r="E133" s="32">
        <f t="shared" si="66"/>
        <v>4.7619047619047164E-3</v>
      </c>
      <c r="F133" s="18">
        <f>IF(ISNUMBER(D133), $B145 * E133, "")</f>
        <v>714.2857142857074</v>
      </c>
      <c r="G133" s="31">
        <v>63.3</v>
      </c>
      <c r="H133" s="32">
        <f t="shared" si="67"/>
        <v>4.7619047619047164E-3</v>
      </c>
      <c r="I133" s="91">
        <f>IF(ISNUMBER(G133), $B145 * H133, "")</f>
        <v>714.2857142857074</v>
      </c>
      <c r="J133" s="15">
        <v>63.3</v>
      </c>
      <c r="K133" s="32">
        <f t="shared" si="68"/>
        <v>4.7619047619047164E-3</v>
      </c>
      <c r="L133" s="18">
        <f>IF(ISNUMBER(J133), $B145 * K133, "")</f>
        <v>714.2857142857074</v>
      </c>
      <c r="M133" s="31">
        <v>63.2</v>
      </c>
      <c r="N133" s="32">
        <f t="shared" si="69"/>
        <v>3.1746031746032197E-3</v>
      </c>
      <c r="O133" s="18">
        <f>IF(ISNUMBER(M133), $B145 * N133, "")</f>
        <v>476.19047619048297</v>
      </c>
      <c r="Q133" s="33"/>
      <c r="R133" s="33"/>
    </row>
    <row r="134" spans="1:19" ht="17.25" thickBot="1">
      <c r="A134" s="114" t="s">
        <v>193</v>
      </c>
      <c r="B134" s="115">
        <v>17.100000000000001</v>
      </c>
      <c r="C134" s="72">
        <v>0</v>
      </c>
      <c r="D134" s="24">
        <v>17.5</v>
      </c>
      <c r="E134" s="25">
        <f t="shared" si="66"/>
        <v>2.3391812865496991E-2</v>
      </c>
      <c r="F134" s="94">
        <f>IF(ISNUMBER(D134), $B145 * E134, "")</f>
        <v>3508.7719298245488</v>
      </c>
      <c r="G134" s="92">
        <v>17.5</v>
      </c>
      <c r="H134" s="25">
        <f t="shared" si="67"/>
        <v>2.3391812865496991E-2</v>
      </c>
      <c r="I134" s="93">
        <f>IF(ISNUMBER(G134), $B145 * H134, "")</f>
        <v>3508.7719298245488</v>
      </c>
      <c r="J134" s="24">
        <v>17.5</v>
      </c>
      <c r="K134" s="25">
        <f t="shared" si="68"/>
        <v>2.3391812865496991E-2</v>
      </c>
      <c r="L134" s="94">
        <f>IF(ISNUMBER(J134), $B145 * K134, "")</f>
        <v>3508.7719298245488</v>
      </c>
      <c r="M134" s="92">
        <v>17.399999999999999</v>
      </c>
      <c r="N134" s="25">
        <f t="shared" si="69"/>
        <v>1.754385964912264E-2</v>
      </c>
      <c r="O134" s="94">
        <f>IF(ISNUMBER(M134), $B145 * N134, "")</f>
        <v>2631.5789473683958</v>
      </c>
      <c r="Q134" s="170"/>
      <c r="R134" s="171"/>
      <c r="S134" s="172"/>
    </row>
    <row r="135" spans="1:19">
      <c r="A135" s="107" t="s">
        <v>185</v>
      </c>
      <c r="B135" s="108">
        <v>27</v>
      </c>
      <c r="C135" s="69">
        <v>0</v>
      </c>
      <c r="D135" s="13">
        <v>27</v>
      </c>
      <c r="E135" s="14">
        <f>IF(ISNUMBER(D135), (D135 - $B135) / $B135, "")</f>
        <v>0</v>
      </c>
      <c r="F135" s="16">
        <f>IF(ISNUMBER(D135), $B145 * E135, "")</f>
        <v>0</v>
      </c>
      <c r="G135" s="29">
        <v>27</v>
      </c>
      <c r="H135" s="14">
        <f>IF(ISNUMBER(G135), (G135 - $B135) / $B135, "")</f>
        <v>0</v>
      </c>
      <c r="I135" s="90">
        <f>IF(ISNUMBER(G135), $B145 * H135, "")</f>
        <v>0</v>
      </c>
      <c r="J135" s="13">
        <v>27</v>
      </c>
      <c r="K135" s="14">
        <f>IF(ISNUMBER(J135), (J135 - $B135) / $B135, "")</f>
        <v>0</v>
      </c>
      <c r="L135" s="16">
        <f>IF(ISNUMBER(J135), $B145 * K135, "")</f>
        <v>0</v>
      </c>
      <c r="M135" s="29">
        <v>27.2</v>
      </c>
      <c r="N135" s="14">
        <f>IF(ISNUMBER(M135), (M135 - $B135) / $B135, "")</f>
        <v>7.4074074074073808E-3</v>
      </c>
      <c r="O135" s="16">
        <f>IF(ISNUMBER(M135), $B145 * N135, "")</f>
        <v>1111.1111111111072</v>
      </c>
      <c r="Q135" s="173"/>
      <c r="R135" s="174"/>
      <c r="S135" s="175"/>
    </row>
    <row r="136" spans="1:19" ht="17.25" thickBot="1">
      <c r="A136" s="109" t="s">
        <v>191</v>
      </c>
      <c r="B136" s="110">
        <v>50.7</v>
      </c>
      <c r="C136" s="70">
        <v>0</v>
      </c>
      <c r="D136" s="15">
        <v>51.2</v>
      </c>
      <c r="E136" s="32">
        <f t="shared" ref="E136:E139" si="70">IF(ISNUMBER(D136), (D136 - $B136) / $B136, "")</f>
        <v>9.8619329388560158E-3</v>
      </c>
      <c r="F136" s="18">
        <f>IF(ISNUMBER(D136), $B145 * E136, "")</f>
        <v>1479.2899408284025</v>
      </c>
      <c r="G136" s="31">
        <v>51.2</v>
      </c>
      <c r="H136" s="32">
        <f t="shared" ref="H136:H139" si="71">IF(ISNUMBER(G136), (G136 - $B136) / $B136, "")</f>
        <v>9.8619329388560158E-3</v>
      </c>
      <c r="I136" s="91">
        <f>IF(ISNUMBER(G136), $B145 * H136, "")</f>
        <v>1479.2899408284025</v>
      </c>
      <c r="J136" s="15">
        <v>51.2</v>
      </c>
      <c r="K136" s="32">
        <f t="shared" ref="K136:K139" si="72">IF(ISNUMBER(J136), (J136 - $B136) / $B136, "")</f>
        <v>9.8619329388560158E-3</v>
      </c>
      <c r="L136" s="18">
        <f>IF(ISNUMBER(J136), $B145 * K136, "")</f>
        <v>1479.2899408284025</v>
      </c>
      <c r="M136" s="31">
        <v>51.3</v>
      </c>
      <c r="N136" s="32">
        <f t="shared" ref="N136:N139" si="73">IF(ISNUMBER(M136), (M136 - $B136) / $B136, "")</f>
        <v>1.1834319526627106E-2</v>
      </c>
      <c r="O136" s="18">
        <f>IF(ISNUMBER(M136), $B145 * N136, "")</f>
        <v>1775.147928994066</v>
      </c>
      <c r="Q136" s="176"/>
      <c r="R136" s="177"/>
      <c r="S136" s="178"/>
    </row>
    <row r="137" spans="1:19" ht="17.25" thickBot="1">
      <c r="A137" s="109" t="s">
        <v>335</v>
      </c>
      <c r="B137" s="110">
        <v>3.1300000000000001E-2</v>
      </c>
      <c r="C137" s="70">
        <v>0</v>
      </c>
      <c r="D137" s="15">
        <v>3.1300000000000001E-2</v>
      </c>
      <c r="E137" s="32">
        <f t="shared" si="70"/>
        <v>0</v>
      </c>
      <c r="F137" s="18">
        <f>IF(ISNUMBER(D137), $B145 * E137, "")</f>
        <v>0</v>
      </c>
      <c r="G137" s="31">
        <v>3.1300000000000001E-2</v>
      </c>
      <c r="H137" s="32">
        <f t="shared" si="71"/>
        <v>0</v>
      </c>
      <c r="I137" s="91">
        <f>IF(ISNUMBER(G137), $B145 * H137, "")</f>
        <v>0</v>
      </c>
      <c r="J137" s="15">
        <v>3.1300000000000001E-2</v>
      </c>
      <c r="K137" s="32">
        <f t="shared" si="72"/>
        <v>0</v>
      </c>
      <c r="L137" s="18">
        <f>IF(ISNUMBER(J137), $B145 * K137, "")</f>
        <v>0</v>
      </c>
      <c r="M137" s="31">
        <v>3.1399999999999997E-2</v>
      </c>
      <c r="N137" s="32">
        <f t="shared" si="73"/>
        <v>3.1948881789136078E-3</v>
      </c>
      <c r="O137" s="18">
        <f>IF(ISNUMBER(M137), $B145 * N137, "")</f>
        <v>479.23322683704117</v>
      </c>
      <c r="Q137" s="161"/>
      <c r="R137" s="161"/>
      <c r="S137" s="161"/>
    </row>
    <row r="138" spans="1:19" ht="17.25" thickBot="1">
      <c r="A138" s="109" t="s">
        <v>198</v>
      </c>
      <c r="B138" s="110">
        <v>6.84</v>
      </c>
      <c r="C138" s="70">
        <v>-1.459854E-3</v>
      </c>
      <c r="D138" s="15">
        <v>6.85</v>
      </c>
      <c r="E138" s="32">
        <f t="shared" si="70"/>
        <v>1.4619883040935362E-3</v>
      </c>
      <c r="F138" s="18">
        <f>IF(ISNUMBER(D138), $B145 * E138, "")</f>
        <v>219.29824561403044</v>
      </c>
      <c r="G138" s="31">
        <v>6.85</v>
      </c>
      <c r="H138" s="32">
        <f t="shared" si="71"/>
        <v>1.4619883040935362E-3</v>
      </c>
      <c r="I138" s="91">
        <f>IF(ISNUMBER(G138), $B145 * H138, "")</f>
        <v>219.29824561403044</v>
      </c>
      <c r="J138" s="15">
        <v>6.85</v>
      </c>
      <c r="K138" s="32">
        <f t="shared" si="72"/>
        <v>1.4619883040935362E-3</v>
      </c>
      <c r="L138" s="18">
        <f>IF(ISNUMBER(J138), $B145 * K138, "")</f>
        <v>219.29824561403044</v>
      </c>
      <c r="M138" s="31">
        <v>6.82</v>
      </c>
      <c r="N138" s="32">
        <f t="shared" si="73"/>
        <v>-2.9239766081870723E-3</v>
      </c>
      <c r="O138" s="18">
        <f>IF(ISNUMBER(M138), $B145 * N138, "")</f>
        <v>-438.59649122806087</v>
      </c>
      <c r="Q138" s="156"/>
      <c r="R138" s="156"/>
      <c r="S138" s="156"/>
    </row>
    <row r="139" spans="1:19" ht="17.25" thickBot="1">
      <c r="A139" s="111" t="s">
        <v>350</v>
      </c>
      <c r="B139" s="112">
        <v>6.27</v>
      </c>
      <c r="C139" s="71">
        <v>-1.5923567000000001E-3</v>
      </c>
      <c r="D139" s="20">
        <v>6.26</v>
      </c>
      <c r="E139" s="21">
        <f t="shared" si="70"/>
        <v>-1.5948963317384032E-3</v>
      </c>
      <c r="F139" s="22">
        <f>IF(ISNUMBER(D139), $B145 * E139, "")</f>
        <v>-239.23444976076047</v>
      </c>
      <c r="G139" s="30">
        <v>6.26</v>
      </c>
      <c r="H139" s="21">
        <f t="shared" si="71"/>
        <v>-1.5948963317384032E-3</v>
      </c>
      <c r="I139" s="95">
        <f>IF(ISNUMBER(G139), $B145 * H139, "")</f>
        <v>-239.23444976076047</v>
      </c>
      <c r="J139" s="20">
        <v>6.26</v>
      </c>
      <c r="K139" s="21">
        <f t="shared" si="72"/>
        <v>-1.5948963317384032E-3</v>
      </c>
      <c r="L139" s="22">
        <f>IF(ISNUMBER(J139), $B145 * K139, "")</f>
        <v>-239.23444976076047</v>
      </c>
      <c r="M139" s="30">
        <v>6.27</v>
      </c>
      <c r="N139" s="21">
        <f t="shared" si="73"/>
        <v>0</v>
      </c>
      <c r="O139" s="22">
        <f>IF(ISNUMBER(M139), $B145 * N139, "")</f>
        <v>0</v>
      </c>
      <c r="Q139" s="156"/>
      <c r="R139" s="156"/>
      <c r="S139" s="156"/>
    </row>
    <row r="140" spans="1:19" ht="17.25" thickBot="1">
      <c r="A140" s="109" t="s">
        <v>210</v>
      </c>
      <c r="B140" s="113">
        <v>64.3</v>
      </c>
      <c r="C140" s="73">
        <v>-3.1007752000000001E-3</v>
      </c>
      <c r="D140" s="96">
        <v>66.900000000000006</v>
      </c>
      <c r="E140" s="97">
        <f>IF(ISNUMBER(D140), (D140 - $B140) / $B140, "")</f>
        <v>4.0435458786936371E-2</v>
      </c>
      <c r="F140" s="98">
        <f>IF(ISNUMBER(D140), $B145 * E140, "")</f>
        <v>6065.3188180404559</v>
      </c>
      <c r="G140" s="99">
        <v>66.900000000000006</v>
      </c>
      <c r="H140" s="97">
        <f>IF(ISNUMBER(G140), (G140 - $B140) / $B140, "")</f>
        <v>4.0435458786936371E-2</v>
      </c>
      <c r="I140" s="100">
        <f>IF(ISNUMBER(G140), $B145 * H140, "")</f>
        <v>6065.3188180404559</v>
      </c>
      <c r="J140" s="96">
        <v>66.900000000000006</v>
      </c>
      <c r="K140" s="97">
        <f>IF(ISNUMBER(J140), (J140 - $B140) / $B140, "")</f>
        <v>4.0435458786936371E-2</v>
      </c>
      <c r="L140" s="98">
        <f>IF(ISNUMBER(J140), $B145 * K140, "")</f>
        <v>6065.3188180404559</v>
      </c>
      <c r="M140" s="99">
        <v>67.7</v>
      </c>
      <c r="N140" s="97">
        <f>IF(ISNUMBER(M140), (M140 - $B140) / $B140, "")</f>
        <v>5.2877138413685937E-2</v>
      </c>
      <c r="O140" s="98">
        <f>IF(ISNUMBER(M140), $B145 * N140, "")</f>
        <v>7931.5707620528901</v>
      </c>
      <c r="Q140" s="161"/>
      <c r="R140" s="161"/>
      <c r="S140" s="161"/>
    </row>
    <row r="141" spans="1:19" ht="17.25" thickBot="1">
      <c r="A141" s="109" t="s">
        <v>126</v>
      </c>
      <c r="B141" s="110">
        <v>23.5</v>
      </c>
      <c r="C141" s="70">
        <v>-4.2372881000000001E-3</v>
      </c>
      <c r="D141" s="15">
        <v>23.6</v>
      </c>
      <c r="E141" s="32">
        <f t="shared" ref="E141:E144" si="74">IF(ISNUMBER(D141), (D141 - $B141) / $B141, "")</f>
        <v>4.255319148936231E-3</v>
      </c>
      <c r="F141" s="18">
        <f>IF(ISNUMBER(D141), $B145 * E141, "")</f>
        <v>638.29787234043465</v>
      </c>
      <c r="G141" s="31">
        <v>23.6</v>
      </c>
      <c r="H141" s="32">
        <f t="shared" ref="H141:H144" si="75">IF(ISNUMBER(G141), (G141 - $B141) / $B141, "")</f>
        <v>4.255319148936231E-3</v>
      </c>
      <c r="I141" s="91">
        <f>IF(ISNUMBER(G141), $B145 * H141, "")</f>
        <v>638.29787234043465</v>
      </c>
      <c r="J141" s="15">
        <v>23.6</v>
      </c>
      <c r="K141" s="32">
        <f t="shared" ref="K141:K144" si="76">IF(ISNUMBER(J141), (J141 - $B141) / $B141, "")</f>
        <v>4.255319148936231E-3</v>
      </c>
      <c r="L141" s="18">
        <f>IF(ISNUMBER(J141), $B145 * K141, "")</f>
        <v>638.29787234043465</v>
      </c>
      <c r="M141" s="31">
        <v>23.5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161"/>
      <c r="R141" s="161"/>
      <c r="S141" s="161"/>
    </row>
    <row r="142" spans="1:19" ht="17.25" thickBot="1">
      <c r="A142" s="109" t="s">
        <v>224</v>
      </c>
      <c r="B142" s="110">
        <v>19</v>
      </c>
      <c r="C142" s="70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1578.947368421047</v>
      </c>
      <c r="G142" s="31">
        <v>19.2</v>
      </c>
      <c r="H142" s="32">
        <f t="shared" si="75"/>
        <v>1.0526315789473648E-2</v>
      </c>
      <c r="I142" s="91">
        <f>IF(ISNUMBER(G142), $B145 * H142, "")</f>
        <v>1578.947368421047</v>
      </c>
      <c r="J142" s="15">
        <v>19.2</v>
      </c>
      <c r="K142" s="32">
        <f t="shared" si="76"/>
        <v>1.0526315789473648E-2</v>
      </c>
      <c r="L142" s="18">
        <f>IF(ISNUMBER(J142), $B145 * K142, "")</f>
        <v>1578.947368421047</v>
      </c>
      <c r="M142" s="31">
        <v>19.3</v>
      </c>
      <c r="N142" s="32">
        <f t="shared" si="77"/>
        <v>1.5789473684210565E-2</v>
      </c>
      <c r="O142" s="18">
        <f>IF(ISNUMBER(M142), $B145 * N142, "")</f>
        <v>2368.4210526315846</v>
      </c>
      <c r="Q142" s="161"/>
      <c r="R142" s="161"/>
      <c r="S142" s="161"/>
    </row>
    <row r="143" spans="1:19">
      <c r="A143" s="109" t="s">
        <v>145</v>
      </c>
      <c r="B143" s="110">
        <v>71.099999999999994</v>
      </c>
      <c r="C143" s="70">
        <v>-1.52354571E-2</v>
      </c>
      <c r="D143" s="15">
        <v>71.2</v>
      </c>
      <c r="E143" s="32">
        <f t="shared" si="74"/>
        <v>1.4064697609002606E-3</v>
      </c>
      <c r="F143" s="18">
        <f>IF(ISNUMBER(D143), $B145 * E143, "")</f>
        <v>210.97046413503909</v>
      </c>
      <c r="G143" s="31">
        <v>71.2</v>
      </c>
      <c r="H143" s="32">
        <f t="shared" si="75"/>
        <v>1.4064697609002606E-3</v>
      </c>
      <c r="I143" s="91">
        <f>IF(ISNUMBER(G143), $B145 * H143, "")</f>
        <v>210.97046413503909</v>
      </c>
      <c r="J143" s="15">
        <v>71.2</v>
      </c>
      <c r="K143" s="32">
        <f t="shared" si="76"/>
        <v>1.4064697609002606E-3</v>
      </c>
      <c r="L143" s="18">
        <f>IF(ISNUMBER(J143), $B145 * K143, "")</f>
        <v>210.97046413503909</v>
      </c>
      <c r="M143" s="31">
        <v>71.099999999999994</v>
      </c>
      <c r="N143" s="32">
        <f t="shared" si="77"/>
        <v>0</v>
      </c>
      <c r="O143" s="18">
        <f>IF(ISNUMBER(M143), $B145 * N143, "")</f>
        <v>0</v>
      </c>
      <c r="Q143" s="183"/>
      <c r="R143" s="184"/>
      <c r="S143" s="185"/>
    </row>
    <row r="144" spans="1:19" ht="17.25" thickBot="1">
      <c r="A144" s="114" t="s">
        <v>244</v>
      </c>
      <c r="B144" s="115">
        <v>89.7</v>
      </c>
      <c r="C144" s="72">
        <v>-1.6447368399999999E-2</v>
      </c>
      <c r="D144" s="24">
        <v>97.2</v>
      </c>
      <c r="E144" s="25">
        <f t="shared" si="74"/>
        <v>8.3612040133779264E-2</v>
      </c>
      <c r="F144" s="94">
        <f>IF(ISNUMBER(D144), $B145 * E144, "")</f>
        <v>12541.80602006689</v>
      </c>
      <c r="G144" s="92">
        <v>97.2</v>
      </c>
      <c r="H144" s="25">
        <f t="shared" si="75"/>
        <v>8.3612040133779264E-2</v>
      </c>
      <c r="I144" s="93">
        <f>IF(ISNUMBER(G144), $B145 * H144, "")</f>
        <v>12541.80602006689</v>
      </c>
      <c r="J144" s="24">
        <v>97.2</v>
      </c>
      <c r="K144" s="25">
        <f t="shared" si="76"/>
        <v>8.3612040133779264E-2</v>
      </c>
      <c r="L144" s="94">
        <f>IF(ISNUMBER(J144), $B145 * K144, "")</f>
        <v>12541.80602006689</v>
      </c>
      <c r="M144" s="92">
        <v>93.5</v>
      </c>
      <c r="N144" s="25">
        <f t="shared" si="77"/>
        <v>4.2363433667781461E-2</v>
      </c>
      <c r="O144" s="94">
        <f>IF(ISNUMBER(M144), $B145 * N144, "")</f>
        <v>6354.5150501672188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9.942062578981942E-3</v>
      </c>
      <c r="F145" s="28">
        <f>SUM(F125:F144)</f>
        <v>29826.187736945823</v>
      </c>
      <c r="G145" s="26" t="s">
        <v>261</v>
      </c>
      <c r="H145" s="27">
        <f>IF(COUNT(H125:H144), SUM(H125:H144) / COUNT(H125:H144), 0)</f>
        <v>9.942062578981942E-3</v>
      </c>
      <c r="I145" s="28">
        <f>SUM(I125:I144)</f>
        <v>29826.187736945823</v>
      </c>
      <c r="J145" s="26" t="s">
        <v>261</v>
      </c>
      <c r="K145" s="27">
        <f>IF(COUNT(K125:K144), SUM(K125:K144) / COUNT(K125:K144), 0)</f>
        <v>9.942062578981942E-3</v>
      </c>
      <c r="L145" s="28">
        <f>SUM(L125:L144)</f>
        <v>29826.187736945823</v>
      </c>
      <c r="M145" s="26" t="s">
        <v>261</v>
      </c>
      <c r="N145" s="27">
        <f>IF(COUNT(N125:N144), SUM(N125:N144) / COUNT(N125:N144), 0)</f>
        <v>8.7982863537487913E-3</v>
      </c>
      <c r="O145" s="28">
        <f>SUM(O125:O144)</f>
        <v>26394.85906124637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2022-12-24(토) 오전 00:00</v>
      </c>
      <c r="C150" s="199"/>
      <c r="D150" s="158" t="str">
        <f>TEXT($G$1, "[$-ko-KR]yyyy-mm-dd(ddd) ") &amp; "오후 14:00"</f>
        <v>2022-12-24(토) 오후 14:00</v>
      </c>
      <c r="E150" s="159"/>
      <c r="F150" s="160"/>
      <c r="G150" s="158" t="str">
        <f>TEXT($G$1, "[$-ko-KR]yyyy-mm-dd(ddd) ") &amp; "오후 19:00"</f>
        <v>2022-12-24(토) 오후 19:00</v>
      </c>
      <c r="H150" s="159"/>
      <c r="I150" s="160"/>
      <c r="J150" s="158" t="str">
        <f>TEXT($G$1, "[$-ko-KR]yyyy-mm-dd(ddd) ") &amp; "오후 21:00"</f>
        <v>2022-12-24(토) 오후 21:00</v>
      </c>
      <c r="K150" s="159"/>
      <c r="L150" s="160"/>
      <c r="M150" s="158" t="str">
        <f>TEXT($G$1+1, "[$-ko-KR]yyyy-mm-dd(ddd) ") &amp; "오전 00:00"</f>
        <v>2022-12-25(일)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238</v>
      </c>
      <c r="B152" s="108">
        <v>562</v>
      </c>
      <c r="C152" s="69">
        <v>1.7825312E-3</v>
      </c>
      <c r="D152" s="13">
        <v>566</v>
      </c>
      <c r="E152" s="14">
        <f>IF(ISNUMBER(D152), (D152 - $B152) / $B152, "")</f>
        <v>7.1174377224199285E-3</v>
      </c>
      <c r="F152" s="16">
        <f>IF(ISNUMBER(D152), $B172 * E152, "")</f>
        <v>1067.6156583629893</v>
      </c>
      <c r="G152" s="29">
        <v>566</v>
      </c>
      <c r="H152" s="14">
        <f>IF(ISNUMBER(G152), (G152 - $B152) / $B152, "")</f>
        <v>7.1174377224199285E-3</v>
      </c>
      <c r="I152" s="90">
        <f>IF(ISNUMBER(G152), $B172 * H152, "")</f>
        <v>1067.6156583629893</v>
      </c>
      <c r="J152" s="13">
        <v>566</v>
      </c>
      <c r="K152" s="14">
        <f>IF(ISNUMBER(J152), (J152 - $B152) / $B152, "")</f>
        <v>7.1174377224199285E-3</v>
      </c>
      <c r="L152" s="16">
        <f>IF(ISNUMBER(J152), $B172 * K152, "")</f>
        <v>1067.6156583629893</v>
      </c>
      <c r="M152" s="29">
        <v>568</v>
      </c>
      <c r="N152" s="14">
        <f>IF(ISNUMBER(M152), (M152 - $B152) / $B152, "")</f>
        <v>1.0676156583629894E-2</v>
      </c>
      <c r="O152" s="16">
        <f>IF(ISNUMBER(M152), $B172 * N152, "")</f>
        <v>1601.423487544484</v>
      </c>
      <c r="Q152" s="156"/>
      <c r="R152" s="156"/>
      <c r="S152" s="156"/>
    </row>
    <row r="153" spans="1:19" ht="17.25" thickBot="1">
      <c r="A153" s="109" t="s">
        <v>226</v>
      </c>
      <c r="B153" s="110">
        <v>205</v>
      </c>
      <c r="C153" s="70">
        <v>0</v>
      </c>
      <c r="D153" s="15">
        <v>213</v>
      </c>
      <c r="E153" s="32">
        <f t="shared" ref="E153:E156" si="78">IF(ISNUMBER(D153), (D153 - $B153) / $B153, "")</f>
        <v>3.9024390243902439E-2</v>
      </c>
      <c r="F153" s="18">
        <f>IF(ISNUMBER(D153), $B172 * E153, "")</f>
        <v>5853.6585365853662</v>
      </c>
      <c r="G153" s="31">
        <v>213</v>
      </c>
      <c r="H153" s="32">
        <f t="shared" ref="H153:H156" si="79">IF(ISNUMBER(G153), (G153 - $B153) / $B153, "")</f>
        <v>3.9024390243902439E-2</v>
      </c>
      <c r="I153" s="91">
        <f>IF(ISNUMBER(G153), $B172 * H153, "")</f>
        <v>5853.6585365853662</v>
      </c>
      <c r="J153" s="15">
        <v>213</v>
      </c>
      <c r="K153" s="32">
        <f t="shared" ref="K153:K156" si="80">IF(ISNUMBER(J153), (J153 - $B153) / $B153, "")</f>
        <v>3.9024390243902439E-2</v>
      </c>
      <c r="L153" s="18">
        <f>IF(ISNUMBER(J153), $B172 * K153, "")</f>
        <v>5853.6585365853662</v>
      </c>
      <c r="M153" s="31">
        <v>213</v>
      </c>
      <c r="N153" s="32">
        <f t="shared" ref="N153:N156" si="81">IF(ISNUMBER(M153), (M153 - $B153) / $B153, "")</f>
        <v>3.9024390243902439E-2</v>
      </c>
      <c r="O153" s="18">
        <f>IF(ISNUMBER(M153), $B172 * N153, "")</f>
        <v>5853.6585365853662</v>
      </c>
      <c r="Q153" s="156"/>
      <c r="R153" s="156"/>
      <c r="S153" s="156"/>
    </row>
    <row r="154" spans="1:19" ht="17.25" thickBot="1">
      <c r="A154" s="109" t="s">
        <v>352</v>
      </c>
      <c r="B154" s="110">
        <v>183</v>
      </c>
      <c r="C154" s="70">
        <v>0</v>
      </c>
      <c r="D154" s="15">
        <v>185</v>
      </c>
      <c r="E154" s="32">
        <f t="shared" si="78"/>
        <v>1.092896174863388E-2</v>
      </c>
      <c r="F154" s="18">
        <f>IF(ISNUMBER(D154), $B172 * E154, "")</f>
        <v>1639.344262295082</v>
      </c>
      <c r="G154" s="31">
        <v>185</v>
      </c>
      <c r="H154" s="32">
        <f t="shared" si="79"/>
        <v>1.092896174863388E-2</v>
      </c>
      <c r="I154" s="91">
        <f>IF(ISNUMBER(G154), $B172 * H154, "")</f>
        <v>1639.344262295082</v>
      </c>
      <c r="J154" s="15">
        <v>185</v>
      </c>
      <c r="K154" s="32">
        <f t="shared" si="80"/>
        <v>1.092896174863388E-2</v>
      </c>
      <c r="L154" s="18">
        <f>IF(ISNUMBER(J154), $B172 * K154, "")</f>
        <v>1639.344262295082</v>
      </c>
      <c r="M154" s="31">
        <v>184</v>
      </c>
      <c r="N154" s="32">
        <f t="shared" si="81"/>
        <v>5.4644808743169399E-3</v>
      </c>
      <c r="O154" s="18">
        <f>IF(ISNUMBER(M154), $B172 * N154, "")</f>
        <v>819.67213114754099</v>
      </c>
      <c r="Q154" s="161"/>
      <c r="R154" s="161"/>
      <c r="S154" s="161"/>
    </row>
    <row r="155" spans="1:19" ht="17.25" thickBot="1">
      <c r="A155" s="109" t="s">
        <v>103</v>
      </c>
      <c r="B155" s="110">
        <v>218</v>
      </c>
      <c r="C155" s="70">
        <v>0</v>
      </c>
      <c r="D155" s="15">
        <v>219</v>
      </c>
      <c r="E155" s="32">
        <f t="shared" si="78"/>
        <v>4.5871559633027525E-3</v>
      </c>
      <c r="F155" s="18">
        <f>IF(ISNUMBER(D155), $B172 * E155, "")</f>
        <v>688.07339449541291</v>
      </c>
      <c r="G155" s="31">
        <v>219</v>
      </c>
      <c r="H155" s="32">
        <f t="shared" si="79"/>
        <v>4.5871559633027525E-3</v>
      </c>
      <c r="I155" s="91">
        <f>IF(ISNUMBER(G155), $B172 * H155, "")</f>
        <v>688.07339449541291</v>
      </c>
      <c r="J155" s="15">
        <v>219</v>
      </c>
      <c r="K155" s="32">
        <f t="shared" si="80"/>
        <v>4.5871559633027525E-3</v>
      </c>
      <c r="L155" s="18">
        <f>IF(ISNUMBER(J155), $B172 * K155, "")</f>
        <v>688.07339449541291</v>
      </c>
      <c r="M155" s="31">
        <v>220</v>
      </c>
      <c r="N155" s="32">
        <f t="shared" si="81"/>
        <v>9.1743119266055051E-3</v>
      </c>
      <c r="O155" s="18">
        <f>IF(ISNUMBER(M155), $B172 * N155, "")</f>
        <v>1376.1467889908258</v>
      </c>
      <c r="Q155" s="161"/>
      <c r="R155" s="161"/>
      <c r="S155" s="161"/>
    </row>
    <row r="156" spans="1:19" ht="17.25" thickBot="1">
      <c r="A156" s="111" t="s">
        <v>79</v>
      </c>
      <c r="B156" s="112">
        <v>247</v>
      </c>
      <c r="C156" s="71">
        <v>0</v>
      </c>
      <c r="D156" s="20">
        <v>247</v>
      </c>
      <c r="E156" s="21">
        <f t="shared" si="78"/>
        <v>0</v>
      </c>
      <c r="F156" s="22">
        <f>IF(ISNUMBER(D156), $B172 * E156, "")</f>
        <v>0</v>
      </c>
      <c r="G156" s="30">
        <v>247</v>
      </c>
      <c r="H156" s="21">
        <f t="shared" si="79"/>
        <v>0</v>
      </c>
      <c r="I156" s="95">
        <f>IF(ISNUMBER(G156), $B172 * H156, "")</f>
        <v>0</v>
      </c>
      <c r="J156" s="20">
        <v>247</v>
      </c>
      <c r="K156" s="21">
        <f t="shared" si="80"/>
        <v>0</v>
      </c>
      <c r="L156" s="22">
        <f>IF(ISNUMBER(J156), $B172 * K156, "")</f>
        <v>0</v>
      </c>
      <c r="M156" s="30">
        <v>247</v>
      </c>
      <c r="N156" s="21">
        <f t="shared" si="81"/>
        <v>0</v>
      </c>
      <c r="O156" s="22">
        <f>IF(ISNUMBER(M156), $B172 * N156, "")</f>
        <v>0</v>
      </c>
      <c r="Q156" s="161"/>
      <c r="R156" s="161"/>
      <c r="S156" s="161"/>
    </row>
    <row r="157" spans="1:19" ht="17.25" thickBot="1">
      <c r="A157" s="109" t="s">
        <v>176</v>
      </c>
      <c r="B157" s="113">
        <v>299</v>
      </c>
      <c r="C157" s="73">
        <v>0</v>
      </c>
      <c r="D157" s="96">
        <v>305</v>
      </c>
      <c r="E157" s="97">
        <f>IF(ISNUMBER(D157), (D157 - $B157) / $B157, "")</f>
        <v>2.0066889632107024E-2</v>
      </c>
      <c r="F157" s="98">
        <f>IF(ISNUMBER(D157), $B172 * E157, "")</f>
        <v>3010.0334448160534</v>
      </c>
      <c r="G157" s="99">
        <v>305</v>
      </c>
      <c r="H157" s="97">
        <f>IF(ISNUMBER(G157), (G157 - $B157) / $B157, "")</f>
        <v>2.0066889632107024E-2</v>
      </c>
      <c r="I157" s="100">
        <f>IF(ISNUMBER(G157), $B172 * H157, "")</f>
        <v>3010.0334448160534</v>
      </c>
      <c r="J157" s="96">
        <v>305</v>
      </c>
      <c r="K157" s="97">
        <f>IF(ISNUMBER(J157), (J157 - $B157) / $B157, "")</f>
        <v>2.0066889632107024E-2</v>
      </c>
      <c r="L157" s="98">
        <f>IF(ISNUMBER(J157), $B172 * K157, "")</f>
        <v>3010.0334448160534</v>
      </c>
      <c r="M157" s="99">
        <v>305</v>
      </c>
      <c r="N157" s="97">
        <f>IF(ISNUMBER(M157), (M157 - $B157) / $B157, "")</f>
        <v>2.0066889632107024E-2</v>
      </c>
      <c r="O157" s="98">
        <f>IF(ISNUMBER(M157), $B172 * N157, "")</f>
        <v>3010.0334448160534</v>
      </c>
      <c r="Q157" s="161"/>
      <c r="R157" s="161"/>
      <c r="S157" s="161"/>
    </row>
    <row r="158" spans="1:19" ht="17.25" thickBot="1">
      <c r="A158" s="109" t="s">
        <v>202</v>
      </c>
      <c r="B158" s="110">
        <v>301</v>
      </c>
      <c r="C158" s="70">
        <v>0</v>
      </c>
      <c r="D158" s="15">
        <v>310</v>
      </c>
      <c r="E158" s="32">
        <f t="shared" ref="E158:E161" si="82">IF(ISNUMBER(D158), (D158 - $B158) / $B158, "")</f>
        <v>2.9900332225913623E-2</v>
      </c>
      <c r="F158" s="18">
        <f>IF(ISNUMBER(D158), $B172 * E158, "")</f>
        <v>4485.0498338870439</v>
      </c>
      <c r="G158" s="31">
        <v>310</v>
      </c>
      <c r="H158" s="32">
        <f t="shared" ref="H158:H161" si="83">IF(ISNUMBER(G158), (G158 - $B158) / $B158, "")</f>
        <v>2.9900332225913623E-2</v>
      </c>
      <c r="I158" s="91">
        <f>IF(ISNUMBER(G158), $B172 * H158, "")</f>
        <v>4485.0498338870439</v>
      </c>
      <c r="J158" s="15">
        <v>310</v>
      </c>
      <c r="K158" s="32">
        <f t="shared" ref="K158:K161" si="84">IF(ISNUMBER(J158), (J158 - $B158) / $B158, "")</f>
        <v>2.9900332225913623E-2</v>
      </c>
      <c r="L158" s="18">
        <f>IF(ISNUMBER(J158), $B172 * K158, "")</f>
        <v>4485.0498338870439</v>
      </c>
      <c r="M158" s="31">
        <v>310</v>
      </c>
      <c r="N158" s="32">
        <f t="shared" ref="N158:N161" si="85">IF(ISNUMBER(M158), (M158 - $B158) / $B158, "")</f>
        <v>2.9900332225913623E-2</v>
      </c>
      <c r="O158" s="18">
        <f>IF(ISNUMBER(M158), $B172 * N158, "")</f>
        <v>4485.0498338870439</v>
      </c>
      <c r="Q158" s="161"/>
      <c r="R158" s="161"/>
      <c r="S158" s="161"/>
    </row>
    <row r="159" spans="1:19" ht="17.25" thickBot="1">
      <c r="A159" s="109" t="s">
        <v>204</v>
      </c>
      <c r="B159" s="110">
        <v>209</v>
      </c>
      <c r="C159" s="70">
        <v>0</v>
      </c>
      <c r="D159" s="15">
        <v>210</v>
      </c>
      <c r="E159" s="32">
        <f t="shared" si="82"/>
        <v>4.7846889952153108E-3</v>
      </c>
      <c r="F159" s="18">
        <f>IF(ISNUMBER(D159), $B172 * E159, "")</f>
        <v>717.70334928229659</v>
      </c>
      <c r="G159" s="31">
        <v>210</v>
      </c>
      <c r="H159" s="32">
        <f t="shared" si="83"/>
        <v>4.7846889952153108E-3</v>
      </c>
      <c r="I159" s="91">
        <f>IF(ISNUMBER(G159), $B172 * H159, "")</f>
        <v>717.70334928229659</v>
      </c>
      <c r="J159" s="15">
        <v>210</v>
      </c>
      <c r="K159" s="32">
        <f t="shared" si="84"/>
        <v>4.7846889952153108E-3</v>
      </c>
      <c r="L159" s="18">
        <f>IF(ISNUMBER(J159), $B172 * K159, "")</f>
        <v>717.70334928229659</v>
      </c>
      <c r="M159" s="31">
        <v>210</v>
      </c>
      <c r="N159" s="32">
        <f t="shared" si="85"/>
        <v>4.7846889952153108E-3</v>
      </c>
      <c r="O159" s="18">
        <f>IF(ISNUMBER(M159), $B172 * N159, "")</f>
        <v>717.70334928229659</v>
      </c>
      <c r="Q159" s="161"/>
      <c r="R159" s="161"/>
      <c r="S159" s="161"/>
    </row>
    <row r="160" spans="1:19" ht="17.25" thickBot="1">
      <c r="A160" s="109" t="s">
        <v>68</v>
      </c>
      <c r="B160" s="110">
        <v>266</v>
      </c>
      <c r="C160" s="70">
        <v>0</v>
      </c>
      <c r="D160" s="15">
        <v>265</v>
      </c>
      <c r="E160" s="32">
        <f t="shared" si="82"/>
        <v>-3.7593984962406013E-3</v>
      </c>
      <c r="F160" s="18">
        <f>IF(ISNUMBER(D160), $B172 * E160, "")</f>
        <v>-563.90977443609017</v>
      </c>
      <c r="G160" s="31">
        <v>265</v>
      </c>
      <c r="H160" s="32">
        <f t="shared" si="83"/>
        <v>-3.7593984962406013E-3</v>
      </c>
      <c r="I160" s="91">
        <f>IF(ISNUMBER(G160), $B172 * H160, "")</f>
        <v>-563.90977443609017</v>
      </c>
      <c r="J160" s="15">
        <v>265</v>
      </c>
      <c r="K160" s="32">
        <f t="shared" si="84"/>
        <v>-3.7593984962406013E-3</v>
      </c>
      <c r="L160" s="18">
        <f>IF(ISNUMBER(J160), $B172 * K160, "")</f>
        <v>-563.90977443609017</v>
      </c>
      <c r="M160" s="31">
        <v>266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14" t="s">
        <v>222</v>
      </c>
      <c r="B161" s="115">
        <v>381</v>
      </c>
      <c r="C161" s="72">
        <v>-2.6178009999999999E-3</v>
      </c>
      <c r="D161" s="24">
        <v>405</v>
      </c>
      <c r="E161" s="25">
        <f t="shared" si="82"/>
        <v>6.2992125984251968E-2</v>
      </c>
      <c r="F161" s="94">
        <f>IF(ISNUMBER(D161), $B172 * E161, "")</f>
        <v>9448.8188976377951</v>
      </c>
      <c r="G161" s="92">
        <v>405</v>
      </c>
      <c r="H161" s="25">
        <f t="shared" si="83"/>
        <v>6.2992125984251968E-2</v>
      </c>
      <c r="I161" s="93">
        <f>IF(ISNUMBER(G161), $B172 * H161, "")</f>
        <v>9448.8188976377951</v>
      </c>
      <c r="J161" s="24">
        <v>405</v>
      </c>
      <c r="K161" s="25">
        <f t="shared" si="84"/>
        <v>6.2992125984251968E-2</v>
      </c>
      <c r="L161" s="94">
        <f>IF(ISNUMBER(J161), $B172 * K161, "")</f>
        <v>9448.8188976377951</v>
      </c>
      <c r="M161" s="92">
        <v>406</v>
      </c>
      <c r="N161" s="25">
        <f t="shared" si="85"/>
        <v>6.5616797900262466E-2</v>
      </c>
      <c r="O161" s="94">
        <f>IF(ISNUMBER(M161), $B172 * N161, "")</f>
        <v>9842.5196850393695</v>
      </c>
      <c r="Q161" s="170"/>
      <c r="R161" s="171"/>
      <c r="S161" s="172"/>
    </row>
    <row r="162" spans="1:19">
      <c r="A162" s="107" t="s">
        <v>346</v>
      </c>
      <c r="B162" s="108">
        <v>379</v>
      </c>
      <c r="C162" s="69">
        <v>-2.6315789000000002E-3</v>
      </c>
      <c r="D162" s="13">
        <v>378</v>
      </c>
      <c r="E162" s="14">
        <f>IF(ISNUMBER(D162), (D162 - $B162) / $B162, "")</f>
        <v>-2.6385224274406332E-3</v>
      </c>
      <c r="F162" s="16">
        <f>IF(ISNUMBER(D162), $B172 * E162, "")</f>
        <v>-395.77836411609496</v>
      </c>
      <c r="G162" s="29">
        <v>378</v>
      </c>
      <c r="H162" s="14">
        <f>IF(ISNUMBER(G162), (G162 - $B162) / $B162, "")</f>
        <v>-2.6385224274406332E-3</v>
      </c>
      <c r="I162" s="90">
        <f>IF(ISNUMBER(G162), $B172 * H162, "")</f>
        <v>-395.77836411609496</v>
      </c>
      <c r="J162" s="13">
        <v>378</v>
      </c>
      <c r="K162" s="14">
        <f>IF(ISNUMBER(J162), (J162 - $B162) / $B162, "")</f>
        <v>-2.6385224274406332E-3</v>
      </c>
      <c r="L162" s="16">
        <f>IF(ISNUMBER(J162), $B172 * K162, "")</f>
        <v>-395.77836411609496</v>
      </c>
      <c r="M162" s="29">
        <v>378</v>
      </c>
      <c r="N162" s="14">
        <f>IF(ISNUMBER(M162), (M162 - $B162) / $B162, "")</f>
        <v>-2.6385224274406332E-3</v>
      </c>
      <c r="O162" s="16">
        <f>IF(ISNUMBER(M162), $B172 * N162, "")</f>
        <v>-395.77836411609496</v>
      </c>
      <c r="Q162" s="173"/>
      <c r="R162" s="174"/>
      <c r="S162" s="175"/>
    </row>
    <row r="163" spans="1:19" ht="17.25" thickBot="1">
      <c r="A163" s="109" t="s">
        <v>218</v>
      </c>
      <c r="B163" s="110">
        <v>311</v>
      </c>
      <c r="C163" s="70">
        <v>-3.2051281999999999E-3</v>
      </c>
      <c r="D163" s="15">
        <v>322</v>
      </c>
      <c r="E163" s="32">
        <f t="shared" ref="E163:E166" si="86">IF(ISNUMBER(D163), (D163 - $B163) / $B163, "")</f>
        <v>3.5369774919614148E-2</v>
      </c>
      <c r="F163" s="18">
        <f>IF(ISNUMBER(D163), $B172 * E163, "")</f>
        <v>5305.4662379421225</v>
      </c>
      <c r="G163" s="31">
        <v>322</v>
      </c>
      <c r="H163" s="32">
        <f t="shared" ref="H163:H166" si="87">IF(ISNUMBER(G163), (G163 - $B163) / $B163, "")</f>
        <v>3.5369774919614148E-2</v>
      </c>
      <c r="I163" s="91">
        <f>IF(ISNUMBER(G163), $B172 * H163, "")</f>
        <v>5305.4662379421225</v>
      </c>
      <c r="J163" s="15">
        <v>322</v>
      </c>
      <c r="K163" s="32">
        <f t="shared" ref="K163:K166" si="88">IF(ISNUMBER(J163), (J163 - $B163) / $B163, "")</f>
        <v>3.5369774919614148E-2</v>
      </c>
      <c r="L163" s="18">
        <f>IF(ISNUMBER(J163), $B172 * K163, "")</f>
        <v>5305.4662379421225</v>
      </c>
      <c r="M163" s="31">
        <v>320</v>
      </c>
      <c r="N163" s="32">
        <f t="shared" ref="N163:N166" si="89">IF(ISNUMBER(M163), (M163 - $B163) / $B163, "")</f>
        <v>2.8938906752411574E-2</v>
      </c>
      <c r="O163" s="18">
        <f>IF(ISNUMBER(M163), $B172 * N163, "")</f>
        <v>4340.836012861736</v>
      </c>
      <c r="Q163" s="176"/>
      <c r="R163" s="177"/>
      <c r="S163" s="178"/>
    </row>
    <row r="164" spans="1:19" ht="17.25" thickBot="1">
      <c r="A164" s="109" t="s">
        <v>232</v>
      </c>
      <c r="B164" s="110">
        <v>258</v>
      </c>
      <c r="C164" s="70">
        <v>-3.8610038999999999E-3</v>
      </c>
      <c r="D164" s="15">
        <v>261</v>
      </c>
      <c r="E164" s="32">
        <f t="shared" si="86"/>
        <v>1.1627906976744186E-2</v>
      </c>
      <c r="F164" s="18">
        <f>IF(ISNUMBER(D164), $B172 * E164, "")</f>
        <v>1744.1860465116279</v>
      </c>
      <c r="G164" s="31">
        <v>261</v>
      </c>
      <c r="H164" s="32">
        <f t="shared" si="87"/>
        <v>1.1627906976744186E-2</v>
      </c>
      <c r="I164" s="91">
        <f>IF(ISNUMBER(G164), $B172 * H164, "")</f>
        <v>1744.1860465116279</v>
      </c>
      <c r="J164" s="15">
        <v>261</v>
      </c>
      <c r="K164" s="32">
        <f t="shared" si="88"/>
        <v>1.1627906976744186E-2</v>
      </c>
      <c r="L164" s="18">
        <f>IF(ISNUMBER(J164), $B172 * K164, "")</f>
        <v>1744.1860465116279</v>
      </c>
      <c r="M164" s="31">
        <v>261</v>
      </c>
      <c r="N164" s="32">
        <f t="shared" si="89"/>
        <v>1.1627906976744186E-2</v>
      </c>
      <c r="O164" s="18">
        <f>IF(ISNUMBER(M164), $B172 * N164, "")</f>
        <v>1744.1860465116279</v>
      </c>
      <c r="Q164" s="161"/>
      <c r="R164" s="161"/>
      <c r="S164" s="161"/>
    </row>
    <row r="165" spans="1:19" ht="17.25" thickBot="1">
      <c r="A165" s="109" t="s">
        <v>153</v>
      </c>
      <c r="B165" s="110">
        <v>344</v>
      </c>
      <c r="C165" s="70">
        <v>-5.7803467999999998E-3</v>
      </c>
      <c r="D165" s="15">
        <v>348</v>
      </c>
      <c r="E165" s="32">
        <f t="shared" si="86"/>
        <v>1.1627906976744186E-2</v>
      </c>
      <c r="F165" s="18">
        <f>IF(ISNUMBER(D165), $B172 * E165, "")</f>
        <v>1744.1860465116279</v>
      </c>
      <c r="G165" s="31">
        <v>348</v>
      </c>
      <c r="H165" s="32">
        <f t="shared" si="87"/>
        <v>1.1627906976744186E-2</v>
      </c>
      <c r="I165" s="91">
        <f>IF(ISNUMBER(G165), $B172 * H165, "")</f>
        <v>1744.1860465116279</v>
      </c>
      <c r="J165" s="15">
        <v>348</v>
      </c>
      <c r="K165" s="32">
        <f t="shared" si="88"/>
        <v>1.1627906976744186E-2</v>
      </c>
      <c r="L165" s="18">
        <f>IF(ISNUMBER(J165), $B172 * K165, "")</f>
        <v>1744.1860465116279</v>
      </c>
      <c r="M165" s="31">
        <v>347</v>
      </c>
      <c r="N165" s="32">
        <f t="shared" si="89"/>
        <v>8.7209302325581394E-3</v>
      </c>
      <c r="O165" s="18">
        <f>IF(ISNUMBER(M165), $B172 * N165, "")</f>
        <v>1308.1395348837209</v>
      </c>
      <c r="Q165" s="156"/>
      <c r="R165" s="156"/>
      <c r="S165" s="156"/>
    </row>
    <row r="166" spans="1:19" ht="17.25" thickBot="1">
      <c r="A166" s="111" t="s">
        <v>189</v>
      </c>
      <c r="B166" s="112">
        <v>991</v>
      </c>
      <c r="C166" s="71">
        <v>-6.0180542000000002E-3</v>
      </c>
      <c r="D166" s="20">
        <v>990</v>
      </c>
      <c r="E166" s="21">
        <f t="shared" si="86"/>
        <v>-1.0090817356205853E-3</v>
      </c>
      <c r="F166" s="22">
        <f>IF(ISNUMBER(D166), $B172 * E166, "")</f>
        <v>-151.3622603430878</v>
      </c>
      <c r="G166" s="30">
        <v>990</v>
      </c>
      <c r="H166" s="21">
        <f t="shared" si="87"/>
        <v>-1.0090817356205853E-3</v>
      </c>
      <c r="I166" s="95">
        <f>IF(ISNUMBER(G166), $B172 * H166, "")</f>
        <v>-151.3622603430878</v>
      </c>
      <c r="J166" s="20">
        <v>990</v>
      </c>
      <c r="K166" s="21">
        <f t="shared" si="88"/>
        <v>-1.0090817356205853E-3</v>
      </c>
      <c r="L166" s="22">
        <f>IF(ISNUMBER(J166), $B172 * K166, "")</f>
        <v>-151.3622603430878</v>
      </c>
      <c r="M166" s="30">
        <v>987</v>
      </c>
      <c r="N166" s="21">
        <f t="shared" si="89"/>
        <v>-4.0363269424823411E-3</v>
      </c>
      <c r="O166" s="22">
        <f>IF(ISNUMBER(M166), $B172 * N166, "")</f>
        <v>-605.44904137235119</v>
      </c>
      <c r="Q166" s="156"/>
      <c r="R166" s="156"/>
      <c r="S166" s="156"/>
    </row>
    <row r="167" spans="1:19" ht="17.25" thickBot="1">
      <c r="A167" s="109" t="s">
        <v>85</v>
      </c>
      <c r="B167" s="113">
        <v>145</v>
      </c>
      <c r="C167" s="73">
        <v>-6.8493151000000004E-3</v>
      </c>
      <c r="D167" s="96">
        <v>145</v>
      </c>
      <c r="E167" s="97">
        <f>IF(ISNUMBER(D167), (D167 - $B167) / $B167, "")</f>
        <v>0</v>
      </c>
      <c r="F167" s="98">
        <f>IF(ISNUMBER(D167), $B172 * E167, "")</f>
        <v>0</v>
      </c>
      <c r="G167" s="99">
        <v>145</v>
      </c>
      <c r="H167" s="97">
        <f>IF(ISNUMBER(G167), (G167 - $B167) / $B167, "")</f>
        <v>0</v>
      </c>
      <c r="I167" s="100">
        <f>IF(ISNUMBER(G167), $B172 * H167, "")</f>
        <v>0</v>
      </c>
      <c r="J167" s="96">
        <v>145</v>
      </c>
      <c r="K167" s="97">
        <f>IF(ISNUMBER(J167), (J167 - $B167) / $B167, "")</f>
        <v>0</v>
      </c>
      <c r="L167" s="98">
        <f>IF(ISNUMBER(J167), $B172 * K167, "")</f>
        <v>0</v>
      </c>
      <c r="M167" s="99">
        <v>146</v>
      </c>
      <c r="N167" s="97">
        <f>IF(ISNUMBER(M167), (M167 - $B167) / $B167, "")</f>
        <v>6.8965517241379309E-3</v>
      </c>
      <c r="O167" s="98">
        <f>IF(ISNUMBER(M167), $B172 * N167, "")</f>
        <v>1034.4827586206895</v>
      </c>
      <c r="Q167" s="161"/>
      <c r="R167" s="161"/>
      <c r="S167" s="161"/>
    </row>
    <row r="168" spans="1:19" ht="17.25" thickBot="1">
      <c r="A168" s="109" t="s">
        <v>340</v>
      </c>
      <c r="B168" s="110">
        <v>512</v>
      </c>
      <c r="C168" s="70">
        <v>-7.7519379999999999E-3</v>
      </c>
      <c r="D168" s="15">
        <v>521</v>
      </c>
      <c r="E168" s="32">
        <f t="shared" ref="E168:E171" si="90">IF(ISNUMBER(D168), (D168 - $B168) / $B168, "")</f>
        <v>1.7578125E-2</v>
      </c>
      <c r="F168" s="18">
        <f>IF(ISNUMBER(D168), $B172 * E168, "")</f>
        <v>2636.71875</v>
      </c>
      <c r="G168" s="31">
        <v>521</v>
      </c>
      <c r="H168" s="32">
        <f t="shared" ref="H168:H171" si="91">IF(ISNUMBER(G168), (G168 - $B168) / $B168, "")</f>
        <v>1.7578125E-2</v>
      </c>
      <c r="I168" s="91">
        <f>IF(ISNUMBER(G168), $B172 * H168, "")</f>
        <v>2636.71875</v>
      </c>
      <c r="J168" s="15">
        <v>521</v>
      </c>
      <c r="K168" s="32">
        <f t="shared" ref="K168:K171" si="92">IF(ISNUMBER(J168), (J168 - $B168) / $B168, "")</f>
        <v>1.7578125E-2</v>
      </c>
      <c r="L168" s="18">
        <f>IF(ISNUMBER(J168), $B172 * K168, "")</f>
        <v>2636.71875</v>
      </c>
      <c r="M168" s="31">
        <v>521</v>
      </c>
      <c r="N168" s="32">
        <f t="shared" ref="N168:N171" si="93">IF(ISNUMBER(M168), (M168 - $B168) / $B168, "")</f>
        <v>1.7578125E-2</v>
      </c>
      <c r="O168" s="18">
        <f>IF(ISNUMBER(M168), $B172 * N168, "")</f>
        <v>2636.71875</v>
      </c>
      <c r="Q168" s="161"/>
      <c r="R168" s="161"/>
      <c r="S168" s="161"/>
    </row>
    <row r="169" spans="1:19" ht="17.25" thickBot="1">
      <c r="A169" s="109" t="s">
        <v>332</v>
      </c>
      <c r="B169" s="110">
        <v>222</v>
      </c>
      <c r="C169" s="70">
        <v>-8.9285713999999999E-3</v>
      </c>
      <c r="D169" s="15">
        <v>220</v>
      </c>
      <c r="E169" s="32">
        <f t="shared" si="90"/>
        <v>-9.0090090090090089E-3</v>
      </c>
      <c r="F169" s="18">
        <f>IF(ISNUMBER(D169), $B172 * E169, "")</f>
        <v>-1351.3513513513512</v>
      </c>
      <c r="G169" s="31">
        <v>220</v>
      </c>
      <c r="H169" s="32">
        <f t="shared" si="91"/>
        <v>-9.0090090090090089E-3</v>
      </c>
      <c r="I169" s="91">
        <f>IF(ISNUMBER(G169), $B172 * H169, "")</f>
        <v>-1351.3513513513512</v>
      </c>
      <c r="J169" s="15">
        <v>220</v>
      </c>
      <c r="K169" s="32">
        <f t="shared" si="92"/>
        <v>-9.0090090090090089E-3</v>
      </c>
      <c r="L169" s="18">
        <f>IF(ISNUMBER(J169), $B172 * K169, "")</f>
        <v>-1351.3513513513512</v>
      </c>
      <c r="M169" s="31">
        <v>220</v>
      </c>
      <c r="N169" s="32">
        <f t="shared" si="93"/>
        <v>-9.0090090090090089E-3</v>
      </c>
      <c r="O169" s="18">
        <f>IF(ISNUMBER(M169), $B172 * N169, "")</f>
        <v>-1351.3513513513512</v>
      </c>
      <c r="Q169" s="161"/>
      <c r="R169" s="161"/>
      <c r="S169" s="161"/>
    </row>
    <row r="170" spans="1:19">
      <c r="A170" s="109" t="s">
        <v>101</v>
      </c>
      <c r="B170" s="110">
        <v>211</v>
      </c>
      <c r="C170" s="70">
        <v>-9.3896714000000006E-3</v>
      </c>
      <c r="D170" s="15">
        <v>210</v>
      </c>
      <c r="E170" s="32">
        <f t="shared" si="90"/>
        <v>-4.7393364928909956E-3</v>
      </c>
      <c r="F170" s="18">
        <f>IF(ISNUMBER(D170), $B172 * E170, "")</f>
        <v>-710.90047393364932</v>
      </c>
      <c r="G170" s="31">
        <v>210</v>
      </c>
      <c r="H170" s="32">
        <f t="shared" si="91"/>
        <v>-4.7393364928909956E-3</v>
      </c>
      <c r="I170" s="91">
        <f>IF(ISNUMBER(G170), $B172 * H170, "")</f>
        <v>-710.90047393364932</v>
      </c>
      <c r="J170" s="15">
        <v>210</v>
      </c>
      <c r="K170" s="32">
        <f t="shared" si="92"/>
        <v>-4.7393364928909956E-3</v>
      </c>
      <c r="L170" s="18">
        <f>IF(ISNUMBER(J170), $B172 * K170, "")</f>
        <v>-710.90047393364932</v>
      </c>
      <c r="M170" s="31">
        <v>210</v>
      </c>
      <c r="N170" s="32">
        <f t="shared" si="93"/>
        <v>-4.7393364928909956E-3</v>
      </c>
      <c r="O170" s="18">
        <f>IF(ISNUMBER(M170), $B172 * N170, "")</f>
        <v>-710.90047393364932</v>
      </c>
      <c r="Q170" s="183"/>
      <c r="R170" s="184"/>
      <c r="S170" s="185"/>
    </row>
    <row r="171" spans="1:19" ht="17.25" thickBot="1">
      <c r="A171" s="114" t="s">
        <v>349</v>
      </c>
      <c r="B171" s="115">
        <v>636</v>
      </c>
      <c r="C171" s="72">
        <v>-1.08864697E-2</v>
      </c>
      <c r="D171" s="24">
        <v>634</v>
      </c>
      <c r="E171" s="25">
        <f t="shared" si="90"/>
        <v>-3.1446540880503146E-3</v>
      </c>
      <c r="F171" s="94">
        <f>IF(ISNUMBER(D171), $B172 * E171, "")</f>
        <v>-471.69811320754718</v>
      </c>
      <c r="G171" s="92">
        <v>634</v>
      </c>
      <c r="H171" s="25">
        <f t="shared" si="91"/>
        <v>-3.1446540880503146E-3</v>
      </c>
      <c r="I171" s="93">
        <f>IF(ISNUMBER(G171), $B172 * H171, "")</f>
        <v>-471.69811320754718</v>
      </c>
      <c r="J171" s="24">
        <v>634</v>
      </c>
      <c r="K171" s="25">
        <f t="shared" si="92"/>
        <v>-3.1446540880503146E-3</v>
      </c>
      <c r="L171" s="94">
        <f>IF(ISNUMBER(J171), $B172 * K171, "")</f>
        <v>-471.69811320754718</v>
      </c>
      <c r="M171" s="92">
        <v>634</v>
      </c>
      <c r="N171" s="25">
        <f t="shared" si="93"/>
        <v>-3.1446540880503146E-3</v>
      </c>
      <c r="O171" s="94">
        <f>IF(ISNUMBER(M171), $B172 * N171, "")</f>
        <v>-471.69811320754718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1.1565284706979866E-2</v>
      </c>
      <c r="F172" s="28">
        <f>SUM(F152:F171)</f>
        <v>34695.854120939592</v>
      </c>
      <c r="G172" s="26" t="s">
        <v>261</v>
      </c>
      <c r="H172" s="27">
        <f>IF(COUNT(H152:H171), SUM(H152:H171) / COUNT(H152:H171), 0)</f>
        <v>1.1565284706979866E-2</v>
      </c>
      <c r="I172" s="28">
        <f>SUM(I152:I171)</f>
        <v>34695.854120939592</v>
      </c>
      <c r="J172" s="26" t="s">
        <v>261</v>
      </c>
      <c r="K172" s="27">
        <f>IF(COUNT(K152:K171), SUM(K152:K171) / COUNT(K152:K171), 0)</f>
        <v>1.1565284706979866E-2</v>
      </c>
      <c r="L172" s="28">
        <f>SUM(L152:L171)</f>
        <v>34695.854120939592</v>
      </c>
      <c r="M172" s="26" t="s">
        <v>261</v>
      </c>
      <c r="N172" s="27">
        <f>IF(COUNT(N152:N171), SUM(N152:N171) / COUNT(N152:N171), 0)</f>
        <v>1.1745131005396585E-2</v>
      </c>
      <c r="O172" s="28">
        <f>SUM(O152:O171)</f>
        <v>35235.393016189744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2022-12-24(토) 오전 00:00</v>
      </c>
      <c r="C177" s="199"/>
      <c r="D177" s="158" t="str">
        <f>TEXT($G$1, "[$-ko-KR]yyyy-mm-dd(ddd) ") &amp; "오후 14:00"</f>
        <v>2022-12-24(토) 오후 14:00</v>
      </c>
      <c r="E177" s="159"/>
      <c r="F177" s="160"/>
      <c r="G177" s="158" t="str">
        <f>TEXT($G$1, "[$-ko-KR]yyyy-mm-dd(ddd) ") &amp; "오후 19:00"</f>
        <v>2022-12-24(토) 오후 19:00</v>
      </c>
      <c r="H177" s="159"/>
      <c r="I177" s="160"/>
      <c r="J177" s="158" t="str">
        <f>TEXT($G$1, "[$-ko-KR]yyyy-mm-dd(ddd) ") &amp; "오후 21:00"</f>
        <v>2022-12-24(토) 오후 21:00</v>
      </c>
      <c r="K177" s="159"/>
      <c r="L177" s="160"/>
      <c r="M177" s="158" t="str">
        <f>TEXT($G$1+1, "[$-ko-KR]yyyy-mm-dd(ddd) ") &amp; "오전 00:00"</f>
        <v>2022-12-25(일)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113</v>
      </c>
      <c r="B179" s="108">
        <v>1360</v>
      </c>
      <c r="C179" s="69">
        <v>-3.6630037E-3</v>
      </c>
      <c r="D179" s="13">
        <v>1350</v>
      </c>
      <c r="E179" s="14">
        <f>IF(ISNUMBER(D179), (D179 - $B179) / $B179, "")</f>
        <v>-7.3529411764705881E-3</v>
      </c>
      <c r="F179" s="16">
        <f>IF(ISNUMBER(D179), $B199 * E179, "")</f>
        <v>-1102.9411764705883</v>
      </c>
      <c r="G179" s="29">
        <v>1350</v>
      </c>
      <c r="H179" s="14">
        <f>IF(ISNUMBER(G179), (G179 - $B179) / $B179, "")</f>
        <v>-7.3529411764705881E-3</v>
      </c>
      <c r="I179" s="90">
        <f>IF(ISNUMBER(G179), $B199 * H179, "")</f>
        <v>-1102.9411764705883</v>
      </c>
      <c r="J179" s="13">
        <v>1350</v>
      </c>
      <c r="K179" s="14">
        <f>IF(ISNUMBER(J179), (J179 - $B179) / $B179, "")</f>
        <v>-7.3529411764705881E-3</v>
      </c>
      <c r="L179" s="16">
        <f>IF(ISNUMBER(J179), $B199 * K179, "")</f>
        <v>-1102.9411764705883</v>
      </c>
      <c r="M179" s="29">
        <v>1355</v>
      </c>
      <c r="N179" s="14">
        <f>IF(ISNUMBER(M179), (M179 - $B179) / $B179, "")</f>
        <v>-3.6764705882352941E-3</v>
      </c>
      <c r="O179" s="16">
        <f>IF(ISNUMBER(M179), $B199 * N179, "")</f>
        <v>-551.47058823529414</v>
      </c>
      <c r="Q179" s="156"/>
      <c r="R179" s="156"/>
      <c r="S179" s="156"/>
    </row>
    <row r="180" spans="1:19" ht="17.25" thickBot="1">
      <c r="A180" s="109" t="s">
        <v>232</v>
      </c>
      <c r="B180" s="110">
        <v>258</v>
      </c>
      <c r="C180" s="70">
        <v>-3.8610038999999999E-3</v>
      </c>
      <c r="D180" s="15">
        <v>261</v>
      </c>
      <c r="E180" s="32">
        <f t="shared" ref="E180:E183" si="94">IF(ISNUMBER(D180), (D180 - $B180) / $B180, "")</f>
        <v>1.1627906976744186E-2</v>
      </c>
      <c r="F180" s="18">
        <f>IF(ISNUMBER(D180), $B199 * E180, "")</f>
        <v>1744.1860465116279</v>
      </c>
      <c r="G180" s="31">
        <v>261</v>
      </c>
      <c r="H180" s="32">
        <f t="shared" ref="H180:H183" si="95">IF(ISNUMBER(G180), (G180 - $B180) / $B180, "")</f>
        <v>1.1627906976744186E-2</v>
      </c>
      <c r="I180" s="91">
        <f>IF(ISNUMBER(G180), $B199 * H180, "")</f>
        <v>1744.1860465116279</v>
      </c>
      <c r="J180" s="15">
        <v>261</v>
      </c>
      <c r="K180" s="32">
        <f t="shared" ref="K180:K183" si="96">IF(ISNUMBER(J180), (J180 - $B180) / $B180, "")</f>
        <v>1.1627906976744186E-2</v>
      </c>
      <c r="L180" s="18">
        <f>IF(ISNUMBER(J180), $B199 * K180, "")</f>
        <v>1744.1860465116279</v>
      </c>
      <c r="M180" s="31">
        <v>261</v>
      </c>
      <c r="N180" s="32">
        <f t="shared" ref="N180:N183" si="97">IF(ISNUMBER(M180), (M180 - $B180) / $B180, "")</f>
        <v>1.1627906976744186E-2</v>
      </c>
      <c r="O180" s="18">
        <f>IF(ISNUMBER(M180), $B199 * N180, "")</f>
        <v>1744.1860465116279</v>
      </c>
      <c r="Q180" s="156"/>
      <c r="R180" s="156"/>
      <c r="S180" s="156"/>
    </row>
    <row r="181" spans="1:19" ht="17.25" thickBot="1">
      <c r="A181" s="109" t="s">
        <v>126</v>
      </c>
      <c r="B181" s="110">
        <v>23.5</v>
      </c>
      <c r="C181" s="70">
        <v>-4.2372881000000001E-3</v>
      </c>
      <c r="D181" s="15">
        <v>23.6</v>
      </c>
      <c r="E181" s="32">
        <f t="shared" si="94"/>
        <v>4.255319148936231E-3</v>
      </c>
      <c r="F181" s="18">
        <f>IF(ISNUMBER(D181), $B199 * E181, "")</f>
        <v>638.29787234043465</v>
      </c>
      <c r="G181" s="31">
        <v>23.6</v>
      </c>
      <c r="H181" s="32">
        <f t="shared" si="95"/>
        <v>4.255319148936231E-3</v>
      </c>
      <c r="I181" s="91">
        <f>IF(ISNUMBER(G181), $B199 * H181, "")</f>
        <v>638.29787234043465</v>
      </c>
      <c r="J181" s="15">
        <v>23.6</v>
      </c>
      <c r="K181" s="32">
        <f t="shared" si="96"/>
        <v>4.255319148936231E-3</v>
      </c>
      <c r="L181" s="18">
        <f>IF(ISNUMBER(J181), $B199 * K181, "")</f>
        <v>638.29787234043465</v>
      </c>
      <c r="M181" s="31">
        <v>23.5</v>
      </c>
      <c r="N181" s="32">
        <f t="shared" si="97"/>
        <v>0</v>
      </c>
      <c r="O181" s="18">
        <f>IF(ISNUMBER(M181), $B199 * N181, "")</f>
        <v>0</v>
      </c>
      <c r="Q181" s="161"/>
      <c r="R181" s="161"/>
      <c r="S181" s="161"/>
    </row>
    <row r="182" spans="1:19" ht="17.25" thickBot="1">
      <c r="A182" s="109" t="s">
        <v>99</v>
      </c>
      <c r="B182" s="110">
        <v>21340</v>
      </c>
      <c r="C182" s="70">
        <v>-4.6641790999999997E-3</v>
      </c>
      <c r="D182" s="15">
        <v>21380</v>
      </c>
      <c r="E182" s="32">
        <f t="shared" si="94"/>
        <v>1.8744142455482662E-3</v>
      </c>
      <c r="F182" s="18">
        <f>IF(ISNUMBER(D182), $B199 * E182, "")</f>
        <v>281.16213683223992</v>
      </c>
      <c r="G182" s="31">
        <v>21380</v>
      </c>
      <c r="H182" s="32">
        <f t="shared" si="95"/>
        <v>1.8744142455482662E-3</v>
      </c>
      <c r="I182" s="91">
        <f>IF(ISNUMBER(G182), $B199 * H182, "")</f>
        <v>281.16213683223992</v>
      </c>
      <c r="J182" s="15">
        <v>21380</v>
      </c>
      <c r="K182" s="32">
        <f t="shared" si="96"/>
        <v>1.8744142455482662E-3</v>
      </c>
      <c r="L182" s="18">
        <f>IF(ISNUMBER(J182), $B199 * K182, "")</f>
        <v>281.16213683223992</v>
      </c>
      <c r="M182" s="31">
        <v>21370</v>
      </c>
      <c r="N182" s="32">
        <f t="shared" si="97"/>
        <v>1.4058106841611997E-3</v>
      </c>
      <c r="O182" s="18">
        <f>IF(ISNUMBER(M182), $B199 * N182, "")</f>
        <v>210.87160262417996</v>
      </c>
      <c r="Q182" s="161"/>
      <c r="R182" s="161"/>
      <c r="S182" s="161"/>
    </row>
    <row r="183" spans="1:19" ht="17.25" thickBot="1">
      <c r="A183" s="111" t="s">
        <v>95</v>
      </c>
      <c r="B183" s="112">
        <v>1045</v>
      </c>
      <c r="C183" s="71">
        <v>-4.7619048000000002E-3</v>
      </c>
      <c r="D183" s="20">
        <v>1045</v>
      </c>
      <c r="E183" s="21">
        <f t="shared" si="94"/>
        <v>0</v>
      </c>
      <c r="F183" s="22">
        <f>IF(ISNUMBER(D183), $B199 * E183, "")</f>
        <v>0</v>
      </c>
      <c r="G183" s="30">
        <v>1045</v>
      </c>
      <c r="H183" s="21">
        <f t="shared" si="95"/>
        <v>0</v>
      </c>
      <c r="I183" s="95">
        <f>IF(ISNUMBER(G183), $B199 * H183, "")</f>
        <v>0</v>
      </c>
      <c r="J183" s="20">
        <v>1045</v>
      </c>
      <c r="K183" s="21">
        <f t="shared" si="96"/>
        <v>0</v>
      </c>
      <c r="L183" s="22">
        <f>IF(ISNUMBER(J183), $B199 * K183, "")</f>
        <v>0</v>
      </c>
      <c r="M183" s="30">
        <v>1050</v>
      </c>
      <c r="N183" s="21">
        <f t="shared" si="97"/>
        <v>4.7846889952153108E-3</v>
      </c>
      <c r="O183" s="22">
        <f>IF(ISNUMBER(M183), $B199 * N183, "")</f>
        <v>717.70334928229659</v>
      </c>
      <c r="Q183" s="161"/>
      <c r="R183" s="161"/>
      <c r="S183" s="161"/>
    </row>
    <row r="184" spans="1:19" ht="17.25" thickBot="1">
      <c r="A184" s="109" t="s">
        <v>62</v>
      </c>
      <c r="B184" s="113">
        <v>8345</v>
      </c>
      <c r="C184" s="73">
        <v>-4.7704234000000003E-3</v>
      </c>
      <c r="D184" s="96">
        <v>8360</v>
      </c>
      <c r="E184" s="97">
        <f>IF(ISNUMBER(D184), (D184 - $B184) / $B184, "")</f>
        <v>1.7974835230677051E-3</v>
      </c>
      <c r="F184" s="98">
        <f>IF(ISNUMBER(D184), $B199 * E184, "")</f>
        <v>269.62252846015576</v>
      </c>
      <c r="G184" s="99">
        <v>8360</v>
      </c>
      <c r="H184" s="97">
        <f>IF(ISNUMBER(G184), (G184 - $B184) / $B184, "")</f>
        <v>1.7974835230677051E-3</v>
      </c>
      <c r="I184" s="100">
        <f>IF(ISNUMBER(G184), $B199 * H184, "")</f>
        <v>269.62252846015576</v>
      </c>
      <c r="J184" s="96">
        <v>8360</v>
      </c>
      <c r="K184" s="97">
        <f>IF(ISNUMBER(J184), (J184 - $B184) / $B184, "")</f>
        <v>1.7974835230677051E-3</v>
      </c>
      <c r="L184" s="98">
        <f>IF(ISNUMBER(J184), $B199 * K184, "")</f>
        <v>269.62252846015576</v>
      </c>
      <c r="M184" s="99">
        <v>8335</v>
      </c>
      <c r="N184" s="97">
        <f>IF(ISNUMBER(M184), (M184 - $B184) / $B184, "")</f>
        <v>-1.1983223487118035E-3</v>
      </c>
      <c r="O184" s="98">
        <f>IF(ISNUMBER(M184), $B199 * N184, "")</f>
        <v>-179.74835230677053</v>
      </c>
      <c r="Q184" s="161"/>
      <c r="R184" s="161"/>
      <c r="S184" s="161"/>
    </row>
    <row r="185" spans="1:19" ht="17.25" thickBot="1">
      <c r="A185" s="109" t="s">
        <v>109</v>
      </c>
      <c r="B185" s="110">
        <v>1020</v>
      </c>
      <c r="C185" s="70">
        <v>-4.8780487999999997E-3</v>
      </c>
      <c r="D185" s="15">
        <v>1015</v>
      </c>
      <c r="E185" s="32">
        <f t="shared" ref="E185:E188" si="98">IF(ISNUMBER(D185), (D185 - $B185) / $B185, "")</f>
        <v>-4.9019607843137254E-3</v>
      </c>
      <c r="F185" s="18">
        <f>IF(ISNUMBER(D185), $B199 * E185, "")</f>
        <v>-735.29411764705878</v>
      </c>
      <c r="G185" s="31">
        <v>1015</v>
      </c>
      <c r="H185" s="32">
        <f t="shared" ref="H185:H188" si="99">IF(ISNUMBER(G185), (G185 - $B185) / $B185, "")</f>
        <v>-4.9019607843137254E-3</v>
      </c>
      <c r="I185" s="91">
        <f>IF(ISNUMBER(G185), $B199 * H185, "")</f>
        <v>-735.29411764705878</v>
      </c>
      <c r="J185" s="15">
        <v>1015</v>
      </c>
      <c r="K185" s="32">
        <f t="shared" ref="K185:K188" si="100">IF(ISNUMBER(J185), (J185 - $B185) / $B185, "")</f>
        <v>-4.9019607843137254E-3</v>
      </c>
      <c r="L185" s="18">
        <f>IF(ISNUMBER(J185), $B199 * K185, "")</f>
        <v>-735.29411764705878</v>
      </c>
      <c r="M185" s="31">
        <v>1010</v>
      </c>
      <c r="N185" s="32">
        <f t="shared" ref="N185:N188" si="101">IF(ISNUMBER(M185), (M185 - $B185) / $B185, "")</f>
        <v>-9.8039215686274508E-3</v>
      </c>
      <c r="O185" s="18">
        <f>IF(ISNUMBER(M185), $B199 * N185, "")</f>
        <v>-1470.5882352941176</v>
      </c>
      <c r="Q185" s="161"/>
      <c r="R185" s="161"/>
      <c r="S185" s="161"/>
    </row>
    <row r="186" spans="1:19" ht="17.25" thickBot="1">
      <c r="A186" s="109" t="s">
        <v>153</v>
      </c>
      <c r="B186" s="110">
        <v>344</v>
      </c>
      <c r="C186" s="70">
        <v>-5.7803467999999998E-3</v>
      </c>
      <c r="D186" s="15">
        <v>348</v>
      </c>
      <c r="E186" s="32">
        <f t="shared" si="98"/>
        <v>1.1627906976744186E-2</v>
      </c>
      <c r="F186" s="18">
        <f>IF(ISNUMBER(D186), $B199 * E186, "")</f>
        <v>1744.1860465116279</v>
      </c>
      <c r="G186" s="31">
        <v>348</v>
      </c>
      <c r="H186" s="32">
        <f t="shared" si="99"/>
        <v>1.1627906976744186E-2</v>
      </c>
      <c r="I186" s="91">
        <f>IF(ISNUMBER(G186), $B199 * H186, "")</f>
        <v>1744.1860465116279</v>
      </c>
      <c r="J186" s="15">
        <v>348</v>
      </c>
      <c r="K186" s="32">
        <f t="shared" si="100"/>
        <v>1.1627906976744186E-2</v>
      </c>
      <c r="L186" s="18">
        <f>IF(ISNUMBER(J186), $B199 * K186, "")</f>
        <v>1744.1860465116279</v>
      </c>
      <c r="M186" s="31">
        <v>347</v>
      </c>
      <c r="N186" s="32">
        <f t="shared" si="101"/>
        <v>8.7209302325581394E-3</v>
      </c>
      <c r="O186" s="18">
        <f>IF(ISNUMBER(M186), $B199 * N186, "")</f>
        <v>1308.1395348837209</v>
      </c>
      <c r="Q186" s="161"/>
      <c r="R186" s="161"/>
      <c r="S186" s="161"/>
    </row>
    <row r="187" spans="1:19" ht="17.25" thickBot="1">
      <c r="A187" s="109" t="s">
        <v>189</v>
      </c>
      <c r="B187" s="110">
        <v>991</v>
      </c>
      <c r="C187" s="70">
        <v>-6.0180542000000002E-3</v>
      </c>
      <c r="D187" s="15">
        <v>990</v>
      </c>
      <c r="E187" s="32">
        <f t="shared" si="98"/>
        <v>-1.0090817356205853E-3</v>
      </c>
      <c r="F187" s="18">
        <f>IF(ISNUMBER(D187), $B199 * E187, "")</f>
        <v>-151.3622603430878</v>
      </c>
      <c r="G187" s="31">
        <v>990</v>
      </c>
      <c r="H187" s="32">
        <f t="shared" si="99"/>
        <v>-1.0090817356205853E-3</v>
      </c>
      <c r="I187" s="91">
        <f>IF(ISNUMBER(G187), $B199 * H187, "")</f>
        <v>-151.3622603430878</v>
      </c>
      <c r="J187" s="15">
        <v>990</v>
      </c>
      <c r="K187" s="32">
        <f t="shared" si="100"/>
        <v>-1.0090817356205853E-3</v>
      </c>
      <c r="L187" s="18">
        <f>IF(ISNUMBER(J187), $B199 * K187, "")</f>
        <v>-151.3622603430878</v>
      </c>
      <c r="M187" s="31">
        <v>987</v>
      </c>
      <c r="N187" s="32">
        <f t="shared" si="101"/>
        <v>-4.0363269424823411E-3</v>
      </c>
      <c r="O187" s="18">
        <f>IF(ISNUMBER(M187), $B199 * N187, "")</f>
        <v>-605.44904137235119</v>
      </c>
      <c r="Q187" s="33"/>
      <c r="R187" s="33"/>
    </row>
    <row r="188" spans="1:19" ht="17.25" thickBot="1">
      <c r="A188" s="114" t="s">
        <v>85</v>
      </c>
      <c r="B188" s="115">
        <v>145</v>
      </c>
      <c r="C188" s="72">
        <v>-6.8493151000000004E-3</v>
      </c>
      <c r="D188" s="24">
        <v>145</v>
      </c>
      <c r="E188" s="25">
        <f t="shared" si="98"/>
        <v>0</v>
      </c>
      <c r="F188" s="94">
        <f>IF(ISNUMBER(D188), $B199 * E188, "")</f>
        <v>0</v>
      </c>
      <c r="G188" s="92">
        <v>145</v>
      </c>
      <c r="H188" s="25">
        <f t="shared" si="99"/>
        <v>0</v>
      </c>
      <c r="I188" s="93">
        <f>IF(ISNUMBER(G188), $B199 * H188, "")</f>
        <v>0</v>
      </c>
      <c r="J188" s="24">
        <v>145</v>
      </c>
      <c r="K188" s="25">
        <f t="shared" si="100"/>
        <v>0</v>
      </c>
      <c r="L188" s="94">
        <f>IF(ISNUMBER(J188), $B199 * K188, "")</f>
        <v>0</v>
      </c>
      <c r="M188" s="92">
        <v>146</v>
      </c>
      <c r="N188" s="25">
        <f t="shared" si="101"/>
        <v>6.8965517241379309E-3</v>
      </c>
      <c r="O188" s="94">
        <f>IF(ISNUMBER(M188), $B199 * N188, "")</f>
        <v>1034.4827586206895</v>
      </c>
      <c r="Q188" s="170"/>
      <c r="R188" s="171"/>
      <c r="S188" s="172"/>
    </row>
    <row r="189" spans="1:19">
      <c r="A189" s="107" t="s">
        <v>340</v>
      </c>
      <c r="B189" s="108">
        <v>512</v>
      </c>
      <c r="C189" s="69">
        <v>-7.7519379999999999E-3</v>
      </c>
      <c r="D189" s="13">
        <v>521</v>
      </c>
      <c r="E189" s="14">
        <f>IF(ISNUMBER(D189), (D189 - $B189) / $B189, "")</f>
        <v>1.7578125E-2</v>
      </c>
      <c r="F189" s="16">
        <f>IF(ISNUMBER(D189), $B199 * E189, "")</f>
        <v>2636.71875</v>
      </c>
      <c r="G189" s="29">
        <v>521</v>
      </c>
      <c r="H189" s="14">
        <f>IF(ISNUMBER(G189), (G189 - $B189) / $B189, "")</f>
        <v>1.7578125E-2</v>
      </c>
      <c r="I189" s="90">
        <f>IF(ISNUMBER(G189), $B199 * H189, "")</f>
        <v>2636.71875</v>
      </c>
      <c r="J189" s="13">
        <v>521</v>
      </c>
      <c r="K189" s="14">
        <f>IF(ISNUMBER(J189), (J189 - $B189) / $B189, "")</f>
        <v>1.7578125E-2</v>
      </c>
      <c r="L189" s="16">
        <f>IF(ISNUMBER(J189), $B199 * K189, "")</f>
        <v>2636.71875</v>
      </c>
      <c r="M189" s="29">
        <v>521</v>
      </c>
      <c r="N189" s="14">
        <f>IF(ISNUMBER(M189), (M189 - $B189) / $B189, "")</f>
        <v>1.7578125E-2</v>
      </c>
      <c r="O189" s="16">
        <f>IF(ISNUMBER(M189), $B199 * N189, "")</f>
        <v>2636.71875</v>
      </c>
      <c r="Q189" s="173"/>
      <c r="R189" s="174"/>
      <c r="S189" s="175"/>
    </row>
    <row r="190" spans="1:19" ht="17.25" thickBot="1">
      <c r="A190" s="109" t="s">
        <v>332</v>
      </c>
      <c r="B190" s="110">
        <v>222</v>
      </c>
      <c r="C190" s="70">
        <v>-8.9285713999999999E-3</v>
      </c>
      <c r="D190" s="15">
        <v>220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-1351.3513513513512</v>
      </c>
      <c r="G190" s="31">
        <v>220</v>
      </c>
      <c r="H190" s="32">
        <f t="shared" ref="H190:H193" si="103">IF(ISNUMBER(G190), (G190 - $B190) / $B190, "")</f>
        <v>-9.0090090090090089E-3</v>
      </c>
      <c r="I190" s="91">
        <f>IF(ISNUMBER(G190), $B199 * H190, "")</f>
        <v>-1351.3513513513512</v>
      </c>
      <c r="J190" s="15">
        <v>220</v>
      </c>
      <c r="K190" s="32">
        <f t="shared" ref="K190:K193" si="104">IF(ISNUMBER(J190), (J190 - $B190) / $B190, "")</f>
        <v>-9.0090090090090089E-3</v>
      </c>
      <c r="L190" s="18">
        <f>IF(ISNUMBER(J190), $B199 * K190, "")</f>
        <v>-1351.3513513513512</v>
      </c>
      <c r="M190" s="31">
        <v>220</v>
      </c>
      <c r="N190" s="32">
        <f t="shared" ref="N190:N193" si="105">IF(ISNUMBER(M190), (M190 - $B190) / $B190, "")</f>
        <v>-9.0090090090090089E-3</v>
      </c>
      <c r="O190" s="18">
        <f>IF(ISNUMBER(M190), $B199 * N190, "")</f>
        <v>-1351.3513513513512</v>
      </c>
      <c r="Q190" s="176"/>
      <c r="R190" s="177"/>
      <c r="S190" s="178"/>
    </row>
    <row r="191" spans="1:19" ht="17.25" thickBot="1">
      <c r="A191" s="109" t="s">
        <v>128</v>
      </c>
      <c r="B191" s="110">
        <v>5840</v>
      </c>
      <c r="C191" s="70">
        <v>-9.3299405999999994E-3</v>
      </c>
      <c r="D191" s="15">
        <v>5810</v>
      </c>
      <c r="E191" s="32">
        <f t="shared" si="102"/>
        <v>-5.1369863013698627E-3</v>
      </c>
      <c r="F191" s="18">
        <f>IF(ISNUMBER(D191), $B199 * E191, "")</f>
        <v>-770.54794520547944</v>
      </c>
      <c r="G191" s="31">
        <v>5810</v>
      </c>
      <c r="H191" s="32">
        <f t="shared" si="103"/>
        <v>-5.1369863013698627E-3</v>
      </c>
      <c r="I191" s="91">
        <f>IF(ISNUMBER(G191), $B199 * H191, "")</f>
        <v>-770.54794520547944</v>
      </c>
      <c r="J191" s="15">
        <v>5810</v>
      </c>
      <c r="K191" s="32">
        <f t="shared" si="104"/>
        <v>-5.1369863013698627E-3</v>
      </c>
      <c r="L191" s="18">
        <f>IF(ISNUMBER(J191), $B199 * K191, "")</f>
        <v>-770.54794520547944</v>
      </c>
      <c r="M191" s="31">
        <v>5820</v>
      </c>
      <c r="N191" s="32">
        <f t="shared" si="105"/>
        <v>-3.4246575342465752E-3</v>
      </c>
      <c r="O191" s="18">
        <f>IF(ISNUMBER(M191), $B199 * N191, "")</f>
        <v>-513.69863013698625</v>
      </c>
      <c r="Q191" s="161"/>
      <c r="R191" s="161"/>
      <c r="S191" s="161"/>
    </row>
    <row r="192" spans="1:19" ht="17.25" thickBot="1">
      <c r="A192" s="109" t="s">
        <v>101</v>
      </c>
      <c r="B192" s="110">
        <v>211</v>
      </c>
      <c r="C192" s="70">
        <v>-9.3896714000000006E-3</v>
      </c>
      <c r="D192" s="15">
        <v>210</v>
      </c>
      <c r="E192" s="32">
        <f t="shared" si="102"/>
        <v>-4.7393364928909956E-3</v>
      </c>
      <c r="F192" s="18">
        <f>IF(ISNUMBER(D192), $B199 * E192, "")</f>
        <v>-710.90047393364932</v>
      </c>
      <c r="G192" s="31">
        <v>210</v>
      </c>
      <c r="H192" s="32">
        <f t="shared" si="103"/>
        <v>-4.7393364928909956E-3</v>
      </c>
      <c r="I192" s="91">
        <f>IF(ISNUMBER(G192), $B199 * H192, "")</f>
        <v>-710.90047393364932</v>
      </c>
      <c r="J192" s="15">
        <v>210</v>
      </c>
      <c r="K192" s="32">
        <f t="shared" si="104"/>
        <v>-4.7393364928909956E-3</v>
      </c>
      <c r="L192" s="18">
        <f>IF(ISNUMBER(J192), $B199 * K192, "")</f>
        <v>-710.90047393364932</v>
      </c>
      <c r="M192" s="31">
        <v>210</v>
      </c>
      <c r="N192" s="32">
        <f t="shared" si="105"/>
        <v>-4.7393364928909956E-3</v>
      </c>
      <c r="O192" s="18">
        <f>IF(ISNUMBER(M192), $B199 * N192, "")</f>
        <v>-710.90047393364932</v>
      </c>
      <c r="Q192" s="156"/>
      <c r="R192" s="156"/>
      <c r="S192" s="156"/>
    </row>
    <row r="193" spans="1:19" ht="17.25" thickBot="1">
      <c r="A193" s="111" t="s">
        <v>224</v>
      </c>
      <c r="B193" s="112">
        <v>19</v>
      </c>
      <c r="C193" s="71">
        <v>-1.04166667E-2</v>
      </c>
      <c r="D193" s="20">
        <v>19.2</v>
      </c>
      <c r="E193" s="21">
        <f t="shared" si="102"/>
        <v>1.0526315789473648E-2</v>
      </c>
      <c r="F193" s="22">
        <f>IF(ISNUMBER(D193), $B199 * E193, "")</f>
        <v>1578.947368421047</v>
      </c>
      <c r="G193" s="30">
        <v>19.2</v>
      </c>
      <c r="H193" s="21">
        <f t="shared" si="103"/>
        <v>1.0526315789473648E-2</v>
      </c>
      <c r="I193" s="95">
        <f>IF(ISNUMBER(G193), $B199 * H193, "")</f>
        <v>1578.947368421047</v>
      </c>
      <c r="J193" s="20">
        <v>19.2</v>
      </c>
      <c r="K193" s="21">
        <f t="shared" si="104"/>
        <v>1.0526315789473648E-2</v>
      </c>
      <c r="L193" s="22">
        <f>IF(ISNUMBER(J193), $B199 * K193, "")</f>
        <v>1578.947368421047</v>
      </c>
      <c r="M193" s="30">
        <v>19.3</v>
      </c>
      <c r="N193" s="21">
        <f t="shared" si="105"/>
        <v>1.5789473684210565E-2</v>
      </c>
      <c r="O193" s="22">
        <f>IF(ISNUMBER(M193), $B199 * N193, "")</f>
        <v>2368.4210526315846</v>
      </c>
      <c r="Q193" s="156"/>
      <c r="R193" s="156"/>
      <c r="S193" s="156"/>
    </row>
    <row r="194" spans="1:19" ht="17.25" thickBot="1">
      <c r="A194" s="109" t="s">
        <v>322</v>
      </c>
      <c r="B194" s="113">
        <v>71490</v>
      </c>
      <c r="C194" s="73">
        <v>-1.06559646E-2</v>
      </c>
      <c r="D194" s="96">
        <v>71030</v>
      </c>
      <c r="E194" s="97">
        <f>IF(ISNUMBER(D194), (D194 - $B194) / $B194, "")</f>
        <v>-6.4344663589313194E-3</v>
      </c>
      <c r="F194" s="98">
        <f>IF(ISNUMBER(D194), $B199 * E194, "")</f>
        <v>-965.16995383969788</v>
      </c>
      <c r="G194" s="99">
        <v>71030</v>
      </c>
      <c r="H194" s="97">
        <f>IF(ISNUMBER(G194), (G194 - $B194) / $B194, "")</f>
        <v>-6.4344663589313194E-3</v>
      </c>
      <c r="I194" s="100">
        <f>IF(ISNUMBER(G194), $B199 * H194, "")</f>
        <v>-965.16995383969788</v>
      </c>
      <c r="J194" s="96">
        <v>71030</v>
      </c>
      <c r="K194" s="97">
        <f>IF(ISNUMBER(J194), (J194 - $B194) / $B194, "")</f>
        <v>-6.4344663589313194E-3</v>
      </c>
      <c r="L194" s="98">
        <f>IF(ISNUMBER(J194), $B199 * K194, "")</f>
        <v>-965.16995383969788</v>
      </c>
      <c r="M194" s="99">
        <v>71020</v>
      </c>
      <c r="N194" s="97">
        <f>IF(ISNUMBER(M194), (M194 - $B194) / $B194, "")</f>
        <v>-6.5743460623863478E-3</v>
      </c>
      <c r="O194" s="98">
        <f>IF(ISNUMBER(M194), $B199 * N194, "")</f>
        <v>-986.15190935795215</v>
      </c>
      <c r="Q194" s="161"/>
      <c r="R194" s="161"/>
      <c r="S194" s="161"/>
    </row>
    <row r="195" spans="1:19" ht="17.25" thickBot="1">
      <c r="A195" s="109" t="s">
        <v>349</v>
      </c>
      <c r="B195" s="110">
        <v>636</v>
      </c>
      <c r="C195" s="70">
        <v>-1.08864697E-2</v>
      </c>
      <c r="D195" s="15">
        <v>634</v>
      </c>
      <c r="E195" s="32">
        <f t="shared" ref="E195:E198" si="106">IF(ISNUMBER(D195), (D195 - $B195) / $B195, "")</f>
        <v>-3.1446540880503146E-3</v>
      </c>
      <c r="F195" s="18">
        <f>IF(ISNUMBER(D195), $B199 * E195, "")</f>
        <v>-471.69811320754718</v>
      </c>
      <c r="G195" s="31">
        <v>634</v>
      </c>
      <c r="H195" s="32">
        <f t="shared" ref="H195:H198" si="107">IF(ISNUMBER(G195), (G195 - $B195) / $B195, "")</f>
        <v>-3.1446540880503146E-3</v>
      </c>
      <c r="I195" s="91">
        <f>IF(ISNUMBER(G195), $B199 * H195, "")</f>
        <v>-471.69811320754718</v>
      </c>
      <c r="J195" s="15">
        <v>634</v>
      </c>
      <c r="K195" s="32">
        <f t="shared" ref="K195:K198" si="108">IF(ISNUMBER(J195), (J195 - $B195) / $B195, "")</f>
        <v>-3.1446540880503146E-3</v>
      </c>
      <c r="L195" s="18">
        <f>IF(ISNUMBER(J195), $B199 * K195, "")</f>
        <v>-471.69811320754718</v>
      </c>
      <c r="M195" s="31">
        <v>634</v>
      </c>
      <c r="N195" s="32">
        <f t="shared" ref="N195:N198" si="109">IF(ISNUMBER(M195), (M195 - $B195) / $B195, "")</f>
        <v>-3.1446540880503146E-3</v>
      </c>
      <c r="O195" s="18">
        <f>IF(ISNUMBER(M195), $B199 * N195, "")</f>
        <v>-471.69811320754718</v>
      </c>
      <c r="Q195" s="161"/>
      <c r="R195" s="161"/>
      <c r="S195" s="161"/>
    </row>
    <row r="196" spans="1:19" ht="17.25" thickBot="1">
      <c r="A196" s="109" t="s">
        <v>151</v>
      </c>
      <c r="B196" s="110">
        <v>2125</v>
      </c>
      <c r="C196" s="70">
        <v>-1.39211137E-2</v>
      </c>
      <c r="D196" s="15">
        <v>2125</v>
      </c>
      <c r="E196" s="32">
        <f t="shared" si="106"/>
        <v>0</v>
      </c>
      <c r="F196" s="18">
        <f>IF(ISNUMBER(D196), $B199 * E196, "")</f>
        <v>0</v>
      </c>
      <c r="G196" s="31">
        <v>2125</v>
      </c>
      <c r="H196" s="32">
        <f t="shared" si="107"/>
        <v>0</v>
      </c>
      <c r="I196" s="91">
        <f>IF(ISNUMBER(G196), $B199 * H196, "")</f>
        <v>0</v>
      </c>
      <c r="J196" s="15">
        <v>2125</v>
      </c>
      <c r="K196" s="32">
        <f t="shared" si="108"/>
        <v>0</v>
      </c>
      <c r="L196" s="18">
        <f>IF(ISNUMBER(J196), $B199 * K196, "")</f>
        <v>0</v>
      </c>
      <c r="M196" s="31">
        <v>2125</v>
      </c>
      <c r="N196" s="32">
        <f t="shared" si="109"/>
        <v>0</v>
      </c>
      <c r="O196" s="18">
        <f>IF(ISNUMBER(M196), $B199 * N196, "")</f>
        <v>0</v>
      </c>
      <c r="Q196" s="161"/>
      <c r="R196" s="161"/>
      <c r="S196" s="161"/>
    </row>
    <row r="197" spans="1:19">
      <c r="A197" s="109" t="s">
        <v>145</v>
      </c>
      <c r="B197" s="110">
        <v>71.099999999999994</v>
      </c>
      <c r="C197" s="70">
        <v>-1.52354571E-2</v>
      </c>
      <c r="D197" s="15">
        <v>71.2</v>
      </c>
      <c r="E197" s="32">
        <f t="shared" si="106"/>
        <v>1.4064697609002606E-3</v>
      </c>
      <c r="F197" s="18">
        <f>IF(ISNUMBER(D197), $B199 * E197, "")</f>
        <v>210.97046413503909</v>
      </c>
      <c r="G197" s="31">
        <v>71.2</v>
      </c>
      <c r="H197" s="32">
        <f t="shared" si="107"/>
        <v>1.4064697609002606E-3</v>
      </c>
      <c r="I197" s="91">
        <f>IF(ISNUMBER(G197), $B199 * H197, "")</f>
        <v>210.97046413503909</v>
      </c>
      <c r="J197" s="15">
        <v>71.2</v>
      </c>
      <c r="K197" s="32">
        <f t="shared" si="108"/>
        <v>1.4064697609002606E-3</v>
      </c>
      <c r="L197" s="18">
        <f>IF(ISNUMBER(J197), $B199 * K197, "")</f>
        <v>210.97046413503909</v>
      </c>
      <c r="M197" s="31">
        <v>71.099999999999994</v>
      </c>
      <c r="N197" s="32">
        <f t="shared" si="109"/>
        <v>0</v>
      </c>
      <c r="O197" s="18">
        <f>IF(ISNUMBER(M197), $B199 * N197, "")</f>
        <v>0</v>
      </c>
      <c r="Q197" s="183"/>
      <c r="R197" s="184"/>
      <c r="S197" s="185"/>
    </row>
    <row r="198" spans="1:19" ht="17.25" thickBot="1">
      <c r="A198" s="114" t="s">
        <v>244</v>
      </c>
      <c r="B198" s="115">
        <v>89.7</v>
      </c>
      <c r="C198" s="72">
        <v>-1.6447368399999999E-2</v>
      </c>
      <c r="D198" s="24">
        <v>97.2</v>
      </c>
      <c r="E198" s="25">
        <f t="shared" si="106"/>
        <v>8.3612040133779264E-2</v>
      </c>
      <c r="F198" s="94">
        <f>IF(ISNUMBER(D198), $B199 * E198, "")</f>
        <v>12541.80602006689</v>
      </c>
      <c r="G198" s="92">
        <v>97.2</v>
      </c>
      <c r="H198" s="25">
        <f t="shared" si="107"/>
        <v>8.3612040133779264E-2</v>
      </c>
      <c r="I198" s="93">
        <f>IF(ISNUMBER(G198), $B199 * H198, "")</f>
        <v>12541.80602006689</v>
      </c>
      <c r="J198" s="24">
        <v>97.2</v>
      </c>
      <c r="K198" s="25">
        <f t="shared" si="108"/>
        <v>8.3612040133779264E-2</v>
      </c>
      <c r="L198" s="94">
        <f>IF(ISNUMBER(J198), $B199 * K198, "")</f>
        <v>12541.80602006689</v>
      </c>
      <c r="M198" s="92">
        <v>93.5</v>
      </c>
      <c r="N198" s="25">
        <f t="shared" si="109"/>
        <v>4.2363433667781461E-2</v>
      </c>
      <c r="O198" s="94">
        <f>IF(ISNUMBER(M198), $B199 * N198, "")</f>
        <v>6354.5150501672188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5.1288772804268679E-3</v>
      </c>
      <c r="F199" s="28">
        <f>SUM(F179:F198)</f>
        <v>15386.631841280603</v>
      </c>
      <c r="G199" s="26" t="s">
        <v>261</v>
      </c>
      <c r="H199" s="27">
        <f>IF(COUNT(H179:H198), SUM(H179:H198) / COUNT(H179:H198), 0)</f>
        <v>5.1288772804268679E-3</v>
      </c>
      <c r="I199" s="28">
        <f>SUM(I179:I198)</f>
        <v>15386.631841280603</v>
      </c>
      <c r="J199" s="26" t="s">
        <v>261</v>
      </c>
      <c r="K199" s="27">
        <f>IF(COUNT(K179:K198), SUM(K179:K198) / COUNT(K179:K198), 0)</f>
        <v>5.1288772804268679E-3</v>
      </c>
      <c r="L199" s="28">
        <f>SUM(L179:L198)</f>
        <v>15386.631841280603</v>
      </c>
      <c r="M199" s="26" t="s">
        <v>261</v>
      </c>
      <c r="N199" s="27">
        <f>IF(COUNT(N179:N198), SUM(N179:N198) / COUNT(N179:N198), 0)</f>
        <v>3.1779938165084334E-3</v>
      </c>
      <c r="O199" s="28">
        <f>SUM(O179:O198)</f>
        <v>9533.9814495252995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E1397-EE47-4575-AD9F-18727234AF7A}">
  <sheetPr codeName="Sheet31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44920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-73,329 KRW (-2.44%)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-56,260 KRW (-1.88%)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-80,165 KRW (-2.67%)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-53,157 KRW (-1.77%)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2022-12-25(일) 오전 00:00</v>
      </c>
      <c r="C15" s="202"/>
      <c r="D15" s="158" t="str">
        <f>TEXT($G$1, "[$-ko-KR]yyyy-mm-dd(ddd) ") &amp; "오후 14:00"</f>
        <v>2022-12-25(일) 오후 14:00</v>
      </c>
      <c r="E15" s="159"/>
      <c r="F15" s="160"/>
      <c r="G15" s="158" t="str">
        <f>TEXT($G$1, "[$-ko-KR]yyyy-mm-dd(ddd) ") &amp; "오후 19:00"</f>
        <v>2022-12-25(일) 오후 19:00</v>
      </c>
      <c r="H15" s="159"/>
      <c r="I15" s="160"/>
      <c r="J15" s="158" t="str">
        <f>TEXT($G$1, "[$-ko-KR]yyyy-mm-dd(ddd) ") &amp; "오후 21:00"</f>
        <v>2022-12-25(일) 오후 21:00</v>
      </c>
      <c r="K15" s="159"/>
      <c r="L15" s="160"/>
      <c r="M15" s="158" t="str">
        <f>TEXT($G$1+1, "[$-ko-KR]yyyy-mm-dd(ddd) ") &amp; "오전 00:00"</f>
        <v>2022-12-26(월)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2022-12-25(일) 오전 00:00</v>
      </c>
      <c r="C42" s="199"/>
      <c r="D42" s="158" t="str">
        <f>TEXT($G$1, "[$-ko-KR]yyyy-mm-dd(ddd) ") &amp; "오후 14:00"</f>
        <v>2022-12-25(일) 오후 14:00</v>
      </c>
      <c r="E42" s="159"/>
      <c r="F42" s="160"/>
      <c r="G42" s="158" t="str">
        <f>TEXT($G$1, "[$-ko-KR]yyyy-mm-dd(ddd) ") &amp; "오후 19:00"</f>
        <v>2022-12-25(일) 오후 19:00</v>
      </c>
      <c r="H42" s="159"/>
      <c r="I42" s="160"/>
      <c r="J42" s="158" t="str">
        <f>TEXT($G$1, "[$-ko-KR]yyyy-mm-dd(ddd) ") &amp; "오후 21:00"</f>
        <v>2022-12-25(일) 오후 21:00</v>
      </c>
      <c r="K42" s="159"/>
      <c r="L42" s="160"/>
      <c r="M42" s="158" t="str">
        <f>TEXT($G$1+1, "[$-ko-KR]yyyy-mm-dd(ddd) ") &amp; "오전 00:00"</f>
        <v>2022-12-26(월)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210</v>
      </c>
      <c r="B44" s="108">
        <v>67.7</v>
      </c>
      <c r="C44" s="69">
        <v>4.6367851600000003E-2</v>
      </c>
      <c r="D44" s="13">
        <v>65.8</v>
      </c>
      <c r="E44" s="14">
        <f>IF(ISNUMBER(D44), (D44 - $B44) / $B44, "")</f>
        <v>-2.806499261447571E-2</v>
      </c>
      <c r="F44" s="16">
        <f>IF(ISNUMBER(D44), $B64 * E44, "")</f>
        <v>-4209.7488921713566</v>
      </c>
      <c r="G44" s="29">
        <v>65.400000000000006</v>
      </c>
      <c r="H44" s="14">
        <f>IF(ISNUMBER(G44), (G44 - $B44) / $B44, "")</f>
        <v>-3.3973412112259925E-2</v>
      </c>
      <c r="I44" s="90">
        <f>IF(ISNUMBER(G44), $B64 * H44, "")</f>
        <v>-5096.011816838989</v>
      </c>
      <c r="J44" s="13">
        <v>65.599999999999994</v>
      </c>
      <c r="K44" s="14">
        <f>IF(ISNUMBER(J44), (J44 - $B44) / $B44, "")</f>
        <v>-3.1019202363367925E-2</v>
      </c>
      <c r="L44" s="16">
        <f>IF(ISNUMBER(J44), $B64 * K44, "")</f>
        <v>-4652.8803545051887</v>
      </c>
      <c r="M44" s="29">
        <v>65.599999999999994</v>
      </c>
      <c r="N44" s="14">
        <f>IF(ISNUMBER(M44), (M44 - $B44) / $B44, "")</f>
        <v>-3.1019202363367925E-2</v>
      </c>
      <c r="O44" s="16">
        <f>IF(ISNUMBER(M44), $B64 * N44, "")</f>
        <v>-4652.8803545051887</v>
      </c>
      <c r="Q44" s="156"/>
      <c r="R44" s="156"/>
      <c r="S44" s="156"/>
    </row>
    <row r="45" spans="1:19" ht="17.25" customHeight="1" thickBot="1">
      <c r="A45" s="109" t="s">
        <v>244</v>
      </c>
      <c r="B45" s="110">
        <v>93.5</v>
      </c>
      <c r="C45" s="70">
        <v>3.2008830000000002E-2</v>
      </c>
      <c r="D45" s="15">
        <v>91.4</v>
      </c>
      <c r="E45" s="32">
        <f t="shared" ref="E45:E48" si="14">IF(ISNUMBER(D45), (D45 - $B45) / $B45, "")</f>
        <v>-2.2459893048128281E-2</v>
      </c>
      <c r="F45" s="18">
        <f>IF(ISNUMBER(D45), $B64 * E45, "")</f>
        <v>-3368.9839572192423</v>
      </c>
      <c r="G45" s="31">
        <v>92.3</v>
      </c>
      <c r="H45" s="32">
        <f t="shared" ref="H45:H48" si="15">IF(ISNUMBER(G45), (G45 - $B45) / $B45, "")</f>
        <v>-1.2834224598930511E-2</v>
      </c>
      <c r="I45" s="91">
        <f>IF(ISNUMBER(G45), $B64 * H45, "")</f>
        <v>-1925.1336898395766</v>
      </c>
      <c r="J45" s="15">
        <v>98.4</v>
      </c>
      <c r="K45" s="32">
        <f t="shared" ref="K45:K48" si="16">IF(ISNUMBER(J45), (J45 - $B45) / $B45, "")</f>
        <v>5.2406417112299528E-2</v>
      </c>
      <c r="L45" s="18">
        <f>IF(ISNUMBER(J45), $B64 * K45, "")</f>
        <v>7860.9625668449289</v>
      </c>
      <c r="M45" s="31">
        <v>93.1</v>
      </c>
      <c r="N45" s="32">
        <f t="shared" ref="N45:N48" si="17">IF(ISNUMBER(M45), (M45 - $B45) / $B45, "")</f>
        <v>-4.2780748663102212E-3</v>
      </c>
      <c r="O45" s="18">
        <f>IF(ISNUMBER(M45), $B64 * N45, "")</f>
        <v>-641.71122994653319</v>
      </c>
      <c r="Q45" s="156"/>
      <c r="R45" s="156"/>
      <c r="S45" s="156"/>
    </row>
    <row r="46" spans="1:19" ht="17.25" customHeight="1" thickBot="1">
      <c r="A46" s="109" t="s">
        <v>336</v>
      </c>
      <c r="B46" s="110">
        <v>78.3</v>
      </c>
      <c r="C46" s="70">
        <v>1.953125E-2</v>
      </c>
      <c r="D46" s="15">
        <v>78</v>
      </c>
      <c r="E46" s="32">
        <f t="shared" si="14"/>
        <v>-3.8314176245210366E-3</v>
      </c>
      <c r="F46" s="18">
        <f>IF(ISNUMBER(D46), $B64 * E46, "")</f>
        <v>-574.71264367815547</v>
      </c>
      <c r="G46" s="31">
        <v>77.5</v>
      </c>
      <c r="H46" s="32">
        <f t="shared" si="15"/>
        <v>-1.0217113665389492E-2</v>
      </c>
      <c r="I46" s="91">
        <f>IF(ISNUMBER(G46), $B64 * H46, "")</f>
        <v>-1532.5670498084237</v>
      </c>
      <c r="J46" s="15">
        <v>77.3</v>
      </c>
      <c r="K46" s="32">
        <f t="shared" si="16"/>
        <v>-1.277139208173691E-2</v>
      </c>
      <c r="L46" s="18">
        <f>IF(ISNUMBER(J46), $B64 * K46, "")</f>
        <v>-1915.7088122605364</v>
      </c>
      <c r="M46" s="31">
        <v>76.900000000000006</v>
      </c>
      <c r="N46" s="32">
        <f t="shared" si="17"/>
        <v>-1.7879948914431565E-2</v>
      </c>
      <c r="O46" s="18">
        <f>IF(ISNUMBER(M46), $B64 * N46, "")</f>
        <v>-2681.9923371647346</v>
      </c>
      <c r="Q46" s="161"/>
      <c r="R46" s="161"/>
      <c r="S46" s="161"/>
    </row>
    <row r="47" spans="1:19" ht="17.25" customHeight="1" thickBot="1">
      <c r="A47" s="109" t="s">
        <v>143</v>
      </c>
      <c r="B47" s="110">
        <v>3.69</v>
      </c>
      <c r="C47" s="70">
        <v>1.93370166E-2</v>
      </c>
      <c r="D47" s="15">
        <v>3.61</v>
      </c>
      <c r="E47" s="32">
        <f t="shared" si="14"/>
        <v>-2.1680216802168042E-2</v>
      </c>
      <c r="F47" s="18">
        <f>IF(ISNUMBER(D47), $B64 * E47, "")</f>
        <v>-3252.0325203252064</v>
      </c>
      <c r="G47" s="31">
        <v>3.61</v>
      </c>
      <c r="H47" s="32">
        <f t="shared" si="15"/>
        <v>-2.1680216802168042E-2</v>
      </c>
      <c r="I47" s="91">
        <f>IF(ISNUMBER(G47), $B64 * H47, "")</f>
        <v>-3252.0325203252064</v>
      </c>
      <c r="J47" s="15">
        <v>3.59</v>
      </c>
      <c r="K47" s="32">
        <f t="shared" si="16"/>
        <v>-2.7100271002710053E-2</v>
      </c>
      <c r="L47" s="18">
        <f>IF(ISNUMBER(J47), $B64 * K47, "")</f>
        <v>-4065.0406504065081</v>
      </c>
      <c r="M47" s="31">
        <v>3.58</v>
      </c>
      <c r="N47" s="32">
        <f t="shared" si="17"/>
        <v>-2.9810298102980998E-2</v>
      </c>
      <c r="O47" s="18">
        <f>IF(ISNUMBER(M47), $B64 * N47, "")</f>
        <v>-4471.5447154471494</v>
      </c>
      <c r="Q47" s="161"/>
      <c r="R47" s="161"/>
      <c r="S47" s="161"/>
    </row>
    <row r="48" spans="1:19" ht="17.25" customHeight="1" thickBot="1">
      <c r="A48" s="111" t="s">
        <v>228</v>
      </c>
      <c r="B48" s="112">
        <v>57.8</v>
      </c>
      <c r="C48" s="71">
        <v>1.7605633799999999E-2</v>
      </c>
      <c r="D48" s="20">
        <v>57.3</v>
      </c>
      <c r="E48" s="21">
        <f t="shared" si="14"/>
        <v>-8.6505190311418692E-3</v>
      </c>
      <c r="F48" s="22">
        <f>IF(ISNUMBER(D48), $B64 * E48, "")</f>
        <v>-1297.5778546712804</v>
      </c>
      <c r="G48" s="30">
        <v>56.9</v>
      </c>
      <c r="H48" s="21">
        <f t="shared" si="15"/>
        <v>-1.557093425605534E-2</v>
      </c>
      <c r="I48" s="95">
        <f>IF(ISNUMBER(G48), $B64 * H48, "")</f>
        <v>-2335.640138408301</v>
      </c>
      <c r="J48" s="20">
        <v>56.9</v>
      </c>
      <c r="K48" s="21">
        <f t="shared" si="16"/>
        <v>-1.557093425605534E-2</v>
      </c>
      <c r="L48" s="22">
        <f>IF(ISNUMBER(J48), $B64 * K48, "")</f>
        <v>-2335.640138408301</v>
      </c>
      <c r="M48" s="30">
        <v>56.7</v>
      </c>
      <c r="N48" s="21">
        <f t="shared" si="17"/>
        <v>-1.9031141868512014E-2</v>
      </c>
      <c r="O48" s="22">
        <f>IF(ISNUMBER(M48), $B64 * N48, "")</f>
        <v>-2854.671280276802</v>
      </c>
      <c r="Q48" s="161"/>
      <c r="R48" s="161"/>
      <c r="S48" s="161"/>
    </row>
    <row r="49" spans="1:19" ht="17.25" customHeight="1" thickBot="1">
      <c r="A49" s="109" t="s">
        <v>193</v>
      </c>
      <c r="B49" s="113">
        <v>17.399999999999999</v>
      </c>
      <c r="C49" s="73">
        <v>1.1627907E-2</v>
      </c>
      <c r="D49" s="96">
        <v>17</v>
      </c>
      <c r="E49" s="97">
        <f>IF(ISNUMBER(D49), (D49 - $B49) / $B49, "")</f>
        <v>-2.2988505747126357E-2</v>
      </c>
      <c r="F49" s="98">
        <f>IF(ISNUMBER(D49), $B64 * E49, "")</f>
        <v>-3448.2758620689533</v>
      </c>
      <c r="G49" s="99">
        <v>16.899999999999999</v>
      </c>
      <c r="H49" s="97">
        <f>IF(ISNUMBER(G49), (G49 - $B49) / $B49, "")</f>
        <v>-2.8735632183908049E-2</v>
      </c>
      <c r="I49" s="100">
        <f>IF(ISNUMBER(G49), $B64 * H49, "")</f>
        <v>-4310.3448275862074</v>
      </c>
      <c r="J49" s="96">
        <v>16.899999999999999</v>
      </c>
      <c r="K49" s="97">
        <f>IF(ISNUMBER(J49), (J49 - $B49) / $B49, "")</f>
        <v>-2.8735632183908049E-2</v>
      </c>
      <c r="L49" s="98">
        <f>IF(ISNUMBER(J49), $B64 * K49, "")</f>
        <v>-4310.3448275862074</v>
      </c>
      <c r="M49" s="99">
        <v>16.899999999999999</v>
      </c>
      <c r="N49" s="97">
        <f>IF(ISNUMBER(M49), (M49 - $B49) / $B49, "")</f>
        <v>-2.8735632183908049E-2</v>
      </c>
      <c r="O49" s="98">
        <f>IF(ISNUMBER(M49), $B64 * N49, "")</f>
        <v>-4310.3448275862074</v>
      </c>
      <c r="Q49" s="161"/>
      <c r="R49" s="161"/>
      <c r="S49" s="161"/>
    </row>
    <row r="50" spans="1:19" ht="17.25" customHeight="1" thickBot="1">
      <c r="A50" s="109" t="s">
        <v>212</v>
      </c>
      <c r="B50" s="110">
        <v>78.3</v>
      </c>
      <c r="C50" s="70">
        <v>1.0322580600000001E-2</v>
      </c>
      <c r="D50" s="15">
        <v>79.400000000000006</v>
      </c>
      <c r="E50" s="32">
        <f t="shared" ref="E50:E53" si="18">IF(ISNUMBER(D50), (D50 - $B50) / $B50, "")</f>
        <v>1.404853128991071E-2</v>
      </c>
      <c r="F50" s="18">
        <f>IF(ISNUMBER(D50), $B64 * E50, "")</f>
        <v>2107.2796934866064</v>
      </c>
      <c r="G50" s="31">
        <v>78.599999999999994</v>
      </c>
      <c r="H50" s="32">
        <f t="shared" ref="H50:H53" si="19">IF(ISNUMBER(G50), (G50 - $B50) / $B50, "")</f>
        <v>3.8314176245210366E-3</v>
      </c>
      <c r="I50" s="91">
        <f>IF(ISNUMBER(G50), $B64 * H50, "")</f>
        <v>574.71264367815547</v>
      </c>
      <c r="J50" s="15">
        <v>77.099999999999994</v>
      </c>
      <c r="K50" s="32">
        <f t="shared" ref="K50:K53" si="20">IF(ISNUMBER(J50), (J50 - $B50) / $B50, "")</f>
        <v>-1.5325670498084329E-2</v>
      </c>
      <c r="L50" s="18">
        <f>IF(ISNUMBER(J50), $B64 * K50, "")</f>
        <v>-2298.8505747126492</v>
      </c>
      <c r="M50" s="31">
        <v>76.7</v>
      </c>
      <c r="N50" s="32">
        <f t="shared" ref="N50:N53" si="21">IF(ISNUMBER(M50), (M50 - $B50) / $B50, "")</f>
        <v>-2.0434227330778983E-2</v>
      </c>
      <c r="O50" s="18">
        <f>IF(ISNUMBER(M50), $B64 * N50, "")</f>
        <v>-3065.1340996168474</v>
      </c>
      <c r="Q50" s="161"/>
      <c r="R50" s="161"/>
      <c r="S50" s="161"/>
    </row>
    <row r="51" spans="1:19" ht="17.25" customHeight="1" thickBot="1">
      <c r="A51" s="109" t="s">
        <v>71</v>
      </c>
      <c r="B51" s="110">
        <v>10.4</v>
      </c>
      <c r="C51" s="70">
        <v>9.7087379000000001E-3</v>
      </c>
      <c r="D51" s="15">
        <v>10.1</v>
      </c>
      <c r="E51" s="32">
        <f t="shared" si="18"/>
        <v>-2.8846153846153914E-2</v>
      </c>
      <c r="F51" s="18">
        <f>IF(ISNUMBER(D51), $B64 * E51, "")</f>
        <v>-4326.9230769230871</v>
      </c>
      <c r="G51" s="31">
        <v>10.199999999999999</v>
      </c>
      <c r="H51" s="32">
        <f t="shared" si="19"/>
        <v>-1.9230769230769332E-2</v>
      </c>
      <c r="I51" s="91">
        <f>IF(ISNUMBER(G51), $B64 * H51, "")</f>
        <v>-2884.6153846153998</v>
      </c>
      <c r="J51" s="15">
        <v>10.1</v>
      </c>
      <c r="K51" s="32">
        <f t="shared" si="20"/>
        <v>-2.8846153846153914E-2</v>
      </c>
      <c r="L51" s="18">
        <f>IF(ISNUMBER(J51), $B64 * K51, "")</f>
        <v>-4326.9230769230871</v>
      </c>
      <c r="M51" s="31">
        <v>10.7</v>
      </c>
      <c r="N51" s="32">
        <f t="shared" si="21"/>
        <v>2.8846153846153744E-2</v>
      </c>
      <c r="O51" s="18">
        <f>IF(ISNUMBER(M51), $B64 * N51, "")</f>
        <v>4326.9230769230617</v>
      </c>
      <c r="Q51" s="161"/>
      <c r="R51" s="161"/>
      <c r="S51" s="161"/>
    </row>
    <row r="52" spans="1:19" ht="17.25" customHeight="1" thickBot="1">
      <c r="A52" s="109" t="s">
        <v>200</v>
      </c>
      <c r="B52" s="110">
        <v>6.26</v>
      </c>
      <c r="C52" s="70">
        <v>8.0515298000000003E-3</v>
      </c>
      <c r="D52" s="15">
        <v>6.17</v>
      </c>
      <c r="E52" s="32">
        <f t="shared" si="18"/>
        <v>-1.43769968051118E-2</v>
      </c>
      <c r="F52" s="18">
        <f>IF(ISNUMBER(D52), $B64 * E52, "")</f>
        <v>-2156.54952076677</v>
      </c>
      <c r="G52" s="31">
        <v>6.18</v>
      </c>
      <c r="H52" s="32">
        <f t="shared" si="19"/>
        <v>-1.2779552715654964E-2</v>
      </c>
      <c r="I52" s="91">
        <f>IF(ISNUMBER(G52), $B64 * H52, "")</f>
        <v>-1916.9329073482445</v>
      </c>
      <c r="J52" s="15">
        <v>6.16</v>
      </c>
      <c r="K52" s="32">
        <f t="shared" si="20"/>
        <v>-1.5974440894568634E-2</v>
      </c>
      <c r="L52" s="18">
        <f>IF(ISNUMBER(J52), $B64 * K52, "")</f>
        <v>-2396.166134185295</v>
      </c>
      <c r="M52" s="31">
        <v>6.16</v>
      </c>
      <c r="N52" s="32">
        <f t="shared" si="21"/>
        <v>-1.5974440894568634E-2</v>
      </c>
      <c r="O52" s="18">
        <f>IF(ISNUMBER(M52), $B64 * N52, "")</f>
        <v>-2396.166134185295</v>
      </c>
      <c r="Q52" s="33"/>
      <c r="R52" s="33"/>
    </row>
    <row r="53" spans="1:19" ht="17.25" customHeight="1" thickBot="1">
      <c r="A53" s="114" t="s">
        <v>185</v>
      </c>
      <c r="B53" s="115">
        <v>27.2</v>
      </c>
      <c r="C53" s="72">
        <v>7.4074073999999997E-3</v>
      </c>
      <c r="D53" s="24">
        <v>26.9</v>
      </c>
      <c r="E53" s="25">
        <f t="shared" si="18"/>
        <v>-1.1029411764705909E-2</v>
      </c>
      <c r="F53" s="94">
        <f>IF(ISNUMBER(D53), $B64 * E53, "")</f>
        <v>-1654.4117647058863</v>
      </c>
      <c r="G53" s="92">
        <v>26.9</v>
      </c>
      <c r="H53" s="25">
        <f t="shared" si="19"/>
        <v>-1.1029411764705909E-2</v>
      </c>
      <c r="I53" s="93">
        <f>IF(ISNUMBER(G53), $B64 * H53, "")</f>
        <v>-1654.4117647058863</v>
      </c>
      <c r="J53" s="24">
        <v>26.7</v>
      </c>
      <c r="K53" s="25">
        <f t="shared" si="20"/>
        <v>-1.8382352941176471E-2</v>
      </c>
      <c r="L53" s="94">
        <f>IF(ISNUMBER(J53), $B64 * K53, "")</f>
        <v>-2757.3529411764707</v>
      </c>
      <c r="M53" s="92">
        <v>26.4</v>
      </c>
      <c r="N53" s="25">
        <f t="shared" si="21"/>
        <v>-2.941176470588238E-2</v>
      </c>
      <c r="O53" s="94">
        <f>IF(ISNUMBER(M53), $B64 * N53, "")</f>
        <v>-4411.7647058823568</v>
      </c>
      <c r="Q53" s="170"/>
      <c r="R53" s="171"/>
      <c r="S53" s="172"/>
    </row>
    <row r="54" spans="1:19" ht="17.25" customHeight="1">
      <c r="A54" s="107" t="s">
        <v>195</v>
      </c>
      <c r="B54" s="108">
        <v>6.08</v>
      </c>
      <c r="C54" s="69">
        <v>6.6225166000000004E-3</v>
      </c>
      <c r="D54" s="13">
        <v>5.98</v>
      </c>
      <c r="E54" s="14">
        <f>IF(ISNUMBER(D54), (D54 - $B54) / $B54, "")</f>
        <v>-1.6447368421052572E-2</v>
      </c>
      <c r="F54" s="16">
        <f>IF(ISNUMBER(D54), $B64 * E54, "")</f>
        <v>-2467.1052631578859</v>
      </c>
      <c r="G54" s="29">
        <v>5.93</v>
      </c>
      <c r="H54" s="14">
        <f>IF(ISNUMBER(G54), (G54 - $B54) / $B54, "")</f>
        <v>-2.4671052631579007E-2</v>
      </c>
      <c r="I54" s="90">
        <f>IF(ISNUMBER(G54), $B64 * H54, "")</f>
        <v>-3700.6578947368512</v>
      </c>
      <c r="J54" s="13">
        <v>5.93</v>
      </c>
      <c r="K54" s="14">
        <f>IF(ISNUMBER(J54), (J54 - $B54) / $B54, "")</f>
        <v>-2.4671052631579007E-2</v>
      </c>
      <c r="L54" s="16">
        <f>IF(ISNUMBER(J54), $B64 * K54, "")</f>
        <v>-3700.6578947368512</v>
      </c>
      <c r="M54" s="29">
        <v>5.94</v>
      </c>
      <c r="N54" s="14">
        <f>IF(ISNUMBER(M54), (M54 - $B54) / $B54, "")</f>
        <v>-2.3026315789473631E-2</v>
      </c>
      <c r="O54" s="16">
        <f>IF(ISNUMBER(M54), $B64 * N54, "")</f>
        <v>-3453.9473684210448</v>
      </c>
      <c r="Q54" s="173"/>
      <c r="R54" s="174"/>
      <c r="S54" s="175"/>
    </row>
    <row r="55" spans="1:19" ht="17.25" customHeight="1" thickBot="1">
      <c r="A55" s="109" t="s">
        <v>206</v>
      </c>
      <c r="B55" s="110">
        <v>3.28</v>
      </c>
      <c r="C55" s="70">
        <v>6.1349693000000002E-3</v>
      </c>
      <c r="D55" s="15">
        <v>3.21</v>
      </c>
      <c r="E55" s="32">
        <f t="shared" ref="E55:E58" si="22">IF(ISNUMBER(D55), (D55 - $B55) / $B55, "")</f>
        <v>-2.1341463414634099E-2</v>
      </c>
      <c r="F55" s="18">
        <f>IF(ISNUMBER(D55), $B64 * E55, "")</f>
        <v>-3201.2195121951149</v>
      </c>
      <c r="G55" s="31">
        <v>3.2</v>
      </c>
      <c r="H55" s="32">
        <f t="shared" ref="H55:H58" si="23">IF(ISNUMBER(G55), (G55 - $B55) / $B55, "")</f>
        <v>-2.4390243902438911E-2</v>
      </c>
      <c r="I55" s="91">
        <f>IF(ISNUMBER(G55), $B64 * H55, "")</f>
        <v>-3658.5365853658368</v>
      </c>
      <c r="J55" s="15">
        <v>3.19</v>
      </c>
      <c r="K55" s="32">
        <f t="shared" ref="K55:K58" si="24">IF(ISNUMBER(J55), (J55 - $B55) / $B55, "")</f>
        <v>-2.7439024390243861E-2</v>
      </c>
      <c r="L55" s="18">
        <f>IF(ISNUMBER(J55), $B64 * K55, "")</f>
        <v>-4115.8536585365791</v>
      </c>
      <c r="M55" s="31">
        <v>3.17</v>
      </c>
      <c r="N55" s="32">
        <f t="shared" ref="N55:N58" si="25">IF(ISNUMBER(M55), (M55 - $B55) / $B55, "")</f>
        <v>-3.3536585365853626E-2</v>
      </c>
      <c r="O55" s="18">
        <f>IF(ISNUMBER(M55), $B64 * N55, "")</f>
        <v>-5030.4878048780438</v>
      </c>
      <c r="Q55" s="176"/>
      <c r="R55" s="177"/>
      <c r="S55" s="178"/>
    </row>
    <row r="56" spans="1:19" ht="17.25" customHeight="1" thickBot="1">
      <c r="A56" s="109" t="s">
        <v>122</v>
      </c>
      <c r="B56" s="110">
        <v>21.3</v>
      </c>
      <c r="C56" s="70">
        <v>4.7169810999999999E-3</v>
      </c>
      <c r="D56" s="15">
        <v>21.1</v>
      </c>
      <c r="E56" s="32">
        <f t="shared" si="22"/>
        <v>-9.3896713615023129E-3</v>
      </c>
      <c r="F56" s="18">
        <f>IF(ISNUMBER(D56), $B64 * E56, "")</f>
        <v>-1408.450704225347</v>
      </c>
      <c r="G56" s="31">
        <v>21.1</v>
      </c>
      <c r="H56" s="32">
        <f t="shared" si="23"/>
        <v>-9.3896713615023129E-3</v>
      </c>
      <c r="I56" s="91">
        <f>IF(ISNUMBER(G56), $B64 * H56, "")</f>
        <v>-1408.450704225347</v>
      </c>
      <c r="J56" s="15">
        <v>21.1</v>
      </c>
      <c r="K56" s="32">
        <f t="shared" si="24"/>
        <v>-9.3896713615023129E-3</v>
      </c>
      <c r="L56" s="18">
        <f>IF(ISNUMBER(J56), $B64 * K56, "")</f>
        <v>-1408.450704225347</v>
      </c>
      <c r="M56" s="31">
        <v>21</v>
      </c>
      <c r="N56" s="32">
        <f t="shared" si="25"/>
        <v>-1.4084507042253554E-2</v>
      </c>
      <c r="O56" s="18">
        <f>IF(ISNUMBER(M56), $B64 * N56, "")</f>
        <v>-2112.676056338033</v>
      </c>
      <c r="Q56" s="161"/>
      <c r="R56" s="161"/>
      <c r="S56" s="161"/>
    </row>
    <row r="57" spans="1:19" ht="17.25" customHeight="1" thickBot="1">
      <c r="A57" s="109" t="s">
        <v>326</v>
      </c>
      <c r="B57" s="110">
        <v>21.5</v>
      </c>
      <c r="C57" s="70">
        <v>4.6728971999999997E-3</v>
      </c>
      <c r="D57" s="15">
        <v>21.1</v>
      </c>
      <c r="E57" s="32">
        <f t="shared" si="22"/>
        <v>-1.8604651162790631E-2</v>
      </c>
      <c r="F57" s="18">
        <f>IF(ISNUMBER(D57), $B64 * E57, "")</f>
        <v>-2790.6976744185949</v>
      </c>
      <c r="G57" s="31">
        <v>21.1</v>
      </c>
      <c r="H57" s="32">
        <f t="shared" si="23"/>
        <v>-1.8604651162790631E-2</v>
      </c>
      <c r="I57" s="91">
        <f>IF(ISNUMBER(G57), $B64 * H57, "")</f>
        <v>-2790.6976744185949</v>
      </c>
      <c r="J57" s="15">
        <v>21.1</v>
      </c>
      <c r="K57" s="32">
        <f t="shared" si="24"/>
        <v>-1.8604651162790631E-2</v>
      </c>
      <c r="L57" s="18">
        <f>IF(ISNUMBER(J57), $B64 * K57, "")</f>
        <v>-2790.6976744185949</v>
      </c>
      <c r="M57" s="31">
        <v>20.8</v>
      </c>
      <c r="N57" s="32">
        <f t="shared" si="25"/>
        <v>-3.2558139534883686E-2</v>
      </c>
      <c r="O57" s="18">
        <f>IF(ISNUMBER(M57), $B64 * N57, "")</f>
        <v>-4883.7209302325527</v>
      </c>
      <c r="Q57" s="156"/>
      <c r="R57" s="156"/>
      <c r="S57" s="156"/>
    </row>
    <row r="58" spans="1:19" ht="17.25" customHeight="1" thickBot="1">
      <c r="A58" s="111" t="s">
        <v>338</v>
      </c>
      <c r="B58" s="112">
        <v>4.5</v>
      </c>
      <c r="C58" s="71">
        <v>4.4642856999999999E-3</v>
      </c>
      <c r="D58" s="20">
        <v>4.47</v>
      </c>
      <c r="E58" s="21">
        <f t="shared" si="22"/>
        <v>-6.6666666666667217E-3</v>
      </c>
      <c r="F58" s="22">
        <f>IF(ISNUMBER(D58), $B64 * E58, "")</f>
        <v>-1000.0000000000083</v>
      </c>
      <c r="G58" s="30">
        <v>4.45</v>
      </c>
      <c r="H58" s="21">
        <f t="shared" si="23"/>
        <v>-1.1111111111111072E-2</v>
      </c>
      <c r="I58" s="95">
        <f>IF(ISNUMBER(G58), $B64 * H58, "")</f>
        <v>-1666.6666666666608</v>
      </c>
      <c r="J58" s="20">
        <v>4.45</v>
      </c>
      <c r="K58" s="21">
        <f t="shared" si="24"/>
        <v>-1.1111111111111072E-2</v>
      </c>
      <c r="L58" s="22">
        <f>IF(ISNUMBER(J58), $B64 * K58, "")</f>
        <v>-1666.6666666666608</v>
      </c>
      <c r="M58" s="30">
        <v>4.45</v>
      </c>
      <c r="N58" s="21">
        <f t="shared" si="25"/>
        <v>-1.1111111111111072E-2</v>
      </c>
      <c r="O58" s="22">
        <f>IF(ISNUMBER(M58), $B64 * N58, "")</f>
        <v>-1666.6666666666608</v>
      </c>
      <c r="Q58" s="156"/>
      <c r="R58" s="156"/>
      <c r="S58" s="156"/>
    </row>
    <row r="59" spans="1:19" ht="17.25" customHeight="1" thickBot="1">
      <c r="A59" s="109" t="s">
        <v>145</v>
      </c>
      <c r="B59" s="113">
        <v>71.099999999999994</v>
      </c>
      <c r="C59" s="73">
        <v>4.2372881000000001E-3</v>
      </c>
      <c r="D59" s="96">
        <v>71.2</v>
      </c>
      <c r="E59" s="97">
        <f>IF(ISNUMBER(D59), (D59 - $B59) / $B59, "")</f>
        <v>1.4064697609002606E-3</v>
      </c>
      <c r="F59" s="98">
        <f>IF(ISNUMBER(D59), $B64 * E59, "")</f>
        <v>210.97046413503909</v>
      </c>
      <c r="G59" s="99">
        <v>71</v>
      </c>
      <c r="H59" s="97">
        <f>IF(ISNUMBER(G59), (G59 - $B59) / $B59, "")</f>
        <v>-1.4064697609000609E-3</v>
      </c>
      <c r="I59" s="100">
        <f>IF(ISNUMBER(G59), $B64 * H59, "")</f>
        <v>-210.97046413500914</v>
      </c>
      <c r="J59" s="96">
        <v>71</v>
      </c>
      <c r="K59" s="97">
        <f>IF(ISNUMBER(J59), (J59 - $B59) / $B59, "")</f>
        <v>-1.4064697609000609E-3</v>
      </c>
      <c r="L59" s="98">
        <f>IF(ISNUMBER(J59), $B64 * K59, "")</f>
        <v>-210.97046413500914</v>
      </c>
      <c r="M59" s="99">
        <v>70.599999999999994</v>
      </c>
      <c r="N59" s="97">
        <f>IF(ISNUMBER(M59), (M59 - $B59) / $B59, "")</f>
        <v>-7.0323488045007038E-3</v>
      </c>
      <c r="O59" s="98">
        <f>IF(ISNUMBER(M59), $B64 * N59, "")</f>
        <v>-1054.8523206751056</v>
      </c>
      <c r="Q59" s="161"/>
      <c r="R59" s="161"/>
      <c r="S59" s="161"/>
    </row>
    <row r="60" spans="1:19" ht="17.25" customHeight="1" thickBot="1">
      <c r="A60" s="109" t="s">
        <v>191</v>
      </c>
      <c r="B60" s="110">
        <v>51.3</v>
      </c>
      <c r="C60" s="70">
        <v>3.9138942999999999E-3</v>
      </c>
      <c r="D60" s="15">
        <v>50.5</v>
      </c>
      <c r="E60" s="32">
        <f t="shared" ref="E60:E63" si="26">IF(ISNUMBER(D60), (D60 - $B60) / $B60, "")</f>
        <v>-1.5594541910331329E-2</v>
      </c>
      <c r="F60" s="18">
        <f>IF(ISNUMBER(D60), $B64 * E60, "")</f>
        <v>-2339.1812865496995</v>
      </c>
      <c r="G60" s="31">
        <v>50.5</v>
      </c>
      <c r="H60" s="32">
        <f t="shared" ref="H60:H63" si="27">IF(ISNUMBER(G60), (G60 - $B60) / $B60, "")</f>
        <v>-1.5594541910331329E-2</v>
      </c>
      <c r="I60" s="91">
        <f>IF(ISNUMBER(G60), $B64 * H60, "")</f>
        <v>-2339.1812865496995</v>
      </c>
      <c r="J60" s="15">
        <v>50.2</v>
      </c>
      <c r="K60" s="32">
        <f t="shared" ref="K60:K63" si="28">IF(ISNUMBER(J60), (J60 - $B60) / $B60, "")</f>
        <v>-2.1442495126705544E-2</v>
      </c>
      <c r="L60" s="18">
        <f>IF(ISNUMBER(J60), $B64 * K60, "")</f>
        <v>-3216.3742690058316</v>
      </c>
      <c r="M60" s="31">
        <v>50</v>
      </c>
      <c r="N60" s="32">
        <f t="shared" ref="N60:N63" si="29">IF(ISNUMBER(M60), (M60 - $B60) / $B60, "")</f>
        <v>-2.5341130604288446E-2</v>
      </c>
      <c r="O60" s="18">
        <f>IF(ISNUMBER(M60), $B64 * N60, "")</f>
        <v>-3801.1695906432669</v>
      </c>
      <c r="Q60" s="161"/>
      <c r="R60" s="161"/>
      <c r="S60" s="161"/>
    </row>
    <row r="61" spans="1:19" ht="17.25" customHeight="1" thickBot="1">
      <c r="A61" s="109" t="s">
        <v>333</v>
      </c>
      <c r="B61" s="110">
        <v>56.9</v>
      </c>
      <c r="C61" s="70">
        <v>3.5273369000000001E-3</v>
      </c>
      <c r="D61" s="15">
        <v>57.2</v>
      </c>
      <c r="E61" s="32">
        <f t="shared" si="26"/>
        <v>5.2724077328647496E-3</v>
      </c>
      <c r="F61" s="18">
        <f>IF(ISNUMBER(D61), $B64 * E61, "")</f>
        <v>790.86115992971247</v>
      </c>
      <c r="G61" s="31">
        <v>56.6</v>
      </c>
      <c r="H61" s="32">
        <f t="shared" si="27"/>
        <v>-5.2724077328646247E-3</v>
      </c>
      <c r="I61" s="91">
        <f>IF(ISNUMBER(G61), $B64 * H61, "")</f>
        <v>-790.86115992969371</v>
      </c>
      <c r="J61" s="15">
        <v>56.4</v>
      </c>
      <c r="K61" s="32">
        <f t="shared" si="28"/>
        <v>-8.7873462214411256E-3</v>
      </c>
      <c r="L61" s="18">
        <f>IF(ISNUMBER(J61), $B64 * K61, "")</f>
        <v>-1318.1019332161688</v>
      </c>
      <c r="M61" s="31">
        <v>56.2</v>
      </c>
      <c r="N61" s="32">
        <f t="shared" si="29"/>
        <v>-1.23022847100175E-2</v>
      </c>
      <c r="O61" s="18">
        <f>IF(ISNUMBER(M61), $B64 * N61, "")</f>
        <v>-1845.3427065026249</v>
      </c>
      <c r="Q61" s="161"/>
      <c r="R61" s="161"/>
      <c r="S61" s="161"/>
    </row>
    <row r="62" spans="1:19" ht="17.25" customHeight="1">
      <c r="A62" s="109" t="s">
        <v>124</v>
      </c>
      <c r="B62" s="110">
        <v>30.4</v>
      </c>
      <c r="C62" s="70">
        <v>3.3003300000000002E-3</v>
      </c>
      <c r="D62" s="15">
        <v>30</v>
      </c>
      <c r="E62" s="32">
        <f t="shared" si="26"/>
        <v>-1.3157894736842059E-2</v>
      </c>
      <c r="F62" s="18">
        <f>IF(ISNUMBER(D62), $B64 * E62, "")</f>
        <v>-1973.684210526309</v>
      </c>
      <c r="G62" s="31">
        <v>29.9</v>
      </c>
      <c r="H62" s="32">
        <f t="shared" si="27"/>
        <v>-1.6447368421052631E-2</v>
      </c>
      <c r="I62" s="91">
        <f>IF(ISNUMBER(G62), $B64 * H62, "")</f>
        <v>-2467.1052631578946</v>
      </c>
      <c r="J62" s="15">
        <v>29.9</v>
      </c>
      <c r="K62" s="32">
        <f t="shared" si="28"/>
        <v>-1.6447368421052631E-2</v>
      </c>
      <c r="L62" s="18">
        <f>IF(ISNUMBER(J62), $B64 * K62, "")</f>
        <v>-2467.1052631578946</v>
      </c>
      <c r="M62" s="31">
        <v>29.7</v>
      </c>
      <c r="N62" s="32">
        <f t="shared" si="29"/>
        <v>-2.3026315789473662E-2</v>
      </c>
      <c r="O62" s="18">
        <f>IF(ISNUMBER(M62), $B64 * N62, "")</f>
        <v>-3453.9473684210493</v>
      </c>
      <c r="Q62" s="183"/>
      <c r="R62" s="184"/>
      <c r="S62" s="185"/>
    </row>
    <row r="63" spans="1:19" ht="17.25" customHeight="1" thickBot="1">
      <c r="A63" s="114" t="s">
        <v>141</v>
      </c>
      <c r="B63" s="115">
        <v>3.16</v>
      </c>
      <c r="C63" s="72">
        <v>3.1746031999999999E-3</v>
      </c>
      <c r="D63" s="24">
        <v>3.11</v>
      </c>
      <c r="E63" s="25">
        <f t="shared" si="26"/>
        <v>-1.5822784810126667E-2</v>
      </c>
      <c r="F63" s="94">
        <f>IF(ISNUMBER(D63), $B64 * E63, "")</f>
        <v>-2373.4177215189998</v>
      </c>
      <c r="G63" s="92">
        <v>3.11</v>
      </c>
      <c r="H63" s="25">
        <f t="shared" si="27"/>
        <v>-1.5822784810126667E-2</v>
      </c>
      <c r="I63" s="93">
        <f>IF(ISNUMBER(G63), $B64 * H63, "")</f>
        <v>-2373.4177215189998</v>
      </c>
      <c r="J63" s="24">
        <v>3.09</v>
      </c>
      <c r="K63" s="25">
        <f t="shared" si="28"/>
        <v>-2.2151898734177305E-2</v>
      </c>
      <c r="L63" s="94">
        <f>IF(ISNUMBER(J63), $B64 * K63, "")</f>
        <v>-3322.7848101265959</v>
      </c>
      <c r="M63" s="92">
        <v>3.08</v>
      </c>
      <c r="N63" s="25">
        <f t="shared" si="29"/>
        <v>-2.5316455696202552E-2</v>
      </c>
      <c r="O63" s="94">
        <f>IF(ISNUMBER(M63), $B64 * N63, "")</f>
        <v>-3797.468354430383</v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-1.2911287049190178E-2</v>
      </c>
      <c r="F64" s="28">
        <f>SUM(F44:F63)</f>
        <v>-38733.861147570533</v>
      </c>
      <c r="G64" s="26" t="s">
        <v>261</v>
      </c>
      <c r="H64" s="27">
        <f>IF(COUNT(H44:H63), SUM(H44:H63) / COUNT(H44:H63), 0)</f>
        <v>-1.524650762550089E-2</v>
      </c>
      <c r="I64" s="28">
        <f>SUM(I44:I63)</f>
        <v>-45739.52287650267</v>
      </c>
      <c r="J64" s="26" t="s">
        <v>261</v>
      </c>
      <c r="K64" s="27">
        <f>IF(COUNT(K44:K63), SUM(K44:K63) / COUNT(K44:K63), 0)</f>
        <v>-1.5138536093848281E-2</v>
      </c>
      <c r="L64" s="28">
        <f>SUM(L44:L63)</f>
        <v>-45415.608281544861</v>
      </c>
      <c r="M64" s="26" t="s">
        <v>261</v>
      </c>
      <c r="N64" s="27">
        <f>IF(COUNT(N44:N63), SUM(N44:N63) / COUNT(N44:N63), 0)</f>
        <v>-1.8753188591632275E-2</v>
      </c>
      <c r="O64" s="28">
        <f>SUM(O44:O63)</f>
        <v>-56259.565774896815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2022-12-25(일) 오전 00:00</v>
      </c>
      <c r="C69" s="199"/>
      <c r="D69" s="158" t="str">
        <f>TEXT($G$1, "[$-ko-KR]yyyy-mm-dd(ddd) ") &amp; "오후 14:00"</f>
        <v>2022-12-25(일) 오후 14:00</v>
      </c>
      <c r="E69" s="159"/>
      <c r="F69" s="160"/>
      <c r="G69" s="158" t="str">
        <f>TEXT($G$1, "[$-ko-KR]yyyy-mm-dd(ddd) ") &amp; "오후 19:00"</f>
        <v>2022-12-25(일) 오후 19:00</v>
      </c>
      <c r="H69" s="159"/>
      <c r="I69" s="160"/>
      <c r="J69" s="158" t="str">
        <f>TEXT($G$1, "[$-ko-KR]yyyy-mm-dd(ddd) ") &amp; "오후 21:00"</f>
        <v>2022-12-25(일) 오후 21:00</v>
      </c>
      <c r="K69" s="159"/>
      <c r="L69" s="160"/>
      <c r="M69" s="158" t="str">
        <f>TEXT($G$1+1, "[$-ko-KR]yyyy-mm-dd(ddd) ") &amp; "오전 00:00"</f>
        <v>2022-12-26(월)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208</v>
      </c>
      <c r="B71" s="108">
        <v>102</v>
      </c>
      <c r="C71" s="69">
        <v>9.4420600899999999E-2</v>
      </c>
      <c r="D71" s="13">
        <v>101</v>
      </c>
      <c r="E71" s="14">
        <f>IF(ISNUMBER(D71), (D71 - $B71) / $B71, "")</f>
        <v>-9.8039215686274508E-3</v>
      </c>
      <c r="F71" s="16">
        <f>IF(ISNUMBER(D71), $B91 * E71, "")</f>
        <v>-1470.5882352941176</v>
      </c>
      <c r="G71" s="29">
        <v>101</v>
      </c>
      <c r="H71" s="14">
        <f>IF(ISNUMBER(G71), (G71 - $B71) / $B71, "")</f>
        <v>-9.8039215686274508E-3</v>
      </c>
      <c r="I71" s="90">
        <f>IF(ISNUMBER(G71), $B91 * H71, "")</f>
        <v>-1470.5882352941176</v>
      </c>
      <c r="J71" s="13">
        <v>100</v>
      </c>
      <c r="K71" s="14">
        <f>IF(ISNUMBER(J71), (J71 - $B71) / $B71, "")</f>
        <v>-1.9607843137254902E-2</v>
      </c>
      <c r="L71" s="16">
        <f>IF(ISNUMBER(J71), $B91 * K71, "")</f>
        <v>-2941.1764705882351</v>
      </c>
      <c r="M71" s="29">
        <v>96.6</v>
      </c>
      <c r="N71" s="14">
        <f>IF(ISNUMBER(M71), (M71 - $B71) / $B71, "")</f>
        <v>-5.294117647058829E-2</v>
      </c>
      <c r="O71" s="16">
        <f>IF(ISNUMBER(M71), $B91 * N71, "")</f>
        <v>-7941.1764705882433</v>
      </c>
      <c r="Q71" s="156"/>
      <c r="R71" s="156"/>
      <c r="S71" s="156"/>
    </row>
    <row r="72" spans="1:19" ht="17.25" thickBot="1">
      <c r="A72" s="109" t="s">
        <v>161</v>
      </c>
      <c r="B72" s="110">
        <v>307</v>
      </c>
      <c r="C72" s="70">
        <v>3.3670033699999997E-2</v>
      </c>
      <c r="D72" s="15">
        <v>303</v>
      </c>
      <c r="E72" s="32">
        <f t="shared" ref="E72:E75" si="30">IF(ISNUMBER(D72), (D72 - $B72) / $B72, "")</f>
        <v>-1.3029315960912053E-2</v>
      </c>
      <c r="F72" s="18">
        <f>IF(ISNUMBER(D72), $B91 * E72, "")</f>
        <v>-1954.3973941368079</v>
      </c>
      <c r="G72" s="31">
        <v>302</v>
      </c>
      <c r="H72" s="32">
        <f t="shared" ref="H72:H75" si="31">IF(ISNUMBER(G72), (G72 - $B72) / $B72, "")</f>
        <v>-1.6286644951140065E-2</v>
      </c>
      <c r="I72" s="91">
        <f>IF(ISNUMBER(G72), $B91 * H72, "")</f>
        <v>-2442.99674267101</v>
      </c>
      <c r="J72" s="15">
        <v>303</v>
      </c>
      <c r="K72" s="32">
        <f t="shared" ref="K72:K75" si="32">IF(ISNUMBER(J72), (J72 - $B72) / $B72, "")</f>
        <v>-1.3029315960912053E-2</v>
      </c>
      <c r="L72" s="18">
        <f>IF(ISNUMBER(J72), $B91 * K72, "")</f>
        <v>-1954.3973941368079</v>
      </c>
      <c r="M72" s="31">
        <v>300</v>
      </c>
      <c r="N72" s="32">
        <f t="shared" ref="N72:N75" si="33">IF(ISNUMBER(M72), (M72 - $B72) / $B72, "")</f>
        <v>-2.2801302931596091E-2</v>
      </c>
      <c r="O72" s="18">
        <f>IF(ISNUMBER(M72), $B91 * N72, "")</f>
        <v>-3420.1954397394138</v>
      </c>
      <c r="Q72" s="156"/>
      <c r="R72" s="156"/>
      <c r="S72" s="156"/>
    </row>
    <row r="73" spans="1:19" ht="17.25" thickBot="1">
      <c r="A73" s="109" t="s">
        <v>222</v>
      </c>
      <c r="B73" s="110">
        <v>406</v>
      </c>
      <c r="C73" s="70">
        <v>3.3078880400000003E-2</v>
      </c>
      <c r="D73" s="15">
        <v>391</v>
      </c>
      <c r="E73" s="32">
        <f t="shared" si="30"/>
        <v>-3.6945812807881777E-2</v>
      </c>
      <c r="F73" s="18">
        <f>IF(ISNUMBER(D73), $B91 * E73, "")</f>
        <v>-5541.8719211822663</v>
      </c>
      <c r="G73" s="31">
        <v>388</v>
      </c>
      <c r="H73" s="32">
        <f t="shared" si="31"/>
        <v>-4.4334975369458129E-2</v>
      </c>
      <c r="I73" s="91">
        <f>IF(ISNUMBER(G73), $B91 * H73, "")</f>
        <v>-6650.2463054187192</v>
      </c>
      <c r="J73" s="15">
        <v>392</v>
      </c>
      <c r="K73" s="32">
        <f t="shared" si="32"/>
        <v>-3.4482758620689655E-2</v>
      </c>
      <c r="L73" s="18">
        <f>IF(ISNUMBER(J73), $B91 * K73, "")</f>
        <v>-5172.4137931034484</v>
      </c>
      <c r="M73" s="31">
        <v>389</v>
      </c>
      <c r="N73" s="32">
        <f t="shared" si="33"/>
        <v>-4.1871921182266007E-2</v>
      </c>
      <c r="O73" s="18">
        <f>IF(ISNUMBER(M73), $B91 * N73, "")</f>
        <v>-6280.7881773399013</v>
      </c>
      <c r="Q73" s="161"/>
      <c r="R73" s="161"/>
      <c r="S73" s="161"/>
    </row>
    <row r="74" spans="1:19" ht="17.25" thickBot="1">
      <c r="A74" s="109" t="s">
        <v>234</v>
      </c>
      <c r="B74" s="110">
        <v>356</v>
      </c>
      <c r="C74" s="70">
        <v>3.1884058E-2</v>
      </c>
      <c r="D74" s="15">
        <v>345</v>
      </c>
      <c r="E74" s="32">
        <f t="shared" si="30"/>
        <v>-3.0898876404494381E-2</v>
      </c>
      <c r="F74" s="18">
        <f>IF(ISNUMBER(D74), $B91 * E74, "")</f>
        <v>-4634.8314606741569</v>
      </c>
      <c r="G74" s="31">
        <v>340</v>
      </c>
      <c r="H74" s="32">
        <f t="shared" si="31"/>
        <v>-4.49438202247191E-2</v>
      </c>
      <c r="I74" s="91">
        <f>IF(ISNUMBER(G74), $B91 * H74, "")</f>
        <v>-6741.5730337078649</v>
      </c>
      <c r="J74" s="15">
        <v>341</v>
      </c>
      <c r="K74" s="32">
        <f t="shared" si="32"/>
        <v>-4.2134831460674156E-2</v>
      </c>
      <c r="L74" s="18">
        <f>IF(ISNUMBER(J74), $B91 * K74, "")</f>
        <v>-6320.2247191011238</v>
      </c>
      <c r="M74" s="31">
        <v>340</v>
      </c>
      <c r="N74" s="32">
        <f t="shared" si="33"/>
        <v>-4.49438202247191E-2</v>
      </c>
      <c r="O74" s="18">
        <f>IF(ISNUMBER(M74), $B91 * N74, "")</f>
        <v>-6741.5730337078649</v>
      </c>
      <c r="Q74" s="161"/>
      <c r="R74" s="161"/>
      <c r="S74" s="161"/>
    </row>
    <row r="75" spans="1:19" ht="17.25" thickBot="1">
      <c r="A75" s="111" t="s">
        <v>218</v>
      </c>
      <c r="B75" s="112">
        <v>320</v>
      </c>
      <c r="C75" s="71">
        <v>2.8938906800000001E-2</v>
      </c>
      <c r="D75" s="20">
        <v>311</v>
      </c>
      <c r="E75" s="21">
        <f t="shared" si="30"/>
        <v>-2.8125000000000001E-2</v>
      </c>
      <c r="F75" s="22">
        <f>IF(ISNUMBER(D75), $B91 * E75, "")</f>
        <v>-4218.75</v>
      </c>
      <c r="G75" s="30">
        <v>310</v>
      </c>
      <c r="H75" s="21">
        <f t="shared" si="31"/>
        <v>-3.125E-2</v>
      </c>
      <c r="I75" s="95">
        <f>IF(ISNUMBER(G75), $B91 * H75, "")</f>
        <v>-4687.5</v>
      </c>
      <c r="J75" s="20">
        <v>310</v>
      </c>
      <c r="K75" s="21">
        <f t="shared" si="32"/>
        <v>-3.125E-2</v>
      </c>
      <c r="L75" s="22">
        <f>IF(ISNUMBER(J75), $B91 * K75, "")</f>
        <v>-4687.5</v>
      </c>
      <c r="M75" s="30">
        <v>308</v>
      </c>
      <c r="N75" s="21">
        <f t="shared" si="33"/>
        <v>-3.7499999999999999E-2</v>
      </c>
      <c r="O75" s="22">
        <f>IF(ISNUMBER(M75), $B91 * N75, "")</f>
        <v>-5625</v>
      </c>
      <c r="Q75" s="161"/>
      <c r="R75" s="161"/>
      <c r="S75" s="161"/>
    </row>
    <row r="76" spans="1:19" ht="17.25" thickBot="1">
      <c r="A76" s="109" t="s">
        <v>226</v>
      </c>
      <c r="B76" s="113">
        <v>213</v>
      </c>
      <c r="C76" s="73">
        <v>2.40384615E-2</v>
      </c>
      <c r="D76" s="96">
        <v>209</v>
      </c>
      <c r="E76" s="97">
        <f>IF(ISNUMBER(D76), (D76 - $B76) / $B76, "")</f>
        <v>-1.8779342723004695E-2</v>
      </c>
      <c r="F76" s="98">
        <f>IF(ISNUMBER(D76), $B91 * E76, "")</f>
        <v>-2816.9014084507044</v>
      </c>
      <c r="G76" s="99">
        <v>209</v>
      </c>
      <c r="H76" s="97">
        <f>IF(ISNUMBER(G76), (G76 - $B76) / $B76, "")</f>
        <v>-1.8779342723004695E-2</v>
      </c>
      <c r="I76" s="100">
        <f>IF(ISNUMBER(G76), $B91 * H76, "")</f>
        <v>-2816.9014084507044</v>
      </c>
      <c r="J76" s="96">
        <v>209</v>
      </c>
      <c r="K76" s="97">
        <f>IF(ISNUMBER(J76), (J76 - $B76) / $B76, "")</f>
        <v>-1.8779342723004695E-2</v>
      </c>
      <c r="L76" s="98">
        <f>IF(ISNUMBER(J76), $B91 * K76, "")</f>
        <v>-2816.9014084507044</v>
      </c>
      <c r="M76" s="99">
        <v>207</v>
      </c>
      <c r="N76" s="97">
        <f>IF(ISNUMBER(M76), (M76 - $B76) / $B76, "")</f>
        <v>-2.8169014084507043E-2</v>
      </c>
      <c r="O76" s="98">
        <f>IF(ISNUMBER(M76), $B91 * N76, "")</f>
        <v>-4225.3521126760561</v>
      </c>
      <c r="Q76" s="161"/>
      <c r="R76" s="161"/>
      <c r="S76" s="161"/>
    </row>
    <row r="77" spans="1:19" ht="17.25" thickBot="1">
      <c r="A77" s="109" t="s">
        <v>242</v>
      </c>
      <c r="B77" s="110">
        <v>439</v>
      </c>
      <c r="C77" s="70">
        <v>2.33100233E-2</v>
      </c>
      <c r="D77" s="15">
        <v>429</v>
      </c>
      <c r="E77" s="32">
        <f t="shared" ref="E77:E80" si="34">IF(ISNUMBER(D77), (D77 - $B77) / $B77, "")</f>
        <v>-2.2779043280182234E-2</v>
      </c>
      <c r="F77" s="18">
        <f>IF(ISNUMBER(D77), $B91 * E77, "")</f>
        <v>-3416.8564920273352</v>
      </c>
      <c r="G77" s="31">
        <v>426</v>
      </c>
      <c r="H77" s="32">
        <f t="shared" ref="H77:H80" si="35">IF(ISNUMBER(G77), (G77 - $B77) / $B77, "")</f>
        <v>-2.9612756264236904E-2</v>
      </c>
      <c r="I77" s="91">
        <f>IF(ISNUMBER(G77), $B91 * H77, "")</f>
        <v>-4441.9134396355357</v>
      </c>
      <c r="J77" s="15">
        <v>422</v>
      </c>
      <c r="K77" s="32">
        <f t="shared" ref="K77:K80" si="36">IF(ISNUMBER(J77), (J77 - $B77) / $B77, "")</f>
        <v>-3.8724373576309798E-2</v>
      </c>
      <c r="L77" s="18">
        <f>IF(ISNUMBER(J77), $B91 * K77, "")</f>
        <v>-5808.6560364464694</v>
      </c>
      <c r="M77" s="31">
        <v>425</v>
      </c>
      <c r="N77" s="32">
        <f t="shared" ref="N77:N80" si="37">IF(ISNUMBER(M77), (M77 - $B77) / $B77, "")</f>
        <v>-3.1890660592255128E-2</v>
      </c>
      <c r="O77" s="18">
        <f>IF(ISNUMBER(M77), $B91 * N77, "")</f>
        <v>-4783.5990888382694</v>
      </c>
      <c r="Q77" s="161"/>
      <c r="R77" s="161"/>
      <c r="S77" s="161"/>
    </row>
    <row r="78" spans="1:19" ht="17.25" thickBot="1">
      <c r="A78" s="109" t="s">
        <v>202</v>
      </c>
      <c r="B78" s="110">
        <v>310</v>
      </c>
      <c r="C78" s="70">
        <v>1.9736842099999999E-2</v>
      </c>
      <c r="D78" s="15">
        <v>307</v>
      </c>
      <c r="E78" s="32">
        <f t="shared" si="34"/>
        <v>-9.6774193548387101E-3</v>
      </c>
      <c r="F78" s="18">
        <f>IF(ISNUMBER(D78), $B91 * E78, "")</f>
        <v>-1451.6129032258066</v>
      </c>
      <c r="G78" s="31">
        <v>306</v>
      </c>
      <c r="H78" s="32">
        <f t="shared" si="35"/>
        <v>-1.2903225806451613E-2</v>
      </c>
      <c r="I78" s="91">
        <f>IF(ISNUMBER(G78), $B91 * H78, "")</f>
        <v>-1935.483870967742</v>
      </c>
      <c r="J78" s="15">
        <v>304</v>
      </c>
      <c r="K78" s="32">
        <f t="shared" si="36"/>
        <v>-1.935483870967742E-2</v>
      </c>
      <c r="L78" s="18">
        <f>IF(ISNUMBER(J78), $B91 * K78, "")</f>
        <v>-2903.2258064516132</v>
      </c>
      <c r="M78" s="31">
        <v>303</v>
      </c>
      <c r="N78" s="32">
        <f t="shared" si="37"/>
        <v>-2.2580645161290321E-2</v>
      </c>
      <c r="O78" s="18">
        <f>IF(ISNUMBER(M78), $B91 * N78, "")</f>
        <v>-3387.0967741935483</v>
      </c>
      <c r="Q78" s="161"/>
      <c r="R78" s="161"/>
      <c r="S78" s="161"/>
    </row>
    <row r="79" spans="1:19" ht="17.25" thickBot="1">
      <c r="A79" s="109" t="s">
        <v>183</v>
      </c>
      <c r="B79" s="110">
        <v>130</v>
      </c>
      <c r="C79" s="70">
        <v>1.5625E-2</v>
      </c>
      <c r="D79" s="15">
        <v>127</v>
      </c>
      <c r="E79" s="32">
        <f t="shared" si="34"/>
        <v>-2.3076923076923078E-2</v>
      </c>
      <c r="F79" s="18">
        <f>IF(ISNUMBER(D79), $B91 * E79, "")</f>
        <v>-3461.5384615384619</v>
      </c>
      <c r="G79" s="31">
        <v>127</v>
      </c>
      <c r="H79" s="32">
        <f t="shared" si="35"/>
        <v>-2.3076923076923078E-2</v>
      </c>
      <c r="I79" s="91">
        <f>IF(ISNUMBER(G79), $B91 * H79, "")</f>
        <v>-3461.5384615384619</v>
      </c>
      <c r="J79" s="15">
        <v>127</v>
      </c>
      <c r="K79" s="32">
        <f t="shared" si="36"/>
        <v>-2.3076923076923078E-2</v>
      </c>
      <c r="L79" s="18">
        <f>IF(ISNUMBER(J79), $B91 * K79, "")</f>
        <v>-3461.5384615384619</v>
      </c>
      <c r="M79" s="31">
        <v>126</v>
      </c>
      <c r="N79" s="32">
        <f t="shared" si="37"/>
        <v>-3.0769230769230771E-2</v>
      </c>
      <c r="O79" s="18">
        <f>IF(ISNUMBER(M79), $B91 * N79, "")</f>
        <v>-4615.3846153846152</v>
      </c>
      <c r="Q79" s="33"/>
      <c r="R79" s="33"/>
    </row>
    <row r="80" spans="1:19" ht="17.25" thickBot="1">
      <c r="A80" s="114" t="s">
        <v>176</v>
      </c>
      <c r="B80" s="115">
        <v>305</v>
      </c>
      <c r="C80" s="72">
        <v>1.32890365E-2</v>
      </c>
      <c r="D80" s="24">
        <v>306</v>
      </c>
      <c r="E80" s="25">
        <f t="shared" si="34"/>
        <v>3.2786885245901639E-3</v>
      </c>
      <c r="F80" s="94">
        <f>IF(ISNUMBER(D80), $B91 * E80, "")</f>
        <v>491.80327868852459</v>
      </c>
      <c r="G80" s="92">
        <v>303</v>
      </c>
      <c r="H80" s="25">
        <f t="shared" si="35"/>
        <v>-6.5573770491803279E-3</v>
      </c>
      <c r="I80" s="93">
        <f>IF(ISNUMBER(G80), $B91 * H80, "")</f>
        <v>-983.60655737704917</v>
      </c>
      <c r="J80" s="24">
        <v>306</v>
      </c>
      <c r="K80" s="25">
        <f t="shared" si="36"/>
        <v>3.2786885245901639E-3</v>
      </c>
      <c r="L80" s="94">
        <f>IF(ISNUMBER(J80), $B91 * K80, "")</f>
        <v>491.80327868852459</v>
      </c>
      <c r="M80" s="92">
        <v>303</v>
      </c>
      <c r="N80" s="25">
        <f t="shared" si="37"/>
        <v>-6.5573770491803279E-3</v>
      </c>
      <c r="O80" s="94">
        <f>IF(ISNUMBER(M80), $B91 * N80, "")</f>
        <v>-983.60655737704917</v>
      </c>
      <c r="Q80" s="170"/>
      <c r="R80" s="171"/>
      <c r="S80" s="172"/>
    </row>
    <row r="81" spans="1:19">
      <c r="A81" s="107" t="s">
        <v>216</v>
      </c>
      <c r="B81" s="108">
        <v>468</v>
      </c>
      <c r="C81" s="69">
        <v>1.2987013E-2</v>
      </c>
      <c r="D81" s="13">
        <v>459</v>
      </c>
      <c r="E81" s="14">
        <f>IF(ISNUMBER(D81), (D81 - $B81) / $B81, "")</f>
        <v>-1.9230769230769232E-2</v>
      </c>
      <c r="F81" s="16">
        <f>IF(ISNUMBER(D81), $B91 * E81, "")</f>
        <v>-2884.6153846153848</v>
      </c>
      <c r="G81" s="29">
        <v>458</v>
      </c>
      <c r="H81" s="14">
        <f>IF(ISNUMBER(G81), (G81 - $B81) / $B81, "")</f>
        <v>-2.1367521367521368E-2</v>
      </c>
      <c r="I81" s="90">
        <f>IF(ISNUMBER(G81), $B91 * H81, "")</f>
        <v>-3205.1282051282051</v>
      </c>
      <c r="J81" s="13">
        <v>455</v>
      </c>
      <c r="K81" s="14">
        <f>IF(ISNUMBER(J81), (J81 - $B81) / $B81, "")</f>
        <v>-2.7777777777777776E-2</v>
      </c>
      <c r="L81" s="16">
        <f>IF(ISNUMBER(J81), $B91 * K81, "")</f>
        <v>-4166.6666666666661</v>
      </c>
      <c r="M81" s="29">
        <v>453</v>
      </c>
      <c r="N81" s="14">
        <f>IF(ISNUMBER(M81), (M81 - $B81) / $B81, "")</f>
        <v>-3.2051282051282048E-2</v>
      </c>
      <c r="O81" s="16">
        <f>IF(ISNUMBER(M81), $B91 * N81, "")</f>
        <v>-4807.6923076923076</v>
      </c>
      <c r="Q81" s="173"/>
      <c r="R81" s="174"/>
      <c r="S81" s="175"/>
    </row>
    <row r="82" spans="1:19" ht="17.25" thickBot="1">
      <c r="A82" s="109" t="s">
        <v>159</v>
      </c>
      <c r="B82" s="110">
        <v>159</v>
      </c>
      <c r="C82" s="70">
        <v>6.3291138999999998E-3</v>
      </c>
      <c r="D82" s="15">
        <v>156</v>
      </c>
      <c r="E82" s="32">
        <f t="shared" ref="E82:E85" si="38">IF(ISNUMBER(D82), (D82 - $B82) / $B82, "")</f>
        <v>-1.8867924528301886E-2</v>
      </c>
      <c r="F82" s="18">
        <f>IF(ISNUMBER(D82), $B91 * E82, "")</f>
        <v>-2830.1886792452829</v>
      </c>
      <c r="G82" s="31">
        <v>156</v>
      </c>
      <c r="H82" s="32">
        <f t="shared" ref="H82:H85" si="39">IF(ISNUMBER(G82), (G82 - $B82) / $B82, "")</f>
        <v>-1.8867924528301886E-2</v>
      </c>
      <c r="I82" s="91">
        <f>IF(ISNUMBER(G82), $B91 * H82, "")</f>
        <v>-2830.1886792452829</v>
      </c>
      <c r="J82" s="15">
        <v>156</v>
      </c>
      <c r="K82" s="32">
        <f t="shared" ref="K82:K85" si="40">IF(ISNUMBER(J82), (J82 - $B82) / $B82, "")</f>
        <v>-1.8867924528301886E-2</v>
      </c>
      <c r="L82" s="18">
        <f>IF(ISNUMBER(J82), $B91 * K82, "")</f>
        <v>-2830.1886792452829</v>
      </c>
      <c r="M82" s="31">
        <v>155</v>
      </c>
      <c r="N82" s="32">
        <f t="shared" ref="N82:N85" si="41">IF(ISNUMBER(M82), (M82 - $B82) / $B82, "")</f>
        <v>-2.5157232704402517E-2</v>
      </c>
      <c r="O82" s="18">
        <f>IF(ISNUMBER(M82), $B91 * N82, "")</f>
        <v>-3773.5849056603774</v>
      </c>
      <c r="Q82" s="176"/>
      <c r="R82" s="177"/>
      <c r="S82" s="178"/>
    </row>
    <row r="83" spans="1:19" ht="17.25" thickBot="1">
      <c r="A83" s="109" t="s">
        <v>167</v>
      </c>
      <c r="B83" s="110">
        <v>174</v>
      </c>
      <c r="C83" s="70">
        <v>5.7803467999999998E-3</v>
      </c>
      <c r="D83" s="15">
        <v>172</v>
      </c>
      <c r="E83" s="32">
        <f t="shared" si="38"/>
        <v>-1.1494252873563218E-2</v>
      </c>
      <c r="F83" s="18">
        <f>IF(ISNUMBER(D83), $B91 * E83, "")</f>
        <v>-1724.1379310344828</v>
      </c>
      <c r="G83" s="31">
        <v>170</v>
      </c>
      <c r="H83" s="32">
        <f t="shared" si="39"/>
        <v>-2.2988505747126436E-2</v>
      </c>
      <c r="I83" s="91">
        <f>IF(ISNUMBER(G83), $B91 * H83, "")</f>
        <v>-3448.2758620689656</v>
      </c>
      <c r="J83" s="15">
        <v>170</v>
      </c>
      <c r="K83" s="32">
        <f t="shared" si="40"/>
        <v>-2.2988505747126436E-2</v>
      </c>
      <c r="L83" s="18">
        <f>IF(ISNUMBER(J83), $B91 * K83, "")</f>
        <v>-3448.2758620689656</v>
      </c>
      <c r="M83" s="31">
        <v>170</v>
      </c>
      <c r="N83" s="32">
        <f t="shared" si="41"/>
        <v>-2.2988505747126436E-2</v>
      </c>
      <c r="O83" s="18">
        <f>IF(ISNUMBER(M83), $B91 * N83, "")</f>
        <v>-3448.2758620689656</v>
      </c>
      <c r="Q83" s="161"/>
      <c r="R83" s="161"/>
      <c r="S83" s="161"/>
    </row>
    <row r="84" spans="1:19" ht="17.25" thickBot="1">
      <c r="A84" s="109" t="s">
        <v>103</v>
      </c>
      <c r="B84" s="110">
        <v>220</v>
      </c>
      <c r="C84" s="70">
        <v>4.5662100000000002E-3</v>
      </c>
      <c r="D84" s="15">
        <v>218</v>
      </c>
      <c r="E84" s="32">
        <f t="shared" si="38"/>
        <v>-9.0909090909090905E-3</v>
      </c>
      <c r="F84" s="18">
        <f>IF(ISNUMBER(D84), $B91 * E84, "")</f>
        <v>-1363.6363636363635</v>
      </c>
      <c r="G84" s="31">
        <v>217</v>
      </c>
      <c r="H84" s="32">
        <f t="shared" si="39"/>
        <v>-1.3636363636363636E-2</v>
      </c>
      <c r="I84" s="91">
        <f>IF(ISNUMBER(G84), $B91 * H84, "")</f>
        <v>-2045.4545454545453</v>
      </c>
      <c r="J84" s="15">
        <v>215</v>
      </c>
      <c r="K84" s="32">
        <f t="shared" si="40"/>
        <v>-2.2727272727272728E-2</v>
      </c>
      <c r="L84" s="18">
        <f>IF(ISNUMBER(J84), $B91 * K84, "")</f>
        <v>-3409.090909090909</v>
      </c>
      <c r="M84" s="31">
        <v>213</v>
      </c>
      <c r="N84" s="32">
        <f t="shared" si="41"/>
        <v>-3.1818181818181815E-2</v>
      </c>
      <c r="O84" s="18">
        <f>IF(ISNUMBER(M84), $B91 * N84, "")</f>
        <v>-4772.7272727272721</v>
      </c>
      <c r="Q84" s="156"/>
      <c r="R84" s="156"/>
      <c r="S84" s="156"/>
    </row>
    <row r="85" spans="1:19" ht="17.25" thickBot="1">
      <c r="A85" s="111" t="s">
        <v>340</v>
      </c>
      <c r="B85" s="112">
        <v>521</v>
      </c>
      <c r="C85" s="71">
        <v>3.8535645E-3</v>
      </c>
      <c r="D85" s="20">
        <v>521</v>
      </c>
      <c r="E85" s="21">
        <f t="shared" si="38"/>
        <v>0</v>
      </c>
      <c r="F85" s="22">
        <f>IF(ISNUMBER(D85), $B91 * E85, "")</f>
        <v>0</v>
      </c>
      <c r="G85" s="30">
        <v>519</v>
      </c>
      <c r="H85" s="21">
        <f t="shared" si="39"/>
        <v>-3.838771593090211E-3</v>
      </c>
      <c r="I85" s="95">
        <f>IF(ISNUMBER(G85), $B91 * H85, "")</f>
        <v>-575.81573896353166</v>
      </c>
      <c r="J85" s="20">
        <v>514</v>
      </c>
      <c r="K85" s="21">
        <f t="shared" si="40"/>
        <v>-1.3435700575815739E-2</v>
      </c>
      <c r="L85" s="22">
        <f>IF(ISNUMBER(J85), $B91 * K85, "")</f>
        <v>-2015.3550863723608</v>
      </c>
      <c r="M85" s="30">
        <v>511</v>
      </c>
      <c r="N85" s="21">
        <f t="shared" si="41"/>
        <v>-1.9193857965451054E-2</v>
      </c>
      <c r="O85" s="22">
        <f>IF(ISNUMBER(M85), $B91 * N85, "")</f>
        <v>-2879.0786948176583</v>
      </c>
      <c r="Q85" s="156"/>
      <c r="R85" s="156"/>
      <c r="S85" s="156"/>
    </row>
    <row r="86" spans="1:19" ht="17.25" thickBot="1">
      <c r="A86" s="109" t="s">
        <v>66</v>
      </c>
      <c r="B86" s="113">
        <v>667</v>
      </c>
      <c r="C86" s="73">
        <v>3.0075188000000001E-3</v>
      </c>
      <c r="D86" s="96">
        <v>658</v>
      </c>
      <c r="E86" s="97">
        <f>IF(ISNUMBER(D86), (D86 - $B86) / $B86, "")</f>
        <v>-1.3493253373313344E-2</v>
      </c>
      <c r="F86" s="98">
        <f>IF(ISNUMBER(D86), $B91 * E86, "")</f>
        <v>-2023.9880059970017</v>
      </c>
      <c r="G86" s="99">
        <v>656</v>
      </c>
      <c r="H86" s="97">
        <f>IF(ISNUMBER(G86), (G86 - $B86) / $B86, "")</f>
        <v>-1.6491754122938532E-2</v>
      </c>
      <c r="I86" s="100">
        <f>IF(ISNUMBER(G86), $B91 * H86, "")</f>
        <v>-2473.7631184407796</v>
      </c>
      <c r="J86" s="96">
        <v>655</v>
      </c>
      <c r="K86" s="97">
        <f>IF(ISNUMBER(J86), (J86 - $B86) / $B86, "")</f>
        <v>-1.7991004497751123E-2</v>
      </c>
      <c r="L86" s="98">
        <f>IF(ISNUMBER(J86), $B91 * K86, "")</f>
        <v>-2698.6506746626683</v>
      </c>
      <c r="M86" s="99">
        <v>654</v>
      </c>
      <c r="N86" s="97">
        <f>IF(ISNUMBER(M86), (M86 - $B86) / $B86, "")</f>
        <v>-1.9490254872563718E-2</v>
      </c>
      <c r="O86" s="98">
        <f>IF(ISNUMBER(M86), $B91 * N86, "")</f>
        <v>-2923.5382308845578</v>
      </c>
      <c r="Q86" s="161"/>
      <c r="R86" s="161"/>
      <c r="S86" s="161"/>
    </row>
    <row r="87" spans="1:19" ht="17.25" thickBot="1">
      <c r="A87" s="109" t="s">
        <v>130</v>
      </c>
      <c r="B87" s="110">
        <v>691</v>
      </c>
      <c r="C87" s="70">
        <v>2.9027575999999999E-3</v>
      </c>
      <c r="D87" s="15">
        <v>689</v>
      </c>
      <c r="E87" s="32">
        <f t="shared" ref="E87:E90" si="42">IF(ISNUMBER(D87), (D87 - $B87) / $B87, "")</f>
        <v>-2.8943560057887118E-3</v>
      </c>
      <c r="F87" s="18">
        <f>IF(ISNUMBER(D87), $B91 * E87, "")</f>
        <v>-434.15340086830679</v>
      </c>
      <c r="G87" s="31">
        <v>688</v>
      </c>
      <c r="H87" s="32">
        <f t="shared" ref="H87:H90" si="43">IF(ISNUMBER(G87), (G87 - $B87) / $B87, "")</f>
        <v>-4.3415340086830683E-3</v>
      </c>
      <c r="I87" s="91">
        <f>IF(ISNUMBER(G87), $B91 * H87, "")</f>
        <v>-651.2301013024603</v>
      </c>
      <c r="J87" s="15">
        <v>687</v>
      </c>
      <c r="K87" s="32">
        <f t="shared" ref="K87:K90" si="44">IF(ISNUMBER(J87), (J87 - $B87) / $B87, "")</f>
        <v>-5.7887120115774236E-3</v>
      </c>
      <c r="L87" s="18">
        <f>IF(ISNUMBER(J87), $B91 * K87, "")</f>
        <v>-868.30680173661358</v>
      </c>
      <c r="M87" s="31">
        <v>683</v>
      </c>
      <c r="N87" s="32">
        <f t="shared" ref="N87:N90" si="45">IF(ISNUMBER(M87), (M87 - $B87) / $B87, "")</f>
        <v>-1.1577424023154847E-2</v>
      </c>
      <c r="O87" s="18">
        <f>IF(ISNUMBER(M87), $B91 * N87, "")</f>
        <v>-1736.6136034732272</v>
      </c>
      <c r="Q87" s="161"/>
      <c r="R87" s="161"/>
      <c r="S87" s="161"/>
    </row>
    <row r="88" spans="1:19" ht="17.25" thickBot="1">
      <c r="A88" s="109" t="s">
        <v>105</v>
      </c>
      <c r="B88" s="110">
        <v>197</v>
      </c>
      <c r="C88" s="70">
        <v>0</v>
      </c>
      <c r="D88" s="15">
        <v>194</v>
      </c>
      <c r="E88" s="32">
        <f t="shared" si="42"/>
        <v>-1.5228426395939087E-2</v>
      </c>
      <c r="F88" s="18">
        <f>IF(ISNUMBER(D88), $B91 * E88, "")</f>
        <v>-2284.263959390863</v>
      </c>
      <c r="G88" s="31">
        <v>193</v>
      </c>
      <c r="H88" s="32">
        <f t="shared" si="43"/>
        <v>-2.030456852791878E-2</v>
      </c>
      <c r="I88" s="91">
        <f>IF(ISNUMBER(G88), $B91 * H88, "")</f>
        <v>-3045.6852791878168</v>
      </c>
      <c r="J88" s="15">
        <v>194</v>
      </c>
      <c r="K88" s="32">
        <f t="shared" si="44"/>
        <v>-1.5228426395939087E-2</v>
      </c>
      <c r="L88" s="18">
        <f>IF(ISNUMBER(J88), $B91 * K88, "")</f>
        <v>-2284.263959390863</v>
      </c>
      <c r="M88" s="31">
        <v>195</v>
      </c>
      <c r="N88" s="32">
        <f t="shared" si="45"/>
        <v>-1.015228426395939E-2</v>
      </c>
      <c r="O88" s="18">
        <f>IF(ISNUMBER(M88), $B91 * N88, "")</f>
        <v>-1522.8426395939084</v>
      </c>
      <c r="Q88" s="161"/>
      <c r="R88" s="161"/>
      <c r="S88" s="161"/>
    </row>
    <row r="89" spans="1:19">
      <c r="A89" s="109" t="s">
        <v>352</v>
      </c>
      <c r="B89" s="110">
        <v>184</v>
      </c>
      <c r="C89" s="70">
        <v>0</v>
      </c>
      <c r="D89" s="15">
        <v>182</v>
      </c>
      <c r="E89" s="32">
        <f t="shared" si="42"/>
        <v>-1.0869565217391304E-2</v>
      </c>
      <c r="F89" s="18">
        <f>IF(ISNUMBER(D89), $B91 * E89, "")</f>
        <v>-1630.4347826086955</v>
      </c>
      <c r="G89" s="31">
        <v>180</v>
      </c>
      <c r="H89" s="32">
        <f t="shared" si="43"/>
        <v>-2.1739130434782608E-2</v>
      </c>
      <c r="I89" s="91">
        <f>IF(ISNUMBER(G89), $B91 * H89, "")</f>
        <v>-3260.869565217391</v>
      </c>
      <c r="J89" s="15">
        <v>180</v>
      </c>
      <c r="K89" s="32">
        <f t="shared" si="44"/>
        <v>-2.1739130434782608E-2</v>
      </c>
      <c r="L89" s="18">
        <f>IF(ISNUMBER(J89), $B91 * K89, "")</f>
        <v>-3260.869565217391</v>
      </c>
      <c r="M89" s="31">
        <v>180</v>
      </c>
      <c r="N89" s="32">
        <f t="shared" si="45"/>
        <v>-2.1739130434782608E-2</v>
      </c>
      <c r="O89" s="18">
        <f>IF(ISNUMBER(M89), $B91 * N89, "")</f>
        <v>-3260.869565217391</v>
      </c>
      <c r="Q89" s="183"/>
      <c r="R89" s="184"/>
      <c r="S89" s="185"/>
    </row>
    <row r="90" spans="1:19" ht="17.25" thickBot="1">
      <c r="A90" s="114" t="s">
        <v>79</v>
      </c>
      <c r="B90" s="115">
        <v>247</v>
      </c>
      <c r="C90" s="72">
        <v>0</v>
      </c>
      <c r="D90" s="24">
        <v>246</v>
      </c>
      <c r="E90" s="25">
        <f t="shared" si="42"/>
        <v>-4.048582995951417E-3</v>
      </c>
      <c r="F90" s="94">
        <f>IF(ISNUMBER(D90), $B91 * E90, "")</f>
        <v>-607.28744939271257</v>
      </c>
      <c r="G90" s="92">
        <v>245</v>
      </c>
      <c r="H90" s="25">
        <f t="shared" si="43"/>
        <v>-8.0971659919028341E-3</v>
      </c>
      <c r="I90" s="93">
        <f>IF(ISNUMBER(G90), $B91 * H90, "")</f>
        <v>-1214.5748987854251</v>
      </c>
      <c r="J90" s="24">
        <v>243</v>
      </c>
      <c r="K90" s="25">
        <f t="shared" si="44"/>
        <v>-1.6194331983805668E-2</v>
      </c>
      <c r="L90" s="94">
        <f>IF(ISNUMBER(J90), $B91 * K90, "")</f>
        <v>-2429.1497975708503</v>
      </c>
      <c r="M90" s="92">
        <v>242</v>
      </c>
      <c r="N90" s="25">
        <f t="shared" si="45"/>
        <v>-2.0242914979757085E-2</v>
      </c>
      <c r="O90" s="94">
        <f>IF(ISNUMBER(M90), $B91 * N90, "")</f>
        <v>-3036.4372469635628</v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-1.4752750318210073E-2</v>
      </c>
      <c r="F91" s="28">
        <f>SUM(F71:F90)</f>
        <v>-44258.250954630232</v>
      </c>
      <c r="G91" s="26" t="s">
        <v>261</v>
      </c>
      <c r="H91" s="27">
        <f>IF(COUNT(H71:H90), SUM(H71:H90) / COUNT(H71:H90), 0)</f>
        <v>-1.9461111349618539E-2</v>
      </c>
      <c r="I91" s="28">
        <f>SUM(I71:I90)</f>
        <v>-58383.334048855606</v>
      </c>
      <c r="J91" s="26" t="s">
        <v>261</v>
      </c>
      <c r="K91" s="27">
        <f>IF(COUNT(K71:K90), SUM(K71:K90) / COUNT(K71:K90), 0)</f>
        <v>-2.0995016271050302E-2</v>
      </c>
      <c r="L91" s="28">
        <f>SUM(L71:L90)</f>
        <v>-62985.048813150912</v>
      </c>
      <c r="M91" s="26" t="s">
        <v>261</v>
      </c>
      <c r="N91" s="27">
        <f>IF(COUNT(N71:N90), SUM(N71:N90) / COUNT(N71:N90), 0)</f>
        <v>-2.6721810866314727E-2</v>
      </c>
      <c r="O91" s="28">
        <f>SUM(O71:O90)</f>
        <v>-80165.432598944171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2022-12-25(일) 오전 00:00</v>
      </c>
      <c r="C96" s="199"/>
      <c r="D96" s="158" t="str">
        <f>TEXT($G$1, "[$-ko-KR]yyyy-mm-dd(ddd) ") &amp; "오후 14:00"</f>
        <v>2022-12-25(일) 오후 14:00</v>
      </c>
      <c r="E96" s="159"/>
      <c r="F96" s="160"/>
      <c r="G96" s="158" t="str">
        <f>TEXT($G$1, "[$-ko-KR]yyyy-mm-dd(ddd) ") &amp; "오후 19:00"</f>
        <v>2022-12-25(일) 오후 19:00</v>
      </c>
      <c r="H96" s="159"/>
      <c r="I96" s="160"/>
      <c r="J96" s="158" t="str">
        <f>TEXT($G$1, "[$-ko-KR]yyyy-mm-dd(ddd) ") &amp; "오후 21:00"</f>
        <v>2022-12-25(일) 오후 21:00</v>
      </c>
      <c r="K96" s="159"/>
      <c r="L96" s="160"/>
      <c r="M96" s="158" t="str">
        <f>TEXT($G$1+1, "[$-ko-KR]yyyy-mm-dd(ddd) ") &amp; "오전 00:00"</f>
        <v>2022-12-26(월)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208</v>
      </c>
      <c r="B98" s="108">
        <v>102</v>
      </c>
      <c r="C98" s="69">
        <v>9.4420600899999999E-2</v>
      </c>
      <c r="D98" s="13">
        <v>101</v>
      </c>
      <c r="E98" s="14">
        <f>IF(ISNUMBER(D98), (D98 - $B98) / $B98, "")</f>
        <v>-9.8039215686274508E-3</v>
      </c>
      <c r="F98" s="16">
        <f>IF(ISNUMBER(D98), $B118 * E98, "")</f>
        <v>-1470.5882352941176</v>
      </c>
      <c r="G98" s="29">
        <v>101</v>
      </c>
      <c r="H98" s="14">
        <f>IF(ISNUMBER(G98), (G98 - $B98) / $B98, "")</f>
        <v>-9.8039215686274508E-3</v>
      </c>
      <c r="I98" s="90">
        <f>IF(ISNUMBER(G98), $B118 * H98, "")</f>
        <v>-1470.5882352941176</v>
      </c>
      <c r="J98" s="13">
        <v>100</v>
      </c>
      <c r="K98" s="14">
        <f>IF(ISNUMBER(J98), (J98 - $B98) / $B98, "")</f>
        <v>-1.9607843137254902E-2</v>
      </c>
      <c r="L98" s="16">
        <f>IF(ISNUMBER(J98), $B118 * K98, "")</f>
        <v>-2941.1764705882351</v>
      </c>
      <c r="M98" s="29">
        <v>96.6</v>
      </c>
      <c r="N98" s="14">
        <f>IF(ISNUMBER(M98), (M98 - $B98) / $B98, "")</f>
        <v>-5.294117647058829E-2</v>
      </c>
      <c r="O98" s="16">
        <f>IF(ISNUMBER(M98), $B118 * N98, "")</f>
        <v>-7941.1764705882433</v>
      </c>
      <c r="Q98" s="156"/>
      <c r="R98" s="156"/>
      <c r="S98" s="156"/>
    </row>
    <row r="99" spans="1:19" ht="17.25" thickBot="1">
      <c r="A99" s="109" t="s">
        <v>210</v>
      </c>
      <c r="B99" s="110">
        <v>67.7</v>
      </c>
      <c r="C99" s="70">
        <v>4.6367851600000003E-2</v>
      </c>
      <c r="D99" s="15">
        <v>65.8</v>
      </c>
      <c r="E99" s="32">
        <f t="shared" ref="E99:E102" si="46">IF(ISNUMBER(D99), (D99 - $B99) / $B99, "")</f>
        <v>-2.806499261447571E-2</v>
      </c>
      <c r="F99" s="18">
        <f>IF(ISNUMBER(D99), $B118 * E99, "")</f>
        <v>-4209.7488921713566</v>
      </c>
      <c r="G99" s="31">
        <v>65.400000000000006</v>
      </c>
      <c r="H99" s="32">
        <f t="shared" ref="H99:H102" si="47">IF(ISNUMBER(G99), (G99 - $B99) / $B99, "")</f>
        <v>-3.3973412112259925E-2</v>
      </c>
      <c r="I99" s="91">
        <f>IF(ISNUMBER(G99), $B118 * H99, "")</f>
        <v>-5096.011816838989</v>
      </c>
      <c r="J99" s="15">
        <v>65.599999999999994</v>
      </c>
      <c r="K99" s="32">
        <f t="shared" ref="K99:K102" si="48">IF(ISNUMBER(J99), (J99 - $B99) / $B99, "")</f>
        <v>-3.1019202363367925E-2</v>
      </c>
      <c r="L99" s="18">
        <f>IF(ISNUMBER(J99), $B118 * K99, "")</f>
        <v>-4652.8803545051887</v>
      </c>
      <c r="M99" s="31">
        <v>65.599999999999994</v>
      </c>
      <c r="N99" s="32">
        <f t="shared" ref="N99:N102" si="49">IF(ISNUMBER(M99), (M99 - $B99) / $B99, "")</f>
        <v>-3.1019202363367925E-2</v>
      </c>
      <c r="O99" s="18">
        <f>IF(ISNUMBER(M99), $B118 * N99, "")</f>
        <v>-4652.8803545051887</v>
      </c>
      <c r="Q99" s="156"/>
      <c r="R99" s="156"/>
      <c r="S99" s="156"/>
    </row>
    <row r="100" spans="1:19" ht="17.25" thickBot="1">
      <c r="A100" s="109" t="s">
        <v>161</v>
      </c>
      <c r="B100" s="110">
        <v>307</v>
      </c>
      <c r="C100" s="70">
        <v>3.3670033699999997E-2</v>
      </c>
      <c r="D100" s="15">
        <v>303</v>
      </c>
      <c r="E100" s="32">
        <f t="shared" si="46"/>
        <v>-1.3029315960912053E-2</v>
      </c>
      <c r="F100" s="18">
        <f>IF(ISNUMBER(D100), $B118 * E100, "")</f>
        <v>-1954.3973941368079</v>
      </c>
      <c r="G100" s="31">
        <v>302</v>
      </c>
      <c r="H100" s="32">
        <f t="shared" si="47"/>
        <v>-1.6286644951140065E-2</v>
      </c>
      <c r="I100" s="91">
        <f>IF(ISNUMBER(G100), $B118 * H100, "")</f>
        <v>-2442.99674267101</v>
      </c>
      <c r="J100" s="15">
        <v>303</v>
      </c>
      <c r="K100" s="32">
        <f t="shared" si="48"/>
        <v>-1.3029315960912053E-2</v>
      </c>
      <c r="L100" s="18">
        <f>IF(ISNUMBER(J100), $B118 * K100, "")</f>
        <v>-1954.3973941368079</v>
      </c>
      <c r="M100" s="31">
        <v>300</v>
      </c>
      <c r="N100" s="32">
        <f t="shared" si="49"/>
        <v>-2.2801302931596091E-2</v>
      </c>
      <c r="O100" s="18">
        <f>IF(ISNUMBER(M100), $B118 * N100, "")</f>
        <v>-3420.1954397394138</v>
      </c>
      <c r="Q100" s="161"/>
      <c r="R100" s="161"/>
      <c r="S100" s="161"/>
    </row>
    <row r="101" spans="1:19" ht="17.25" thickBot="1">
      <c r="A101" s="109" t="s">
        <v>222</v>
      </c>
      <c r="B101" s="110">
        <v>406</v>
      </c>
      <c r="C101" s="70">
        <v>3.3078880400000003E-2</v>
      </c>
      <c r="D101" s="15">
        <v>391</v>
      </c>
      <c r="E101" s="32">
        <f t="shared" si="46"/>
        <v>-3.6945812807881777E-2</v>
      </c>
      <c r="F101" s="18">
        <f>IF(ISNUMBER(D101), $B118 * E101, "")</f>
        <v>-5541.8719211822663</v>
      </c>
      <c r="G101" s="31">
        <v>388</v>
      </c>
      <c r="H101" s="32">
        <f t="shared" si="47"/>
        <v>-4.4334975369458129E-2</v>
      </c>
      <c r="I101" s="91">
        <f>IF(ISNUMBER(G101), $B118 * H101, "")</f>
        <v>-6650.2463054187192</v>
      </c>
      <c r="J101" s="15">
        <v>392</v>
      </c>
      <c r="K101" s="32">
        <f t="shared" si="48"/>
        <v>-3.4482758620689655E-2</v>
      </c>
      <c r="L101" s="18">
        <f>IF(ISNUMBER(J101), $B118 * K101, "")</f>
        <v>-5172.4137931034484</v>
      </c>
      <c r="M101" s="31">
        <v>389</v>
      </c>
      <c r="N101" s="32">
        <f t="shared" si="49"/>
        <v>-4.1871921182266007E-2</v>
      </c>
      <c r="O101" s="18">
        <f>IF(ISNUMBER(M101), $B118 * N101, "")</f>
        <v>-6280.7881773399013</v>
      </c>
      <c r="Q101" s="161"/>
      <c r="R101" s="161"/>
      <c r="S101" s="161"/>
    </row>
    <row r="102" spans="1:19" ht="17.25" thickBot="1">
      <c r="A102" s="111" t="s">
        <v>244</v>
      </c>
      <c r="B102" s="112">
        <v>93.5</v>
      </c>
      <c r="C102" s="71">
        <v>3.2008830000000002E-2</v>
      </c>
      <c r="D102" s="20">
        <v>91.4</v>
      </c>
      <c r="E102" s="21">
        <f t="shared" si="46"/>
        <v>-2.2459893048128281E-2</v>
      </c>
      <c r="F102" s="22">
        <f>IF(ISNUMBER(D102), $B118 * E102, "")</f>
        <v>-3368.9839572192423</v>
      </c>
      <c r="G102" s="30">
        <v>92.3</v>
      </c>
      <c r="H102" s="21">
        <f t="shared" si="47"/>
        <v>-1.2834224598930511E-2</v>
      </c>
      <c r="I102" s="95">
        <f>IF(ISNUMBER(G102), $B118 * H102, "")</f>
        <v>-1925.1336898395766</v>
      </c>
      <c r="J102" s="20">
        <v>98.4</v>
      </c>
      <c r="K102" s="21">
        <f t="shared" si="48"/>
        <v>5.2406417112299528E-2</v>
      </c>
      <c r="L102" s="22">
        <f>IF(ISNUMBER(J102), $B118 * K102, "")</f>
        <v>7860.9625668449289</v>
      </c>
      <c r="M102" s="30">
        <v>93.1</v>
      </c>
      <c r="N102" s="21">
        <f t="shared" si="49"/>
        <v>-4.2780748663102212E-3</v>
      </c>
      <c r="O102" s="22">
        <f>IF(ISNUMBER(M102), $B118 * N102, "")</f>
        <v>-641.71122994653319</v>
      </c>
      <c r="Q102" s="161"/>
      <c r="R102" s="161"/>
      <c r="S102" s="161"/>
    </row>
    <row r="103" spans="1:19" ht="17.25" thickBot="1">
      <c r="A103" s="109" t="s">
        <v>234</v>
      </c>
      <c r="B103" s="113">
        <v>356</v>
      </c>
      <c r="C103" s="73">
        <v>3.1884058E-2</v>
      </c>
      <c r="D103" s="96">
        <v>345</v>
      </c>
      <c r="E103" s="97">
        <f>IF(ISNUMBER(D103), (D103 - $B103) / $B103, "")</f>
        <v>-3.0898876404494381E-2</v>
      </c>
      <c r="F103" s="98">
        <f>IF(ISNUMBER(D103), $B118 * E103, "")</f>
        <v>-4634.8314606741569</v>
      </c>
      <c r="G103" s="99">
        <v>340</v>
      </c>
      <c r="H103" s="97">
        <f>IF(ISNUMBER(G103), (G103 - $B103) / $B103, "")</f>
        <v>-4.49438202247191E-2</v>
      </c>
      <c r="I103" s="100">
        <f>IF(ISNUMBER(G103), $B118 * H103, "")</f>
        <v>-6741.5730337078649</v>
      </c>
      <c r="J103" s="96">
        <v>341</v>
      </c>
      <c r="K103" s="97">
        <f>IF(ISNUMBER(J103), (J103 - $B103) / $B103, "")</f>
        <v>-4.2134831460674156E-2</v>
      </c>
      <c r="L103" s="98">
        <f>IF(ISNUMBER(J103), $B118 * K103, "")</f>
        <v>-6320.2247191011238</v>
      </c>
      <c r="M103" s="99">
        <v>340</v>
      </c>
      <c r="N103" s="97">
        <f>IF(ISNUMBER(M103), (M103 - $B103) / $B103, "")</f>
        <v>-4.49438202247191E-2</v>
      </c>
      <c r="O103" s="98">
        <f>IF(ISNUMBER(M103), $B118 * N103, "")</f>
        <v>-6741.5730337078649</v>
      </c>
      <c r="Q103" s="161"/>
      <c r="R103" s="161"/>
      <c r="S103" s="161"/>
    </row>
    <row r="104" spans="1:19" ht="17.25" thickBot="1">
      <c r="A104" s="109" t="s">
        <v>218</v>
      </c>
      <c r="B104" s="110">
        <v>320</v>
      </c>
      <c r="C104" s="70">
        <v>2.8938906800000001E-2</v>
      </c>
      <c r="D104" s="15">
        <v>311</v>
      </c>
      <c r="E104" s="32">
        <f t="shared" ref="E104:E107" si="50">IF(ISNUMBER(D104), (D104 - $B104) / $B104, "")</f>
        <v>-2.8125000000000001E-2</v>
      </c>
      <c r="F104" s="18">
        <f>IF(ISNUMBER(D104), $B118 * E104, "")</f>
        <v>-4218.75</v>
      </c>
      <c r="G104" s="31">
        <v>310</v>
      </c>
      <c r="H104" s="32">
        <f t="shared" ref="H104:H107" si="51">IF(ISNUMBER(G104), (G104 - $B104) / $B104, "")</f>
        <v>-3.125E-2</v>
      </c>
      <c r="I104" s="91">
        <f>IF(ISNUMBER(G104), $B118 * H104, "")</f>
        <v>-4687.5</v>
      </c>
      <c r="J104" s="15">
        <v>310</v>
      </c>
      <c r="K104" s="32">
        <f t="shared" ref="K104:K107" si="52">IF(ISNUMBER(J104), (J104 - $B104) / $B104, "")</f>
        <v>-3.125E-2</v>
      </c>
      <c r="L104" s="18">
        <f>IF(ISNUMBER(J104), $B118 * K104, "")</f>
        <v>-4687.5</v>
      </c>
      <c r="M104" s="31">
        <v>308</v>
      </c>
      <c r="N104" s="32">
        <f t="shared" ref="N104:N107" si="53">IF(ISNUMBER(M104), (M104 - $B104) / $B104, "")</f>
        <v>-3.7499999999999999E-2</v>
      </c>
      <c r="O104" s="18">
        <f>IF(ISNUMBER(M104), $B118 * N104, "")</f>
        <v>-5625</v>
      </c>
      <c r="Q104" s="161"/>
      <c r="R104" s="161"/>
      <c r="S104" s="161"/>
    </row>
    <row r="105" spans="1:19" ht="17.25" thickBot="1">
      <c r="A105" s="109" t="s">
        <v>226</v>
      </c>
      <c r="B105" s="110">
        <v>213</v>
      </c>
      <c r="C105" s="70">
        <v>2.40384615E-2</v>
      </c>
      <c r="D105" s="15">
        <v>209</v>
      </c>
      <c r="E105" s="32">
        <f t="shared" si="50"/>
        <v>-1.8779342723004695E-2</v>
      </c>
      <c r="F105" s="18">
        <f>IF(ISNUMBER(D105), $B118 * E105, "")</f>
        <v>-2816.9014084507044</v>
      </c>
      <c r="G105" s="31">
        <v>209</v>
      </c>
      <c r="H105" s="32">
        <f t="shared" si="51"/>
        <v>-1.8779342723004695E-2</v>
      </c>
      <c r="I105" s="91">
        <f>IF(ISNUMBER(G105), $B118 * H105, "")</f>
        <v>-2816.9014084507044</v>
      </c>
      <c r="J105" s="15">
        <v>209</v>
      </c>
      <c r="K105" s="32">
        <f t="shared" si="52"/>
        <v>-1.8779342723004695E-2</v>
      </c>
      <c r="L105" s="18">
        <f>IF(ISNUMBER(J105), $B118 * K105, "")</f>
        <v>-2816.9014084507044</v>
      </c>
      <c r="M105" s="31">
        <v>207</v>
      </c>
      <c r="N105" s="32">
        <f t="shared" si="53"/>
        <v>-2.8169014084507043E-2</v>
      </c>
      <c r="O105" s="18">
        <f>IF(ISNUMBER(M105), $B118 * N105, "")</f>
        <v>-4225.3521126760561</v>
      </c>
      <c r="Q105" s="161"/>
      <c r="R105" s="161"/>
      <c r="S105" s="161"/>
    </row>
    <row r="106" spans="1:19" ht="17.25" thickBot="1">
      <c r="A106" s="109" t="s">
        <v>242</v>
      </c>
      <c r="B106" s="110">
        <v>439</v>
      </c>
      <c r="C106" s="70">
        <v>2.33100233E-2</v>
      </c>
      <c r="D106" s="15">
        <v>429</v>
      </c>
      <c r="E106" s="32">
        <f t="shared" si="50"/>
        <v>-2.2779043280182234E-2</v>
      </c>
      <c r="F106" s="18">
        <f>IF(ISNUMBER(D106), $B118 * E106, "")</f>
        <v>-3416.8564920273352</v>
      </c>
      <c r="G106" s="31">
        <v>426</v>
      </c>
      <c r="H106" s="32">
        <f t="shared" si="51"/>
        <v>-2.9612756264236904E-2</v>
      </c>
      <c r="I106" s="91">
        <f>IF(ISNUMBER(G106), $B118 * H106, "")</f>
        <v>-4441.9134396355357</v>
      </c>
      <c r="J106" s="15">
        <v>422</v>
      </c>
      <c r="K106" s="32">
        <f t="shared" si="52"/>
        <v>-3.8724373576309798E-2</v>
      </c>
      <c r="L106" s="18">
        <f>IF(ISNUMBER(J106), $B118 * K106, "")</f>
        <v>-5808.6560364464694</v>
      </c>
      <c r="M106" s="31">
        <v>425</v>
      </c>
      <c r="N106" s="32">
        <f t="shared" si="53"/>
        <v>-3.1890660592255128E-2</v>
      </c>
      <c r="O106" s="18">
        <f>IF(ISNUMBER(M106), $B118 * N106, "")</f>
        <v>-4783.5990888382694</v>
      </c>
      <c r="Q106" s="33"/>
      <c r="R106" s="33"/>
    </row>
    <row r="107" spans="1:19" ht="17.25" thickBot="1">
      <c r="A107" s="114" t="s">
        <v>202</v>
      </c>
      <c r="B107" s="115">
        <v>310</v>
      </c>
      <c r="C107" s="72">
        <v>1.9736842099999999E-2</v>
      </c>
      <c r="D107" s="24">
        <v>307</v>
      </c>
      <c r="E107" s="25">
        <f t="shared" si="50"/>
        <v>-9.6774193548387101E-3</v>
      </c>
      <c r="F107" s="94">
        <f>IF(ISNUMBER(D107), $B118 * E107, "")</f>
        <v>-1451.6129032258066</v>
      </c>
      <c r="G107" s="92">
        <v>306</v>
      </c>
      <c r="H107" s="25">
        <f t="shared" si="51"/>
        <v>-1.2903225806451613E-2</v>
      </c>
      <c r="I107" s="93">
        <f>IF(ISNUMBER(G107), $B118 * H107, "")</f>
        <v>-1935.483870967742</v>
      </c>
      <c r="J107" s="24">
        <v>304</v>
      </c>
      <c r="K107" s="25">
        <f t="shared" si="52"/>
        <v>-1.935483870967742E-2</v>
      </c>
      <c r="L107" s="94">
        <f>IF(ISNUMBER(J107), $B118 * K107, "")</f>
        <v>-2903.2258064516132</v>
      </c>
      <c r="M107" s="92">
        <v>303</v>
      </c>
      <c r="N107" s="25">
        <f t="shared" si="53"/>
        <v>-2.2580645161290321E-2</v>
      </c>
      <c r="O107" s="94">
        <f>IF(ISNUMBER(M107), $B118 * N107, "")</f>
        <v>-3387.0967741935483</v>
      </c>
      <c r="Q107" s="170"/>
      <c r="R107" s="171"/>
      <c r="S107" s="172"/>
    </row>
    <row r="108" spans="1:19">
      <c r="A108" s="107" t="s">
        <v>336</v>
      </c>
      <c r="B108" s="108">
        <v>78.3</v>
      </c>
      <c r="C108" s="69">
        <v>1.953125E-2</v>
      </c>
      <c r="D108" s="13">
        <v>78</v>
      </c>
      <c r="E108" s="14">
        <f>IF(ISNUMBER(D108), (D108 - $B108) / $B108, "")</f>
        <v>-3.8314176245210366E-3</v>
      </c>
      <c r="F108" s="16">
        <f>IF(ISNUMBER(D108), $B118 * E108, "")</f>
        <v>-574.71264367815547</v>
      </c>
      <c r="G108" s="29">
        <v>77.5</v>
      </c>
      <c r="H108" s="14">
        <f>IF(ISNUMBER(G108), (G108 - $B108) / $B108, "")</f>
        <v>-1.0217113665389492E-2</v>
      </c>
      <c r="I108" s="90">
        <f>IF(ISNUMBER(G108), $B118 * H108, "")</f>
        <v>-1532.5670498084237</v>
      </c>
      <c r="J108" s="13">
        <v>77.3</v>
      </c>
      <c r="K108" s="14">
        <f>IF(ISNUMBER(J108), (J108 - $B108) / $B108, "")</f>
        <v>-1.277139208173691E-2</v>
      </c>
      <c r="L108" s="16">
        <f>IF(ISNUMBER(J108), $B118 * K108, "")</f>
        <v>-1915.7088122605364</v>
      </c>
      <c r="M108" s="29">
        <v>76.900000000000006</v>
      </c>
      <c r="N108" s="14">
        <f>IF(ISNUMBER(M108), (M108 - $B108) / $B108, "")</f>
        <v>-1.7879948914431565E-2</v>
      </c>
      <c r="O108" s="16">
        <f>IF(ISNUMBER(M108), $B118 * N108, "")</f>
        <v>-2681.9923371647346</v>
      </c>
      <c r="Q108" s="173"/>
      <c r="R108" s="174"/>
      <c r="S108" s="175"/>
    </row>
    <row r="109" spans="1:19" ht="17.25" thickBot="1">
      <c r="A109" s="109" t="s">
        <v>143</v>
      </c>
      <c r="B109" s="110">
        <v>3.69</v>
      </c>
      <c r="C109" s="70">
        <v>1.93370166E-2</v>
      </c>
      <c r="D109" s="15">
        <v>3.61</v>
      </c>
      <c r="E109" s="32">
        <f t="shared" ref="E109:E112" si="54">IF(ISNUMBER(D109), (D109 - $B109) / $B109, "")</f>
        <v>-2.1680216802168042E-2</v>
      </c>
      <c r="F109" s="18">
        <f>IF(ISNUMBER(D109), $B118 * E109, "")</f>
        <v>-3252.0325203252064</v>
      </c>
      <c r="G109" s="31">
        <v>3.61</v>
      </c>
      <c r="H109" s="32">
        <f t="shared" ref="H109:H112" si="55">IF(ISNUMBER(G109), (G109 - $B109) / $B109, "")</f>
        <v>-2.1680216802168042E-2</v>
      </c>
      <c r="I109" s="91">
        <f>IF(ISNUMBER(G109), $B118 * H109, "")</f>
        <v>-3252.0325203252064</v>
      </c>
      <c r="J109" s="15">
        <v>3.59</v>
      </c>
      <c r="K109" s="32">
        <f t="shared" ref="K109:K112" si="56">IF(ISNUMBER(J109), (J109 - $B109) / $B109, "")</f>
        <v>-2.7100271002710053E-2</v>
      </c>
      <c r="L109" s="18">
        <f>IF(ISNUMBER(J109), $B118 * K109, "")</f>
        <v>-4065.0406504065081</v>
      </c>
      <c r="M109" s="31">
        <v>3.58</v>
      </c>
      <c r="N109" s="32">
        <f t="shared" ref="N109:N112" si="57">IF(ISNUMBER(M109), (M109 - $B109) / $B109, "")</f>
        <v>-2.9810298102980998E-2</v>
      </c>
      <c r="O109" s="18">
        <f>IF(ISNUMBER(M109), $B118 * N109, "")</f>
        <v>-4471.5447154471494</v>
      </c>
      <c r="Q109" s="176"/>
      <c r="R109" s="177"/>
      <c r="S109" s="178"/>
    </row>
    <row r="110" spans="1:19" ht="17.25" thickBot="1">
      <c r="A110" s="109" t="s">
        <v>228</v>
      </c>
      <c r="B110" s="110">
        <v>57.8</v>
      </c>
      <c r="C110" s="70">
        <v>1.7605633799999999E-2</v>
      </c>
      <c r="D110" s="15">
        <v>57.3</v>
      </c>
      <c r="E110" s="32">
        <f t="shared" si="54"/>
        <v>-8.6505190311418692E-3</v>
      </c>
      <c r="F110" s="18">
        <f>IF(ISNUMBER(D110), $B118 * E110, "")</f>
        <v>-1297.5778546712804</v>
      </c>
      <c r="G110" s="31">
        <v>56.9</v>
      </c>
      <c r="H110" s="32">
        <f t="shared" si="55"/>
        <v>-1.557093425605534E-2</v>
      </c>
      <c r="I110" s="91">
        <f>IF(ISNUMBER(G110), $B118 * H110, "")</f>
        <v>-2335.640138408301</v>
      </c>
      <c r="J110" s="15">
        <v>56.9</v>
      </c>
      <c r="K110" s="32">
        <f t="shared" si="56"/>
        <v>-1.557093425605534E-2</v>
      </c>
      <c r="L110" s="18">
        <f>IF(ISNUMBER(J110), $B118 * K110, "")</f>
        <v>-2335.640138408301</v>
      </c>
      <c r="M110" s="31">
        <v>56.7</v>
      </c>
      <c r="N110" s="32">
        <f t="shared" si="57"/>
        <v>-1.9031141868512014E-2</v>
      </c>
      <c r="O110" s="18">
        <f>IF(ISNUMBER(M110), $B118 * N110, "")</f>
        <v>-2854.671280276802</v>
      </c>
      <c r="Q110" s="161"/>
      <c r="R110" s="161"/>
      <c r="S110" s="161"/>
    </row>
    <row r="111" spans="1:19" ht="17.25" thickBot="1">
      <c r="A111" s="109" t="s">
        <v>183</v>
      </c>
      <c r="B111" s="110">
        <v>130</v>
      </c>
      <c r="C111" s="70">
        <v>1.5625E-2</v>
      </c>
      <c r="D111" s="15">
        <v>127</v>
      </c>
      <c r="E111" s="32">
        <f t="shared" si="54"/>
        <v>-2.3076923076923078E-2</v>
      </c>
      <c r="F111" s="18">
        <f>IF(ISNUMBER(D111), $B118 * E111, "")</f>
        <v>-3461.5384615384619</v>
      </c>
      <c r="G111" s="31">
        <v>127</v>
      </c>
      <c r="H111" s="32">
        <f t="shared" si="55"/>
        <v>-2.3076923076923078E-2</v>
      </c>
      <c r="I111" s="91">
        <f>IF(ISNUMBER(G111), $B118 * H111, "")</f>
        <v>-3461.5384615384619</v>
      </c>
      <c r="J111" s="15">
        <v>127</v>
      </c>
      <c r="K111" s="32">
        <f t="shared" si="56"/>
        <v>-2.3076923076923078E-2</v>
      </c>
      <c r="L111" s="18">
        <f>IF(ISNUMBER(J111), $B118 * K111, "")</f>
        <v>-3461.5384615384619</v>
      </c>
      <c r="M111" s="31">
        <v>126</v>
      </c>
      <c r="N111" s="32">
        <f t="shared" si="57"/>
        <v>-3.0769230769230771E-2</v>
      </c>
      <c r="O111" s="18">
        <f>IF(ISNUMBER(M111), $B118 * N111, "")</f>
        <v>-4615.3846153846152</v>
      </c>
      <c r="Q111" s="156"/>
      <c r="R111" s="156"/>
      <c r="S111" s="156"/>
    </row>
    <row r="112" spans="1:19" ht="17.25" thickBot="1">
      <c r="A112" s="111" t="s">
        <v>176</v>
      </c>
      <c r="B112" s="112">
        <v>305</v>
      </c>
      <c r="C112" s="71">
        <v>1.32890365E-2</v>
      </c>
      <c r="D112" s="20">
        <v>306</v>
      </c>
      <c r="E112" s="21">
        <f t="shared" si="54"/>
        <v>3.2786885245901639E-3</v>
      </c>
      <c r="F112" s="22">
        <f>IF(ISNUMBER(D112), $B118 * E112, "")</f>
        <v>491.80327868852459</v>
      </c>
      <c r="G112" s="30">
        <v>303</v>
      </c>
      <c r="H112" s="21">
        <f t="shared" si="55"/>
        <v>-6.5573770491803279E-3</v>
      </c>
      <c r="I112" s="95">
        <f>IF(ISNUMBER(G112), $B118 * H112, "")</f>
        <v>-983.60655737704917</v>
      </c>
      <c r="J112" s="20">
        <v>306</v>
      </c>
      <c r="K112" s="21">
        <f t="shared" si="56"/>
        <v>3.2786885245901639E-3</v>
      </c>
      <c r="L112" s="22">
        <f>IF(ISNUMBER(J112), $B118 * K112, "")</f>
        <v>491.80327868852459</v>
      </c>
      <c r="M112" s="30">
        <v>303</v>
      </c>
      <c r="N112" s="21">
        <f t="shared" si="57"/>
        <v>-6.5573770491803279E-3</v>
      </c>
      <c r="O112" s="22">
        <f>IF(ISNUMBER(M112), $B118 * N112, "")</f>
        <v>-983.60655737704917</v>
      </c>
      <c r="Q112" s="156"/>
      <c r="R112" s="156"/>
      <c r="S112" s="156"/>
    </row>
    <row r="113" spans="1:19" ht="17.25" thickBot="1">
      <c r="A113" s="109" t="s">
        <v>216</v>
      </c>
      <c r="B113" s="113">
        <v>468</v>
      </c>
      <c r="C113" s="73">
        <v>1.2987013E-2</v>
      </c>
      <c r="D113" s="96">
        <v>459</v>
      </c>
      <c r="E113" s="97">
        <f>IF(ISNUMBER(D113), (D113 - $B113) / $B113, "")</f>
        <v>-1.9230769230769232E-2</v>
      </c>
      <c r="F113" s="98">
        <f>IF(ISNUMBER(D113), $B118 * E113, "")</f>
        <v>-2884.6153846153848</v>
      </c>
      <c r="G113" s="99">
        <v>458</v>
      </c>
      <c r="H113" s="97">
        <f>IF(ISNUMBER(G113), (G113 - $B113) / $B113, "")</f>
        <v>-2.1367521367521368E-2</v>
      </c>
      <c r="I113" s="100">
        <f>IF(ISNUMBER(G113), $B118 * H113, "")</f>
        <v>-3205.1282051282051</v>
      </c>
      <c r="J113" s="96">
        <v>455</v>
      </c>
      <c r="K113" s="97">
        <f>IF(ISNUMBER(J113), (J113 - $B113) / $B113, "")</f>
        <v>-2.7777777777777776E-2</v>
      </c>
      <c r="L113" s="98">
        <f>IF(ISNUMBER(J113), $B118 * K113, "")</f>
        <v>-4166.6666666666661</v>
      </c>
      <c r="M113" s="99">
        <v>453</v>
      </c>
      <c r="N113" s="97">
        <f>IF(ISNUMBER(M113), (M113 - $B113) / $B113, "")</f>
        <v>-3.2051282051282048E-2</v>
      </c>
      <c r="O113" s="98">
        <f>IF(ISNUMBER(M113), $B118 * N113, "")</f>
        <v>-4807.6923076923076</v>
      </c>
      <c r="Q113" s="161"/>
      <c r="R113" s="161"/>
      <c r="S113" s="161"/>
    </row>
    <row r="114" spans="1:19" ht="17.25" thickBot="1">
      <c r="A114" s="109" t="s">
        <v>73</v>
      </c>
      <c r="B114" s="110">
        <v>11770</v>
      </c>
      <c r="C114" s="70">
        <v>1.20378332E-2</v>
      </c>
      <c r="D114" s="15">
        <v>11680</v>
      </c>
      <c r="E114" s="32">
        <f t="shared" ref="E114:E117" si="58">IF(ISNUMBER(D114), (D114 - $B114) / $B114, "")</f>
        <v>-7.6465590484282074E-3</v>
      </c>
      <c r="F114" s="18">
        <f>IF(ISNUMBER(D114), $B118 * E114, "")</f>
        <v>-1146.9838572642311</v>
      </c>
      <c r="G114" s="31">
        <v>11650</v>
      </c>
      <c r="H114" s="32">
        <f t="shared" ref="H114:H117" si="59">IF(ISNUMBER(G114), (G114 - $B114) / $B114, "")</f>
        <v>-1.0195412064570943E-2</v>
      </c>
      <c r="I114" s="91">
        <f>IF(ISNUMBER(G114), $B118 * H114, "")</f>
        <v>-1529.3118096856415</v>
      </c>
      <c r="J114" s="15">
        <v>11590</v>
      </c>
      <c r="K114" s="32">
        <f t="shared" ref="K114:K117" si="60">IF(ISNUMBER(J114), (J114 - $B114) / $B114, "")</f>
        <v>-1.5293118096856415E-2</v>
      </c>
      <c r="L114" s="18">
        <f>IF(ISNUMBER(J114), $B118 * K114, "")</f>
        <v>-2293.9677145284622</v>
      </c>
      <c r="M114" s="31">
        <v>11600</v>
      </c>
      <c r="N114" s="32">
        <f t="shared" ref="N114:N117" si="61">IF(ISNUMBER(M114), (M114 - $B114) / $B114, "")</f>
        <v>-1.4443500424808835E-2</v>
      </c>
      <c r="O114" s="18">
        <f>IF(ISNUMBER(M114), $B118 * N114, "")</f>
        <v>-2166.5250637213253</v>
      </c>
      <c r="Q114" s="161"/>
      <c r="R114" s="161"/>
      <c r="S114" s="161"/>
    </row>
    <row r="115" spans="1:19" ht="17.25" thickBot="1">
      <c r="A115" s="109" t="s">
        <v>193</v>
      </c>
      <c r="B115" s="110">
        <v>17.399999999999999</v>
      </c>
      <c r="C115" s="70">
        <v>1.1627907E-2</v>
      </c>
      <c r="D115" s="15">
        <v>17</v>
      </c>
      <c r="E115" s="32">
        <f t="shared" si="58"/>
        <v>-2.2988505747126357E-2</v>
      </c>
      <c r="F115" s="18">
        <f>IF(ISNUMBER(D115), $B118 * E115, "")</f>
        <v>-3448.2758620689533</v>
      </c>
      <c r="G115" s="31">
        <v>16.899999999999999</v>
      </c>
      <c r="H115" s="32">
        <f t="shared" si="59"/>
        <v>-2.8735632183908049E-2</v>
      </c>
      <c r="I115" s="91">
        <f>IF(ISNUMBER(G115), $B118 * H115, "")</f>
        <v>-4310.3448275862074</v>
      </c>
      <c r="J115" s="15">
        <v>16.899999999999999</v>
      </c>
      <c r="K115" s="32">
        <f t="shared" si="60"/>
        <v>-2.8735632183908049E-2</v>
      </c>
      <c r="L115" s="18">
        <f>IF(ISNUMBER(J115), $B118 * K115, "")</f>
        <v>-4310.3448275862074</v>
      </c>
      <c r="M115" s="31">
        <v>16.899999999999999</v>
      </c>
      <c r="N115" s="32">
        <f t="shared" si="61"/>
        <v>-2.8735632183908049E-2</v>
      </c>
      <c r="O115" s="18">
        <f>IF(ISNUMBER(M115), $B118 * N115, "")</f>
        <v>-4310.3448275862074</v>
      </c>
      <c r="Q115" s="161"/>
      <c r="R115" s="161"/>
      <c r="S115" s="161"/>
    </row>
    <row r="116" spans="1:19">
      <c r="A116" s="109" t="s">
        <v>212</v>
      </c>
      <c r="B116" s="110">
        <v>78.3</v>
      </c>
      <c r="C116" s="70">
        <v>1.0322580600000001E-2</v>
      </c>
      <c r="D116" s="15">
        <v>79.400000000000006</v>
      </c>
      <c r="E116" s="32">
        <f t="shared" si="58"/>
        <v>1.404853128991071E-2</v>
      </c>
      <c r="F116" s="18">
        <f>IF(ISNUMBER(D116), $B118 * E116, "")</f>
        <v>2107.2796934866064</v>
      </c>
      <c r="G116" s="31">
        <v>78.599999999999994</v>
      </c>
      <c r="H116" s="32">
        <f t="shared" si="59"/>
        <v>3.8314176245210366E-3</v>
      </c>
      <c r="I116" s="91">
        <f>IF(ISNUMBER(G116), $B118 * H116, "")</f>
        <v>574.71264367815547</v>
      </c>
      <c r="J116" s="15">
        <v>77.099999999999994</v>
      </c>
      <c r="K116" s="32">
        <f t="shared" si="60"/>
        <v>-1.5325670498084329E-2</v>
      </c>
      <c r="L116" s="18">
        <f>IF(ISNUMBER(J116), $B118 * K116, "")</f>
        <v>-2298.8505747126492</v>
      </c>
      <c r="M116" s="31">
        <v>76.7</v>
      </c>
      <c r="N116" s="32">
        <f t="shared" si="61"/>
        <v>-2.0434227330778983E-2</v>
      </c>
      <c r="O116" s="18">
        <f>IF(ISNUMBER(M116), $B118 * N116, "")</f>
        <v>-3065.1340996168474</v>
      </c>
      <c r="Q116" s="183"/>
      <c r="R116" s="184"/>
      <c r="S116" s="185"/>
    </row>
    <row r="117" spans="1:19" ht="17.25" thickBot="1">
      <c r="A117" s="114" t="s">
        <v>71</v>
      </c>
      <c r="B117" s="115">
        <v>10.4</v>
      </c>
      <c r="C117" s="72">
        <v>9.7087379000000001E-3</v>
      </c>
      <c r="D117" s="24">
        <v>10.1</v>
      </c>
      <c r="E117" s="25">
        <f t="shared" si="58"/>
        <v>-2.8846153846153914E-2</v>
      </c>
      <c r="F117" s="94">
        <f>IF(ISNUMBER(D117), $B118 * E117, "")</f>
        <v>-4326.9230769230871</v>
      </c>
      <c r="G117" s="92">
        <v>10.199999999999999</v>
      </c>
      <c r="H117" s="25">
        <f t="shared" si="59"/>
        <v>-1.9230769230769332E-2</v>
      </c>
      <c r="I117" s="93">
        <f>IF(ISNUMBER(G117), $B118 * H117, "")</f>
        <v>-2884.6153846153998</v>
      </c>
      <c r="J117" s="24">
        <v>10.1</v>
      </c>
      <c r="K117" s="25">
        <f t="shared" si="60"/>
        <v>-2.8846153846153914E-2</v>
      </c>
      <c r="L117" s="94">
        <f>IF(ISNUMBER(J117), $B118 * K117, "")</f>
        <v>-4326.9230769230871</v>
      </c>
      <c r="M117" s="92">
        <v>10.7</v>
      </c>
      <c r="N117" s="25">
        <f t="shared" si="61"/>
        <v>2.8846153846153744E-2</v>
      </c>
      <c r="O117" s="94">
        <f>IF(ISNUMBER(M117), $B118 * N117, "")</f>
        <v>4326.9230769230617</v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-1.6959373117763805E-2</v>
      </c>
      <c r="F118" s="28">
        <f>SUM(F98:F117)</f>
        <v>-50878.119353291426</v>
      </c>
      <c r="G118" s="26" t="s">
        <v>261</v>
      </c>
      <c r="H118" s="27">
        <f>IF(COUNT(H98:H117), SUM(H98:H117) / COUNT(H98:H117), 0)</f>
        <v>-2.037614028453966E-2</v>
      </c>
      <c r="I118" s="28">
        <f>SUM(I98:I117)</f>
        <v>-61128.420853618991</v>
      </c>
      <c r="J118" s="26" t="s">
        <v>261</v>
      </c>
      <c r="K118" s="27">
        <f>IF(COUNT(K98:K117), SUM(K98:K117) / COUNT(K98:K117), 0)</f>
        <v>-1.9359763686760338E-2</v>
      </c>
      <c r="L118" s="28">
        <f>SUM(L98:L117)</f>
        <v>-58079.291060281015</v>
      </c>
      <c r="M118" s="26" t="s">
        <v>261</v>
      </c>
      <c r="N118" s="27">
        <f>IF(COUNT(N98:N117), SUM(N98:N117) / COUNT(N98:N117), 0)</f>
        <v>-2.4443115136292999E-2</v>
      </c>
      <c r="O118" s="28">
        <f>SUM(O98:O117)</f>
        <v>-73329.345408878973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2022-12-25(일) 오전 00:00</v>
      </c>
      <c r="C123" s="199"/>
      <c r="D123" s="158" t="str">
        <f>TEXT($G$1, "[$-ko-KR]yyyy-mm-dd(ddd) ") &amp; "오후 14:00"</f>
        <v>2022-12-25(일) 오후 14:00</v>
      </c>
      <c r="E123" s="159"/>
      <c r="F123" s="160"/>
      <c r="G123" s="158" t="str">
        <f>TEXT($G$1, "[$-ko-KR]yyyy-mm-dd(ddd) ") &amp; "오후 19:00"</f>
        <v>2022-12-25(일) 오후 19:00</v>
      </c>
      <c r="H123" s="159"/>
      <c r="I123" s="160"/>
      <c r="J123" s="158" t="str">
        <f>TEXT($G$1, "[$-ko-KR]yyyy-mm-dd(ddd) ") &amp; "오후 21:00"</f>
        <v>2022-12-25(일) 오후 21:00</v>
      </c>
      <c r="K123" s="159"/>
      <c r="L123" s="160"/>
      <c r="M123" s="158" t="str">
        <f>TEXT($G$1+1, "[$-ko-KR]yyyy-mm-dd(ddd) ") &amp; "오전 00:00"</f>
        <v>2022-12-26(월)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124</v>
      </c>
      <c r="B125" s="108">
        <v>30.4</v>
      </c>
      <c r="C125" s="69">
        <v>3.3003300000000002E-3</v>
      </c>
      <c r="D125" s="13">
        <v>30</v>
      </c>
      <c r="E125" s="14">
        <f>IF(ISNUMBER(D125), (D125 - $B125) / $B125, "")</f>
        <v>-1.3157894736842059E-2</v>
      </c>
      <c r="F125" s="16">
        <f>IF(ISNUMBER(D125), $B145 * E125, "")</f>
        <v>-1973.684210526309</v>
      </c>
      <c r="G125" s="29">
        <v>29.9</v>
      </c>
      <c r="H125" s="14">
        <f>IF(ISNUMBER(G125), (G125 - $B125) / $B125, "")</f>
        <v>-1.6447368421052631E-2</v>
      </c>
      <c r="I125" s="90">
        <f>IF(ISNUMBER(G125), $B145 * H125, "")</f>
        <v>-2467.1052631578946</v>
      </c>
      <c r="J125" s="13">
        <v>29.9</v>
      </c>
      <c r="K125" s="14">
        <f>IF(ISNUMBER(J125), (J125 - $B125) / $B125, "")</f>
        <v>-1.6447368421052631E-2</v>
      </c>
      <c r="L125" s="16">
        <f>IF(ISNUMBER(J125), $B145 * K125, "")</f>
        <v>-2467.1052631578946</v>
      </c>
      <c r="M125" s="29">
        <v>29.7</v>
      </c>
      <c r="N125" s="14">
        <f>IF(ISNUMBER(M125), (M125 - $B125) / $B125, "")</f>
        <v>-2.3026315789473662E-2</v>
      </c>
      <c r="O125" s="16">
        <f>IF(ISNUMBER(M125), $B145 * N125, "")</f>
        <v>-3453.9473684210493</v>
      </c>
      <c r="Q125" s="156"/>
      <c r="R125" s="156"/>
      <c r="S125" s="156"/>
    </row>
    <row r="126" spans="1:19" ht="17.25" thickBot="1">
      <c r="A126" s="109" t="s">
        <v>141</v>
      </c>
      <c r="B126" s="110">
        <v>3.16</v>
      </c>
      <c r="C126" s="70">
        <v>3.1746031999999999E-3</v>
      </c>
      <c r="D126" s="15">
        <v>3.11</v>
      </c>
      <c r="E126" s="32">
        <f t="shared" ref="E126:E129" si="62">IF(ISNUMBER(D126), (D126 - $B126) / $B126, "")</f>
        <v>-1.5822784810126667E-2</v>
      </c>
      <c r="F126" s="18">
        <f>IF(ISNUMBER(D126), $B145 * E126, "")</f>
        <v>-2373.4177215189998</v>
      </c>
      <c r="G126" s="31">
        <v>3.11</v>
      </c>
      <c r="H126" s="32">
        <f t="shared" ref="H126:H129" si="63">IF(ISNUMBER(G126), (G126 - $B126) / $B126, "")</f>
        <v>-1.5822784810126667E-2</v>
      </c>
      <c r="I126" s="91">
        <f>IF(ISNUMBER(G126), $B145 * H126, "")</f>
        <v>-2373.4177215189998</v>
      </c>
      <c r="J126" s="15">
        <v>3.09</v>
      </c>
      <c r="K126" s="32">
        <f t="shared" ref="K126:K129" si="64">IF(ISNUMBER(J126), (J126 - $B126) / $B126, "")</f>
        <v>-2.2151898734177305E-2</v>
      </c>
      <c r="L126" s="18">
        <f>IF(ISNUMBER(J126), $B145 * K126, "")</f>
        <v>-3322.7848101265959</v>
      </c>
      <c r="M126" s="31">
        <v>3.08</v>
      </c>
      <c r="N126" s="32">
        <f t="shared" ref="N126:N129" si="65">IF(ISNUMBER(M126), (M126 - $B126) / $B126, "")</f>
        <v>-2.5316455696202552E-2</v>
      </c>
      <c r="O126" s="18">
        <f>IF(ISNUMBER(M126), $B145 * N126, "")</f>
        <v>-3797.468354430383</v>
      </c>
      <c r="Q126" s="156"/>
      <c r="R126" s="156"/>
      <c r="S126" s="156"/>
    </row>
    <row r="127" spans="1:19" ht="17.25" thickBot="1">
      <c r="A127" s="109" t="s">
        <v>230</v>
      </c>
      <c r="B127" s="110">
        <v>37.9</v>
      </c>
      <c r="C127" s="70">
        <v>2.6455025999999999E-3</v>
      </c>
      <c r="D127" s="15">
        <v>37.6</v>
      </c>
      <c r="E127" s="32">
        <f t="shared" si="62"/>
        <v>-7.9155672823218257E-3</v>
      </c>
      <c r="F127" s="18">
        <f>IF(ISNUMBER(D127), $B145 * E127, "")</f>
        <v>-1187.3350923482737</v>
      </c>
      <c r="G127" s="31">
        <v>37.200000000000003</v>
      </c>
      <c r="H127" s="32">
        <f t="shared" si="63"/>
        <v>-1.8469656992084322E-2</v>
      </c>
      <c r="I127" s="91">
        <f>IF(ISNUMBER(G127), $B145 * H127, "")</f>
        <v>-2770.4485488126484</v>
      </c>
      <c r="J127" s="15">
        <v>37.1</v>
      </c>
      <c r="K127" s="32">
        <f t="shared" si="64"/>
        <v>-2.1108179419524992E-2</v>
      </c>
      <c r="L127" s="18">
        <f>IF(ISNUMBER(J127), $B145 * K127, "")</f>
        <v>-3166.2269129287488</v>
      </c>
      <c r="M127" s="31">
        <v>36.799999999999997</v>
      </c>
      <c r="N127" s="32">
        <f t="shared" si="65"/>
        <v>-2.9023746701847004E-2</v>
      </c>
      <c r="O127" s="18">
        <f>IF(ISNUMBER(M127), $B145 * N127, "")</f>
        <v>-4353.562005277051</v>
      </c>
      <c r="Q127" s="161"/>
      <c r="R127" s="161"/>
      <c r="S127" s="161"/>
    </row>
    <row r="128" spans="1:19" ht="17.25" thickBot="1">
      <c r="A128" s="109" t="s">
        <v>181</v>
      </c>
      <c r="B128" s="110">
        <v>4.21</v>
      </c>
      <c r="C128" s="70">
        <v>2.3809524000000001E-3</v>
      </c>
      <c r="D128" s="15">
        <v>4.18</v>
      </c>
      <c r="E128" s="32">
        <f t="shared" si="62"/>
        <v>-7.1258907363421021E-3</v>
      </c>
      <c r="F128" s="18">
        <f>IF(ISNUMBER(D128), $B145 * E128, "")</f>
        <v>-1068.8836104513152</v>
      </c>
      <c r="G128" s="31">
        <v>4.17</v>
      </c>
      <c r="H128" s="32">
        <f t="shared" si="63"/>
        <v>-9.5011876484560661E-3</v>
      </c>
      <c r="I128" s="91">
        <f>IF(ISNUMBER(G128), $B145 * H128, "")</f>
        <v>-1425.1781472684099</v>
      </c>
      <c r="J128" s="15">
        <v>4.18</v>
      </c>
      <c r="K128" s="32">
        <f t="shared" si="64"/>
        <v>-7.1258907363421021E-3</v>
      </c>
      <c r="L128" s="18">
        <f>IF(ISNUMBER(J128), $B145 * K128, "")</f>
        <v>-1068.8836104513152</v>
      </c>
      <c r="M128" s="31">
        <v>4.12</v>
      </c>
      <c r="N128" s="32">
        <f t="shared" si="65"/>
        <v>-2.1377672209026095E-2</v>
      </c>
      <c r="O128" s="18">
        <f>IF(ISNUMBER(M128), $B145 * N128, "")</f>
        <v>-3206.6508313539143</v>
      </c>
      <c r="Q128" s="161"/>
      <c r="R128" s="161"/>
      <c r="S128" s="161"/>
    </row>
    <row r="129" spans="1:19" ht="17.25" thickBot="1">
      <c r="A129" s="111" t="s">
        <v>155</v>
      </c>
      <c r="B129" s="112">
        <v>27.5</v>
      </c>
      <c r="C129" s="71">
        <v>0</v>
      </c>
      <c r="D129" s="20">
        <v>27.1</v>
      </c>
      <c r="E129" s="21">
        <f t="shared" si="62"/>
        <v>-1.4545454545454493E-2</v>
      </c>
      <c r="F129" s="22">
        <f>IF(ISNUMBER(D129), $B145 * E129, "")</f>
        <v>-2181.8181818181738</v>
      </c>
      <c r="G129" s="30">
        <v>27</v>
      </c>
      <c r="H129" s="21">
        <f t="shared" si="63"/>
        <v>-1.8181818181818181E-2</v>
      </c>
      <c r="I129" s="95">
        <f>IF(ISNUMBER(G129), $B145 * H129, "")</f>
        <v>-2727.272727272727</v>
      </c>
      <c r="J129" s="20">
        <v>27</v>
      </c>
      <c r="K129" s="21">
        <f t="shared" si="64"/>
        <v>-1.8181818181818181E-2</v>
      </c>
      <c r="L129" s="22">
        <f>IF(ISNUMBER(J129), $B145 * K129, "")</f>
        <v>-2727.272727272727</v>
      </c>
      <c r="M129" s="30">
        <v>26.9</v>
      </c>
      <c r="N129" s="21">
        <f t="shared" si="65"/>
        <v>-2.1818181818181868E-2</v>
      </c>
      <c r="O129" s="22">
        <f>IF(ISNUMBER(M129), $B145 * N129, "")</f>
        <v>-3272.7272727272803</v>
      </c>
      <c r="Q129" s="161"/>
      <c r="R129" s="161"/>
      <c r="S129" s="161"/>
    </row>
    <row r="130" spans="1:19" ht="17.25" thickBot="1">
      <c r="A130" s="109" t="s">
        <v>56</v>
      </c>
      <c r="B130" s="113">
        <v>39.4</v>
      </c>
      <c r="C130" s="73">
        <v>0</v>
      </c>
      <c r="D130" s="96">
        <v>38.799999999999997</v>
      </c>
      <c r="E130" s="97">
        <f>IF(ISNUMBER(D130), (D130 - $B130) / $B130, "")</f>
        <v>-1.5228426395939123E-2</v>
      </c>
      <c r="F130" s="98">
        <f>IF(ISNUMBER(D130), $B145 * E130, "")</f>
        <v>-2284.2639593908684</v>
      </c>
      <c r="G130" s="99">
        <v>38.700000000000003</v>
      </c>
      <c r="H130" s="97">
        <f>IF(ISNUMBER(G130), (G130 - $B130) / $B130, "")</f>
        <v>-1.7766497461928828E-2</v>
      </c>
      <c r="I130" s="100">
        <f>IF(ISNUMBER(G130), $B145 * H130, "")</f>
        <v>-2664.974619289324</v>
      </c>
      <c r="J130" s="96">
        <v>38.6</v>
      </c>
      <c r="K130" s="97">
        <f>IF(ISNUMBER(J130), (J130 - $B130) / $B130, "")</f>
        <v>-2.0304568527918711E-2</v>
      </c>
      <c r="L130" s="98">
        <f>IF(ISNUMBER(J130), $B145 * K130, "")</f>
        <v>-3045.6852791878068</v>
      </c>
      <c r="M130" s="99">
        <v>38.6</v>
      </c>
      <c r="N130" s="97">
        <f>IF(ISNUMBER(M130), (M130 - $B130) / $B130, "")</f>
        <v>-2.0304568527918711E-2</v>
      </c>
      <c r="O130" s="98">
        <f>IF(ISNUMBER(M130), $B145 * N130, "")</f>
        <v>-3045.6852791878068</v>
      </c>
      <c r="Q130" s="161"/>
      <c r="R130" s="161"/>
      <c r="S130" s="161"/>
    </row>
    <row r="131" spans="1:19" ht="17.25" thickBot="1">
      <c r="A131" s="109" t="s">
        <v>97</v>
      </c>
      <c r="B131" s="110">
        <v>8.0000000000000004E-4</v>
      </c>
      <c r="C131" s="70">
        <v>0</v>
      </c>
      <c r="D131" s="15">
        <v>8.9999999999999998E-4</v>
      </c>
      <c r="E131" s="32">
        <f t="shared" ref="E131:E134" si="66">IF(ISNUMBER(D131), (D131 - $B131) / $B131, "")</f>
        <v>0.12499999999999992</v>
      </c>
      <c r="F131" s="18">
        <f>IF(ISNUMBER(D131), $B145 * E131, "")</f>
        <v>18749.999999999989</v>
      </c>
      <c r="G131" s="31">
        <v>8.0000000000000004E-4</v>
      </c>
      <c r="H131" s="32">
        <f t="shared" ref="H131:H134" si="67">IF(ISNUMBER(G131), (G131 - $B131) / $B131, "")</f>
        <v>0</v>
      </c>
      <c r="I131" s="91">
        <f>IF(ISNUMBER(G131), $B145 * H131, "")</f>
        <v>0</v>
      </c>
      <c r="J131" s="15">
        <v>8.9999999999999998E-4</v>
      </c>
      <c r="K131" s="32">
        <f t="shared" ref="K131:K134" si="68">IF(ISNUMBER(J131), (J131 - $B131) / $B131, "")</f>
        <v>0.12499999999999992</v>
      </c>
      <c r="L131" s="18">
        <f>IF(ISNUMBER(J131), $B145 * K131, "")</f>
        <v>18749.999999999989</v>
      </c>
      <c r="M131" s="31">
        <v>8.0000000000000004E-4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161"/>
      <c r="R131" s="161"/>
      <c r="S131" s="161"/>
    </row>
    <row r="132" spans="1:19" ht="17.25" thickBot="1">
      <c r="A132" s="109" t="s">
        <v>240</v>
      </c>
      <c r="B132" s="110">
        <v>27.2</v>
      </c>
      <c r="C132" s="70">
        <v>0</v>
      </c>
      <c r="D132" s="15">
        <v>27.6</v>
      </c>
      <c r="E132" s="32">
        <f t="shared" si="66"/>
        <v>1.4705882352941256E-2</v>
      </c>
      <c r="F132" s="18">
        <f>IF(ISNUMBER(D132), $B145 * E132, "")</f>
        <v>2205.8823529411884</v>
      </c>
      <c r="G132" s="31">
        <v>27.6</v>
      </c>
      <c r="H132" s="32">
        <f t="shared" si="67"/>
        <v>1.4705882352941256E-2</v>
      </c>
      <c r="I132" s="91">
        <f>IF(ISNUMBER(G132), $B145 * H132, "")</f>
        <v>2205.8823529411884</v>
      </c>
      <c r="J132" s="15">
        <v>27.5</v>
      </c>
      <c r="K132" s="32">
        <f t="shared" si="68"/>
        <v>1.1029411764705909E-2</v>
      </c>
      <c r="L132" s="18">
        <f>IF(ISNUMBER(J132), $B145 * K132, "")</f>
        <v>1654.4117647058863</v>
      </c>
      <c r="M132" s="31">
        <v>27.1</v>
      </c>
      <c r="N132" s="32">
        <f t="shared" si="69"/>
        <v>-3.676470588235216E-3</v>
      </c>
      <c r="O132" s="18">
        <f>IF(ISNUMBER(M132), $B145 * N132, "")</f>
        <v>-551.47058823528243</v>
      </c>
      <c r="Q132" s="161"/>
      <c r="R132" s="161"/>
      <c r="S132" s="161"/>
    </row>
    <row r="133" spans="1:19" ht="17.25" thickBot="1">
      <c r="A133" s="109" t="s">
        <v>224</v>
      </c>
      <c r="B133" s="110">
        <v>19.3</v>
      </c>
      <c r="C133" s="70">
        <v>0</v>
      </c>
      <c r="D133" s="15">
        <v>19</v>
      </c>
      <c r="E133" s="32">
        <f t="shared" si="66"/>
        <v>-1.5544041450777238E-2</v>
      </c>
      <c r="F133" s="18">
        <f>IF(ISNUMBER(D133), $B145 * E133, "")</f>
        <v>-2331.6062176165856</v>
      </c>
      <c r="G133" s="31">
        <v>18.899999999999999</v>
      </c>
      <c r="H133" s="32">
        <f t="shared" si="67"/>
        <v>-2.0725388601036378E-2</v>
      </c>
      <c r="I133" s="91">
        <f>IF(ISNUMBER(G133), $B145 * H133, "")</f>
        <v>-3108.8082901554567</v>
      </c>
      <c r="J133" s="15">
        <v>18.899999999999999</v>
      </c>
      <c r="K133" s="32">
        <f t="shared" si="68"/>
        <v>-2.0725388601036378E-2</v>
      </c>
      <c r="L133" s="18">
        <f>IF(ISNUMBER(J133), $B145 * K133, "")</f>
        <v>-3108.8082901554567</v>
      </c>
      <c r="M133" s="31">
        <v>18.899999999999999</v>
      </c>
      <c r="N133" s="32">
        <f t="shared" si="69"/>
        <v>-2.0725388601036378E-2</v>
      </c>
      <c r="O133" s="18">
        <f>IF(ISNUMBER(M133), $B145 * N133, "")</f>
        <v>-3108.8082901554567</v>
      </c>
      <c r="Q133" s="33"/>
      <c r="R133" s="33"/>
    </row>
    <row r="134" spans="1:19" ht="17.25" thickBot="1">
      <c r="A134" s="114" t="s">
        <v>335</v>
      </c>
      <c r="B134" s="115">
        <v>3.1399999999999997E-2</v>
      </c>
      <c r="C134" s="72">
        <v>0</v>
      </c>
      <c r="D134" s="24">
        <v>3.1199999999999999E-2</v>
      </c>
      <c r="E134" s="25">
        <f t="shared" si="66"/>
        <v>-6.3694267515923188E-3</v>
      </c>
      <c r="F134" s="94">
        <f>IF(ISNUMBER(D134), $B145 * E134, "")</f>
        <v>-955.41401273884787</v>
      </c>
      <c r="G134" s="92">
        <v>3.1099999999999999E-2</v>
      </c>
      <c r="H134" s="25">
        <f t="shared" si="67"/>
        <v>-9.5541401273884774E-3</v>
      </c>
      <c r="I134" s="93">
        <f>IF(ISNUMBER(G134), $B145 * H134, "")</f>
        <v>-1433.1210191082716</v>
      </c>
      <c r="J134" s="24">
        <v>3.1E-2</v>
      </c>
      <c r="K134" s="25">
        <f t="shared" si="68"/>
        <v>-1.2738853503184638E-2</v>
      </c>
      <c r="L134" s="94">
        <f>IF(ISNUMBER(J134), $B145 * K134, "")</f>
        <v>-1910.8280254776957</v>
      </c>
      <c r="M134" s="92">
        <v>3.09E-2</v>
      </c>
      <c r="N134" s="25">
        <f t="shared" si="69"/>
        <v>-1.5923566878980798E-2</v>
      </c>
      <c r="O134" s="94">
        <f>IF(ISNUMBER(M134), $B145 * N134, "")</f>
        <v>-2388.5350318471196</v>
      </c>
      <c r="Q134" s="170"/>
      <c r="R134" s="171"/>
      <c r="S134" s="172"/>
    </row>
    <row r="135" spans="1:19">
      <c r="A135" s="107" t="s">
        <v>64</v>
      </c>
      <c r="B135" s="108">
        <v>9.34</v>
      </c>
      <c r="C135" s="69">
        <v>-3.2017076E-3</v>
      </c>
      <c r="D135" s="13">
        <v>9.1999999999999993</v>
      </c>
      <c r="E135" s="14">
        <f>IF(ISNUMBER(D135), (D135 - $B135) / $B135, "")</f>
        <v>-1.4989293361884429E-2</v>
      </c>
      <c r="F135" s="16">
        <f>IF(ISNUMBER(D135), $B145 * E135, "")</f>
        <v>-2248.3940042826644</v>
      </c>
      <c r="G135" s="29">
        <v>9.2200000000000006</v>
      </c>
      <c r="H135" s="14">
        <f>IF(ISNUMBER(G135), (G135 - $B135) / $B135, "")</f>
        <v>-1.2847965738757947E-2</v>
      </c>
      <c r="I135" s="90">
        <f>IF(ISNUMBER(G135), $B145 * H135, "")</f>
        <v>-1927.194860813692</v>
      </c>
      <c r="J135" s="13">
        <v>9.1999999999999993</v>
      </c>
      <c r="K135" s="14">
        <f>IF(ISNUMBER(J135), (J135 - $B135) / $B135, "")</f>
        <v>-1.4989293361884429E-2</v>
      </c>
      <c r="L135" s="16">
        <f>IF(ISNUMBER(J135), $B145 * K135, "")</f>
        <v>-2248.3940042826644</v>
      </c>
      <c r="M135" s="29">
        <v>9.16</v>
      </c>
      <c r="N135" s="14">
        <f>IF(ISNUMBER(M135), (M135 - $B135) / $B135, "")</f>
        <v>-1.9271948608137014E-2</v>
      </c>
      <c r="O135" s="16">
        <f>IF(ISNUMBER(M135), $B145 * N135, "")</f>
        <v>-2890.7922912205522</v>
      </c>
      <c r="Q135" s="173"/>
      <c r="R135" s="174"/>
      <c r="S135" s="175"/>
    </row>
    <row r="136" spans="1:19" ht="17.25" thickBot="1">
      <c r="A136" s="109" t="s">
        <v>118</v>
      </c>
      <c r="B136" s="110">
        <v>5.43</v>
      </c>
      <c r="C136" s="70">
        <v>-5.4945055E-3</v>
      </c>
      <c r="D136" s="15">
        <v>5.42</v>
      </c>
      <c r="E136" s="32">
        <f t="shared" ref="E136:E139" si="70">IF(ISNUMBER(D136), (D136 - $B136) / $B136, "")</f>
        <v>-1.8416206261509737E-3</v>
      </c>
      <c r="F136" s="18">
        <f>IF(ISNUMBER(D136), $B145 * E136, "")</f>
        <v>-276.24309392264604</v>
      </c>
      <c r="G136" s="31">
        <v>5.4</v>
      </c>
      <c r="H136" s="32">
        <f t="shared" ref="H136:H139" si="71">IF(ISNUMBER(G136), (G136 - $B136) / $B136, "")</f>
        <v>-5.5248618784529214E-3</v>
      </c>
      <c r="I136" s="91">
        <f>IF(ISNUMBER(G136), $B145 * H136, "")</f>
        <v>-828.72928176793823</v>
      </c>
      <c r="J136" s="15">
        <v>5.39</v>
      </c>
      <c r="K136" s="32">
        <f t="shared" ref="K136:K139" si="72">IF(ISNUMBER(J136), (J136 - $B136) / $B136, "")</f>
        <v>-7.3664825046040588E-3</v>
      </c>
      <c r="L136" s="18">
        <f>IF(ISNUMBER(J136), $B145 * K136, "")</f>
        <v>-1104.9723756906087</v>
      </c>
      <c r="M136" s="31">
        <v>5.34</v>
      </c>
      <c r="N136" s="32">
        <f t="shared" ref="N136:N139" si="73">IF(ISNUMBER(M136), (M136 - $B136) / $B136, "")</f>
        <v>-1.6574585635359091E-2</v>
      </c>
      <c r="O136" s="18">
        <f>IF(ISNUMBER(M136), $B145 * N136, "")</f>
        <v>-2486.1878453038635</v>
      </c>
      <c r="Q136" s="176"/>
      <c r="R136" s="177"/>
      <c r="S136" s="178"/>
    </row>
    <row r="137" spans="1:19" ht="17.25" thickBot="1">
      <c r="A137" s="109" t="s">
        <v>126</v>
      </c>
      <c r="B137" s="110">
        <v>23.5</v>
      </c>
      <c r="C137" s="70">
        <v>-8.4388186E-3</v>
      </c>
      <c r="D137" s="15">
        <v>23.2</v>
      </c>
      <c r="E137" s="32">
        <f t="shared" si="70"/>
        <v>-1.2765957446808541E-2</v>
      </c>
      <c r="F137" s="18">
        <f>IF(ISNUMBER(D137), $B145 * E137, "")</f>
        <v>-1914.8936170212812</v>
      </c>
      <c r="G137" s="31">
        <v>23.1</v>
      </c>
      <c r="H137" s="32">
        <f t="shared" si="71"/>
        <v>-1.7021276595744619E-2</v>
      </c>
      <c r="I137" s="91">
        <f>IF(ISNUMBER(G137), $B145 * H137, "")</f>
        <v>-2553.1914893616927</v>
      </c>
      <c r="J137" s="15">
        <v>22.9</v>
      </c>
      <c r="K137" s="32">
        <f t="shared" si="72"/>
        <v>-2.5531914893617082E-2</v>
      </c>
      <c r="L137" s="18">
        <f>IF(ISNUMBER(J137), $B145 * K137, "")</f>
        <v>-3829.7872340425624</v>
      </c>
      <c r="M137" s="31">
        <v>22.8</v>
      </c>
      <c r="N137" s="32">
        <f t="shared" si="73"/>
        <v>-2.9787234042553162E-2</v>
      </c>
      <c r="O137" s="18">
        <f>IF(ISNUMBER(M137), $B145 * N137, "")</f>
        <v>-4468.0851063829741</v>
      </c>
      <c r="Q137" s="161"/>
      <c r="R137" s="161"/>
      <c r="S137" s="161"/>
    </row>
    <row r="138" spans="1:19" ht="17.25" thickBot="1">
      <c r="A138" s="109" t="s">
        <v>138</v>
      </c>
      <c r="B138" s="110">
        <v>22.9</v>
      </c>
      <c r="C138" s="70">
        <v>-8.6580087000000007E-3</v>
      </c>
      <c r="D138" s="15">
        <v>22.7</v>
      </c>
      <c r="E138" s="32">
        <f t="shared" si="70"/>
        <v>-8.7336244541484417E-3</v>
      </c>
      <c r="F138" s="18">
        <f>IF(ISNUMBER(D138), $B145 * E138, "")</f>
        <v>-1310.0436681222664</v>
      </c>
      <c r="G138" s="31">
        <v>22.8</v>
      </c>
      <c r="H138" s="32">
        <f t="shared" si="71"/>
        <v>-4.3668122270741428E-3</v>
      </c>
      <c r="I138" s="91">
        <f>IF(ISNUMBER(G138), $B145 * H138, "")</f>
        <v>-655.02183406112147</v>
      </c>
      <c r="J138" s="15">
        <v>22.6</v>
      </c>
      <c r="K138" s="32">
        <f t="shared" si="72"/>
        <v>-1.3100436681222584E-2</v>
      </c>
      <c r="L138" s="18">
        <f>IF(ISNUMBER(J138), $B145 * K138, "")</f>
        <v>-1965.0655021833875</v>
      </c>
      <c r="M138" s="31">
        <v>22.5</v>
      </c>
      <c r="N138" s="32">
        <f t="shared" si="73"/>
        <v>-1.7467248908296883E-2</v>
      </c>
      <c r="O138" s="18">
        <f>IF(ISNUMBER(M138), $B145 * N138, "")</f>
        <v>-2620.0873362445327</v>
      </c>
      <c r="Q138" s="156"/>
      <c r="R138" s="156"/>
      <c r="S138" s="156"/>
    </row>
    <row r="139" spans="1:19" ht="17.25" thickBot="1">
      <c r="A139" s="111" t="s">
        <v>220</v>
      </c>
      <c r="B139" s="112">
        <v>63.2</v>
      </c>
      <c r="C139" s="71">
        <v>-9.4043887000000003E-3</v>
      </c>
      <c r="D139" s="20">
        <v>62.4</v>
      </c>
      <c r="E139" s="21">
        <f t="shared" si="70"/>
        <v>-1.2658227848101333E-2</v>
      </c>
      <c r="F139" s="22">
        <f>IF(ISNUMBER(D139), $B145 * E139, "")</f>
        <v>-1898.7341772151999</v>
      </c>
      <c r="G139" s="30">
        <v>62.5</v>
      </c>
      <c r="H139" s="21">
        <f t="shared" si="71"/>
        <v>-1.1075949367088653E-2</v>
      </c>
      <c r="I139" s="95">
        <f>IF(ISNUMBER(G139), $B145 * H139, "")</f>
        <v>-1661.3924050632979</v>
      </c>
      <c r="J139" s="20">
        <v>62.2</v>
      </c>
      <c r="K139" s="21">
        <f t="shared" si="72"/>
        <v>-1.582278481012658E-2</v>
      </c>
      <c r="L139" s="22">
        <f>IF(ISNUMBER(J139), $B145 * K139, "")</f>
        <v>-2373.417721518987</v>
      </c>
      <c r="M139" s="30">
        <v>61.9</v>
      </c>
      <c r="N139" s="21">
        <f t="shared" si="73"/>
        <v>-2.0569620253164625E-2</v>
      </c>
      <c r="O139" s="22">
        <f>IF(ISNUMBER(M139), $B145 * N139, "")</f>
        <v>-3085.4430379746937</v>
      </c>
      <c r="Q139" s="156"/>
      <c r="R139" s="156"/>
      <c r="S139" s="156"/>
    </row>
    <row r="140" spans="1:19" ht="17.25" thickBot="1">
      <c r="A140" s="109" t="s">
        <v>107</v>
      </c>
      <c r="B140" s="113">
        <v>38</v>
      </c>
      <c r="C140" s="73">
        <v>-1.04166667E-2</v>
      </c>
      <c r="D140" s="96">
        <v>37.4</v>
      </c>
      <c r="E140" s="97">
        <f>IF(ISNUMBER(D140), (D140 - $B140) / $B140, "")</f>
        <v>-1.5789473684210565E-2</v>
      </c>
      <c r="F140" s="98">
        <f>IF(ISNUMBER(D140), $B145 * E140, "")</f>
        <v>-2368.4210526315846</v>
      </c>
      <c r="G140" s="99">
        <v>37.299999999999997</v>
      </c>
      <c r="H140" s="97">
        <f>IF(ISNUMBER(G140), (G140 - $B140) / $B140, "")</f>
        <v>-1.8421052631579022E-2</v>
      </c>
      <c r="I140" s="100">
        <f>IF(ISNUMBER(G140), $B145 * H140, "")</f>
        <v>-2763.1578947368535</v>
      </c>
      <c r="J140" s="96">
        <v>37.1</v>
      </c>
      <c r="K140" s="97">
        <f>IF(ISNUMBER(J140), (J140 - $B140) / $B140, "")</f>
        <v>-2.3684210526315752E-2</v>
      </c>
      <c r="L140" s="98">
        <f>IF(ISNUMBER(J140), $B145 * K140, "")</f>
        <v>-3552.6315789473629</v>
      </c>
      <c r="M140" s="99">
        <v>36.700000000000003</v>
      </c>
      <c r="N140" s="97">
        <f>IF(ISNUMBER(M140), (M140 - $B140) / $B140, "")</f>
        <v>-3.42105263157894E-2</v>
      </c>
      <c r="O140" s="98">
        <f>IF(ISNUMBER(M140), $B145 * N140, "")</f>
        <v>-5131.5789473684099</v>
      </c>
      <c r="Q140" s="161"/>
      <c r="R140" s="161"/>
      <c r="S140" s="161"/>
    </row>
    <row r="141" spans="1:19" ht="17.25" thickBot="1">
      <c r="A141" s="109" t="s">
        <v>350</v>
      </c>
      <c r="B141" s="110">
        <v>6.27</v>
      </c>
      <c r="C141" s="70">
        <v>-1.1041009500000001E-2</v>
      </c>
      <c r="D141" s="15">
        <v>6.19</v>
      </c>
      <c r="E141" s="32">
        <f t="shared" ref="E141:E144" si="74">IF(ISNUMBER(D141), (D141 - $B141) / $B141, "")</f>
        <v>-1.2759170653907366E-2</v>
      </c>
      <c r="F141" s="18">
        <f>IF(ISNUMBER(D141), $B145 * E141, "")</f>
        <v>-1913.8755980861049</v>
      </c>
      <c r="G141" s="31">
        <v>6.14</v>
      </c>
      <c r="H141" s="32">
        <f t="shared" ref="H141:H144" si="75">IF(ISNUMBER(G141), (G141 - $B141) / $B141, "")</f>
        <v>-2.0733652312599667E-2</v>
      </c>
      <c r="I141" s="91">
        <f>IF(ISNUMBER(G141), $B145 * H141, "")</f>
        <v>-3110.0478468899501</v>
      </c>
      <c r="J141" s="15">
        <v>6.11</v>
      </c>
      <c r="K141" s="32">
        <f t="shared" ref="K141:K144" si="76">IF(ISNUMBER(J141), (J141 - $B141) / $B141, "")</f>
        <v>-2.5518341307814874E-2</v>
      </c>
      <c r="L141" s="18">
        <f>IF(ISNUMBER(J141), $B145 * K141, "")</f>
        <v>-3827.7511961722312</v>
      </c>
      <c r="M141" s="31">
        <v>6.1</v>
      </c>
      <c r="N141" s="32">
        <f t="shared" ref="N141:N144" si="77">IF(ISNUMBER(M141), (M141 - $B141) / $B141, "")</f>
        <v>-2.7113237639553419E-2</v>
      </c>
      <c r="O141" s="18">
        <f>IF(ISNUMBER(M141), $B145 * N141, "")</f>
        <v>-4066.9856459330131</v>
      </c>
      <c r="Q141" s="161"/>
      <c r="R141" s="161"/>
      <c r="S141" s="161"/>
    </row>
    <row r="142" spans="1:19" ht="17.25" thickBot="1">
      <c r="A142" s="109" t="s">
        <v>51</v>
      </c>
      <c r="B142" s="110">
        <v>97.2</v>
      </c>
      <c r="C142" s="70">
        <v>-1.1190234E-2</v>
      </c>
      <c r="D142" s="15">
        <v>96.6</v>
      </c>
      <c r="E142" s="32">
        <f t="shared" si="74"/>
        <v>-6.1728395061729268E-3</v>
      </c>
      <c r="F142" s="18">
        <f>IF(ISNUMBER(D142), $B145 * E142, "")</f>
        <v>-925.92592592593905</v>
      </c>
      <c r="G142" s="31">
        <v>96.4</v>
      </c>
      <c r="H142" s="32">
        <f t="shared" si="75"/>
        <v>-8.2304526748970906E-3</v>
      </c>
      <c r="I142" s="91">
        <f>IF(ISNUMBER(G142), $B145 * H142, "")</f>
        <v>-1234.5679012345636</v>
      </c>
      <c r="J142" s="15">
        <v>96.2</v>
      </c>
      <c r="K142" s="32">
        <f t="shared" si="76"/>
        <v>-1.0288065843621399E-2</v>
      </c>
      <c r="L142" s="18">
        <f>IF(ISNUMBER(J142), $B145 * K142, "")</f>
        <v>-1543.2098765432099</v>
      </c>
      <c r="M142" s="31">
        <v>95.9</v>
      </c>
      <c r="N142" s="32">
        <f t="shared" si="77"/>
        <v>-1.3374485596707789E-2</v>
      </c>
      <c r="O142" s="18">
        <f>IF(ISNUMBER(M142), $B145 * N142, "")</f>
        <v>-2006.1728395061684</v>
      </c>
      <c r="Q142" s="161"/>
      <c r="R142" s="161"/>
      <c r="S142" s="161"/>
    </row>
    <row r="143" spans="1:19">
      <c r="A143" s="109" t="s">
        <v>198</v>
      </c>
      <c r="B143" s="110">
        <v>6.82</v>
      </c>
      <c r="C143" s="70">
        <v>-1.15942029E-2</v>
      </c>
      <c r="D143" s="15">
        <v>6.72</v>
      </c>
      <c r="E143" s="32">
        <f t="shared" si="74"/>
        <v>-1.4662756598240546E-2</v>
      </c>
      <c r="F143" s="18">
        <f>IF(ISNUMBER(D143), $B145 * E143, "")</f>
        <v>-2199.4134897360818</v>
      </c>
      <c r="G143" s="31">
        <v>6.67</v>
      </c>
      <c r="H143" s="32">
        <f t="shared" si="75"/>
        <v>-2.1994134897360754E-2</v>
      </c>
      <c r="I143" s="91">
        <f>IF(ISNUMBER(G143), $B145 * H143, "")</f>
        <v>-3299.1202346041132</v>
      </c>
      <c r="J143" s="15">
        <v>6.67</v>
      </c>
      <c r="K143" s="32">
        <f t="shared" si="76"/>
        <v>-2.1994134897360754E-2</v>
      </c>
      <c r="L143" s="18">
        <f>IF(ISNUMBER(J143), $B145 * K143, "")</f>
        <v>-3299.1202346041132</v>
      </c>
      <c r="M143" s="31">
        <v>6.67</v>
      </c>
      <c r="N143" s="32">
        <f t="shared" si="77"/>
        <v>-2.1994134897360754E-2</v>
      </c>
      <c r="O143" s="18">
        <f>IF(ISNUMBER(M143), $B145 * N143, "")</f>
        <v>-3299.1202346041132</v>
      </c>
      <c r="Q143" s="183"/>
      <c r="R143" s="184"/>
      <c r="S143" s="185"/>
    </row>
    <row r="144" spans="1:19" ht="17.25" thickBot="1">
      <c r="A144" s="114" t="s">
        <v>132</v>
      </c>
      <c r="B144" s="115">
        <v>48.2</v>
      </c>
      <c r="C144" s="72">
        <v>-1.4314928399999999E-2</v>
      </c>
      <c r="D144" s="24">
        <v>46.9</v>
      </c>
      <c r="E144" s="25">
        <f t="shared" si="74"/>
        <v>-2.6970954356846561E-2</v>
      </c>
      <c r="F144" s="94">
        <f>IF(ISNUMBER(D144), $B145 * E144, "")</f>
        <v>-4045.643153526984</v>
      </c>
      <c r="G144" s="92">
        <v>46.9</v>
      </c>
      <c r="H144" s="25">
        <f t="shared" si="75"/>
        <v>-2.6970954356846561E-2</v>
      </c>
      <c r="I144" s="93">
        <f>IF(ISNUMBER(G144), $B145 * H144, "")</f>
        <v>-4045.643153526984</v>
      </c>
      <c r="J144" s="24">
        <v>46.8</v>
      </c>
      <c r="K144" s="25">
        <f t="shared" si="76"/>
        <v>-2.9045643153527086E-2</v>
      </c>
      <c r="L144" s="94">
        <f>IF(ISNUMBER(J144), $B145 * K144, "")</f>
        <v>-4356.8464730290625</v>
      </c>
      <c r="M144" s="92">
        <v>46.9</v>
      </c>
      <c r="N144" s="25">
        <f t="shared" si="77"/>
        <v>-2.6970954356846561E-2</v>
      </c>
      <c r="O144" s="94">
        <f>IF(ISNUMBER(M144), $B145 * N144, "")</f>
        <v>-4045.643153526984</v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-4.167376144646317E-3</v>
      </c>
      <c r="F145" s="28">
        <f>SUM(F125:F144)</f>
        <v>-12502.128433938946</v>
      </c>
      <c r="G145" s="26" t="s">
        <v>261</v>
      </c>
      <c r="H145" s="27">
        <f>IF(COUNT(H125:H144), SUM(H125:H144) / COUNT(H125:H144), 0)</f>
        <v>-1.2947503628567582E-2</v>
      </c>
      <c r="I145" s="28">
        <f>SUM(I125:I144)</f>
        <v>-38842.510885702752</v>
      </c>
      <c r="J145" s="26" t="s">
        <v>261</v>
      </c>
      <c r="K145" s="27">
        <f>IF(COUNT(K125:K144), SUM(K125:K144) / COUNT(K125:K144), 0)</f>
        <v>-9.5047931170221863E-3</v>
      </c>
      <c r="L145" s="28">
        <f>SUM(L125:L144)</f>
        <v>-28514.379351066556</v>
      </c>
      <c r="M145" s="26" t="s">
        <v>261</v>
      </c>
      <c r="N145" s="27">
        <f>IF(COUNT(N125:N144), SUM(N125:N144) / COUNT(N125:N144), 0)</f>
        <v>-2.0426317153233547E-2</v>
      </c>
      <c r="O145" s="28">
        <f>SUM(O125:O144)</f>
        <v>-61278.951459700649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2022-12-25(일) 오전 00:00</v>
      </c>
      <c r="C150" s="199"/>
      <c r="D150" s="158" t="str">
        <f>TEXT($G$1, "[$-ko-KR]yyyy-mm-dd(ddd) ") &amp; "오후 14:00"</f>
        <v>2022-12-25(일) 오후 14:00</v>
      </c>
      <c r="E150" s="159"/>
      <c r="F150" s="160"/>
      <c r="G150" s="158" t="str">
        <f>TEXT($G$1, "[$-ko-KR]yyyy-mm-dd(ddd) ") &amp; "오후 19:00"</f>
        <v>2022-12-25(일) 오후 19:00</v>
      </c>
      <c r="H150" s="159"/>
      <c r="I150" s="160"/>
      <c r="J150" s="158" t="str">
        <f>TEXT($G$1, "[$-ko-KR]yyyy-mm-dd(ddd) ") &amp; "오후 21:00"</f>
        <v>2022-12-25(일) 오후 21:00</v>
      </c>
      <c r="K150" s="159"/>
      <c r="L150" s="160"/>
      <c r="M150" s="158" t="str">
        <f>TEXT($G$1+1, "[$-ko-KR]yyyy-mm-dd(ddd) ") &amp; "오전 00:00"</f>
        <v>2022-12-26(월)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153</v>
      </c>
      <c r="B152" s="108">
        <v>347</v>
      </c>
      <c r="C152" s="69">
        <v>-2.8735632000000001E-3</v>
      </c>
      <c r="D152" s="13">
        <v>345</v>
      </c>
      <c r="E152" s="14">
        <f>IF(ISNUMBER(D152), (D152 - $B152) / $B152, "")</f>
        <v>-5.763688760806916E-3</v>
      </c>
      <c r="F152" s="16">
        <f>IF(ISNUMBER(D152), $B172 * E152, "")</f>
        <v>-864.55331412103737</v>
      </c>
      <c r="G152" s="29">
        <v>344</v>
      </c>
      <c r="H152" s="14">
        <f>IF(ISNUMBER(G152), (G152 - $B152) / $B152, "")</f>
        <v>-8.6455331412103754E-3</v>
      </c>
      <c r="I152" s="90">
        <f>IF(ISNUMBER(G152), $B172 * H152, "")</f>
        <v>-1296.8299711815564</v>
      </c>
      <c r="J152" s="13">
        <v>343</v>
      </c>
      <c r="K152" s="14">
        <f>IF(ISNUMBER(J152), (J152 - $B152) / $B152, "")</f>
        <v>-1.1527377521613832E-2</v>
      </c>
      <c r="L152" s="16">
        <f>IF(ISNUMBER(J152), $B172 * K152, "")</f>
        <v>-1729.1066282420747</v>
      </c>
      <c r="M152" s="29">
        <v>341</v>
      </c>
      <c r="N152" s="14">
        <f>IF(ISNUMBER(M152), (M152 - $B152) / $B152, "")</f>
        <v>-1.7291066282420751E-2</v>
      </c>
      <c r="O152" s="16">
        <f>IF(ISNUMBER(M152), $B172 * N152, "")</f>
        <v>-2593.6599423631128</v>
      </c>
      <c r="Q152" s="156"/>
      <c r="R152" s="156"/>
      <c r="S152" s="156"/>
    </row>
    <row r="153" spans="1:19" ht="17.25" thickBot="1">
      <c r="A153" s="109" t="s">
        <v>81</v>
      </c>
      <c r="B153" s="110">
        <v>337</v>
      </c>
      <c r="C153" s="70">
        <v>-2.9585799000000001E-3</v>
      </c>
      <c r="D153" s="15">
        <v>337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337</v>
      </c>
      <c r="H153" s="32">
        <f t="shared" ref="H153:H156" si="79">IF(ISNUMBER(G153), (G153 - $B153) / $B153, "")</f>
        <v>0</v>
      </c>
      <c r="I153" s="91">
        <f>IF(ISNUMBER(G153), $B172 * H153, "")</f>
        <v>0</v>
      </c>
      <c r="J153" s="15">
        <v>336</v>
      </c>
      <c r="K153" s="32">
        <f t="shared" ref="K153:K156" si="80">IF(ISNUMBER(J153), (J153 - $B153) / $B153, "")</f>
        <v>-2.967359050445104E-3</v>
      </c>
      <c r="L153" s="18">
        <f>IF(ISNUMBER(J153), $B172 * K153, "")</f>
        <v>-445.10385756676561</v>
      </c>
      <c r="M153" s="31">
        <v>335</v>
      </c>
      <c r="N153" s="32">
        <f t="shared" ref="N153:N156" si="81">IF(ISNUMBER(M153), (M153 - $B153) / $B153, "")</f>
        <v>-5.9347181008902079E-3</v>
      </c>
      <c r="O153" s="18">
        <f>IF(ISNUMBER(M153), $B172 * N153, "")</f>
        <v>-890.20771513353122</v>
      </c>
      <c r="Q153" s="156"/>
      <c r="R153" s="156"/>
      <c r="S153" s="156"/>
    </row>
    <row r="154" spans="1:19" ht="17.25" thickBot="1">
      <c r="A154" s="109" t="s">
        <v>187</v>
      </c>
      <c r="B154" s="110">
        <v>813</v>
      </c>
      <c r="C154" s="70">
        <v>-3.6764706E-3</v>
      </c>
      <c r="D154" s="15">
        <v>807</v>
      </c>
      <c r="E154" s="32">
        <f t="shared" si="78"/>
        <v>-7.3800738007380072E-3</v>
      </c>
      <c r="F154" s="18">
        <f>IF(ISNUMBER(D154), $B172 * E154, "")</f>
        <v>-1107.011070110701</v>
      </c>
      <c r="G154" s="31">
        <v>805</v>
      </c>
      <c r="H154" s="32">
        <f t="shared" si="79"/>
        <v>-9.8400984009840101E-3</v>
      </c>
      <c r="I154" s="91">
        <f>IF(ISNUMBER(G154), $B172 * H154, "")</f>
        <v>-1476.0147601476015</v>
      </c>
      <c r="J154" s="15">
        <v>801</v>
      </c>
      <c r="K154" s="32">
        <f t="shared" si="80"/>
        <v>-1.4760147601476014E-2</v>
      </c>
      <c r="L154" s="18">
        <f>IF(ISNUMBER(J154), $B172 * K154, "")</f>
        <v>-2214.022140221402</v>
      </c>
      <c r="M154" s="31">
        <v>801</v>
      </c>
      <c r="N154" s="32">
        <f t="shared" si="81"/>
        <v>-1.4760147601476014E-2</v>
      </c>
      <c r="O154" s="18">
        <f>IF(ISNUMBER(M154), $B172 * N154, "")</f>
        <v>-2214.022140221402</v>
      </c>
      <c r="Q154" s="161"/>
      <c r="R154" s="161"/>
      <c r="S154" s="161"/>
    </row>
    <row r="155" spans="1:19" ht="17.25" thickBot="1">
      <c r="A155" s="109" t="s">
        <v>116</v>
      </c>
      <c r="B155" s="110">
        <v>983</v>
      </c>
      <c r="C155" s="70">
        <v>-4.0526848999999998E-3</v>
      </c>
      <c r="D155" s="15">
        <v>955</v>
      </c>
      <c r="E155" s="32">
        <f t="shared" si="78"/>
        <v>-2.8484231943031537E-2</v>
      </c>
      <c r="F155" s="18">
        <f>IF(ISNUMBER(D155), $B172 * E155, "")</f>
        <v>-4272.6347914547305</v>
      </c>
      <c r="G155" s="31">
        <v>959</v>
      </c>
      <c r="H155" s="32">
        <f t="shared" si="79"/>
        <v>-2.4415055951169887E-2</v>
      </c>
      <c r="I155" s="91">
        <f>IF(ISNUMBER(G155), $B172 * H155, "")</f>
        <v>-3662.2583926754833</v>
      </c>
      <c r="J155" s="15">
        <v>957</v>
      </c>
      <c r="K155" s="32">
        <f t="shared" si="80"/>
        <v>-2.6449643947100712E-2</v>
      </c>
      <c r="L155" s="18">
        <f>IF(ISNUMBER(J155), $B172 * K155, "")</f>
        <v>-3967.4465920651069</v>
      </c>
      <c r="M155" s="31">
        <v>953</v>
      </c>
      <c r="N155" s="32">
        <f t="shared" si="81"/>
        <v>-3.0518819938962362E-2</v>
      </c>
      <c r="O155" s="18">
        <f>IF(ISNUMBER(M155), $B172 * N155, "")</f>
        <v>-4577.8229908443545</v>
      </c>
      <c r="Q155" s="161"/>
      <c r="R155" s="161"/>
      <c r="S155" s="161"/>
    </row>
    <row r="156" spans="1:19" ht="17.25" thickBot="1">
      <c r="A156" s="111" t="s">
        <v>89</v>
      </c>
      <c r="B156" s="112">
        <v>459</v>
      </c>
      <c r="C156" s="71">
        <v>-4.3383948E-3</v>
      </c>
      <c r="D156" s="20">
        <v>455</v>
      </c>
      <c r="E156" s="21">
        <f t="shared" si="78"/>
        <v>-8.7145969498910684E-3</v>
      </c>
      <c r="F156" s="22">
        <f>IF(ISNUMBER(D156), $B172 * E156, "")</f>
        <v>-1307.1895424836603</v>
      </c>
      <c r="G156" s="30">
        <v>453</v>
      </c>
      <c r="H156" s="21">
        <f t="shared" si="79"/>
        <v>-1.3071895424836602E-2</v>
      </c>
      <c r="I156" s="95">
        <f>IF(ISNUMBER(G156), $B172 * H156, "")</f>
        <v>-1960.7843137254902</v>
      </c>
      <c r="J156" s="20">
        <v>453</v>
      </c>
      <c r="K156" s="21">
        <f t="shared" si="80"/>
        <v>-1.3071895424836602E-2</v>
      </c>
      <c r="L156" s="22">
        <f>IF(ISNUMBER(J156), $B172 * K156, "")</f>
        <v>-1960.7843137254902</v>
      </c>
      <c r="M156" s="30">
        <v>451</v>
      </c>
      <c r="N156" s="21">
        <f t="shared" si="81"/>
        <v>-1.7429193899782137E-2</v>
      </c>
      <c r="O156" s="22">
        <f>IF(ISNUMBER(M156), $B172 * N156, "")</f>
        <v>-2614.3790849673205</v>
      </c>
      <c r="Q156" s="161"/>
      <c r="R156" s="161"/>
      <c r="S156" s="161"/>
    </row>
    <row r="157" spans="1:19" ht="17.25" thickBot="1">
      <c r="A157" s="109" t="s">
        <v>157</v>
      </c>
      <c r="B157" s="113">
        <v>175</v>
      </c>
      <c r="C157" s="73">
        <v>-5.6818182E-3</v>
      </c>
      <c r="D157" s="96">
        <v>173</v>
      </c>
      <c r="E157" s="97">
        <f>IF(ISNUMBER(D157), (D157 - $B157) / $B157, "")</f>
        <v>-1.1428571428571429E-2</v>
      </c>
      <c r="F157" s="98">
        <f>IF(ISNUMBER(D157), $B172 * E157, "")</f>
        <v>-1714.2857142857142</v>
      </c>
      <c r="G157" s="99">
        <v>174</v>
      </c>
      <c r="H157" s="97">
        <f>IF(ISNUMBER(G157), (G157 - $B157) / $B157, "")</f>
        <v>-5.7142857142857143E-3</v>
      </c>
      <c r="I157" s="100">
        <f>IF(ISNUMBER(G157), $B172 * H157, "")</f>
        <v>-857.14285714285711</v>
      </c>
      <c r="J157" s="96">
        <v>177</v>
      </c>
      <c r="K157" s="97">
        <f>IF(ISNUMBER(J157), (J157 - $B157) / $B157, "")</f>
        <v>1.1428571428571429E-2</v>
      </c>
      <c r="L157" s="98">
        <f>IF(ISNUMBER(J157), $B172 * K157, "")</f>
        <v>1714.2857142857142</v>
      </c>
      <c r="M157" s="99">
        <v>177</v>
      </c>
      <c r="N157" s="97">
        <f>IF(ISNUMBER(M157), (M157 - $B157) / $B157, "")</f>
        <v>1.1428571428571429E-2</v>
      </c>
      <c r="O157" s="98">
        <f>IF(ISNUMBER(M157), $B172 * N157, "")</f>
        <v>1714.2857142857142</v>
      </c>
      <c r="Q157" s="161"/>
      <c r="R157" s="161"/>
      <c r="S157" s="161"/>
    </row>
    <row r="158" spans="1:19" ht="17.25" thickBot="1">
      <c r="A158" s="109" t="s">
        <v>189</v>
      </c>
      <c r="B158" s="110">
        <v>987</v>
      </c>
      <c r="C158" s="70">
        <v>-7.0422534999999998E-3</v>
      </c>
      <c r="D158" s="15">
        <v>978</v>
      </c>
      <c r="E158" s="32">
        <f t="shared" ref="E158:E161" si="82">IF(ISNUMBER(D158), (D158 - $B158) / $B158, "")</f>
        <v>-9.11854103343465E-3</v>
      </c>
      <c r="F158" s="18">
        <f>IF(ISNUMBER(D158), $B172 * E158, "")</f>
        <v>-1367.7811550151976</v>
      </c>
      <c r="G158" s="31">
        <v>975</v>
      </c>
      <c r="H158" s="32">
        <f t="shared" ref="H158:H161" si="83">IF(ISNUMBER(G158), (G158 - $B158) / $B158, "")</f>
        <v>-1.2158054711246201E-2</v>
      </c>
      <c r="I158" s="91">
        <f>IF(ISNUMBER(G158), $B172 * H158, "")</f>
        <v>-1823.70820668693</v>
      </c>
      <c r="J158" s="15">
        <v>974</v>
      </c>
      <c r="K158" s="32">
        <f t="shared" ref="K158:K161" si="84">IF(ISNUMBER(J158), (J158 - $B158) / $B158, "")</f>
        <v>-1.3171225937183385E-2</v>
      </c>
      <c r="L158" s="18">
        <f>IF(ISNUMBER(J158), $B172 * K158, "")</f>
        <v>-1975.6838905775078</v>
      </c>
      <c r="M158" s="31">
        <v>965</v>
      </c>
      <c r="N158" s="32">
        <f t="shared" ref="N158:N161" si="85">IF(ISNUMBER(M158), (M158 - $B158) / $B158, "")</f>
        <v>-2.2289766970618033E-2</v>
      </c>
      <c r="O158" s="18">
        <f>IF(ISNUMBER(M158), $B172 * N158, "")</f>
        <v>-3343.4650455927049</v>
      </c>
      <c r="Q158" s="161"/>
      <c r="R158" s="161"/>
      <c r="S158" s="161"/>
    </row>
    <row r="159" spans="1:19" ht="17.25" thickBot="1">
      <c r="A159" s="109" t="s">
        <v>346</v>
      </c>
      <c r="B159" s="110">
        <v>378</v>
      </c>
      <c r="C159" s="70">
        <v>-7.8740157000000005E-3</v>
      </c>
      <c r="D159" s="15">
        <v>388</v>
      </c>
      <c r="E159" s="32">
        <f t="shared" si="82"/>
        <v>2.6455026455026454E-2</v>
      </c>
      <c r="F159" s="18">
        <f>IF(ISNUMBER(D159), $B172 * E159, "")</f>
        <v>3968.2539682539682</v>
      </c>
      <c r="G159" s="31">
        <v>403</v>
      </c>
      <c r="H159" s="32">
        <f t="shared" si="83"/>
        <v>6.6137566137566134E-2</v>
      </c>
      <c r="I159" s="91">
        <f>IF(ISNUMBER(G159), $B172 * H159, "")</f>
        <v>9920.6349206349205</v>
      </c>
      <c r="J159" s="15">
        <v>384</v>
      </c>
      <c r="K159" s="32">
        <f t="shared" si="84"/>
        <v>1.5873015873015872E-2</v>
      </c>
      <c r="L159" s="18">
        <f>IF(ISNUMBER(J159), $B172 * K159, "")</f>
        <v>2380.9523809523807</v>
      </c>
      <c r="M159" s="31">
        <v>380</v>
      </c>
      <c r="N159" s="32">
        <f t="shared" si="85"/>
        <v>5.2910052910052907E-3</v>
      </c>
      <c r="O159" s="18">
        <f>IF(ISNUMBER(M159), $B172 * N159, "")</f>
        <v>793.65079365079362</v>
      </c>
      <c r="Q159" s="161"/>
      <c r="R159" s="161"/>
      <c r="S159" s="161"/>
    </row>
    <row r="160" spans="1:19" ht="17.25" thickBot="1">
      <c r="A160" s="109" t="s">
        <v>149</v>
      </c>
      <c r="B160" s="110">
        <v>346</v>
      </c>
      <c r="C160" s="70">
        <v>-8.5959885000000003E-3</v>
      </c>
      <c r="D160" s="15">
        <v>343</v>
      </c>
      <c r="E160" s="32">
        <f t="shared" si="82"/>
        <v>-8.670520231213872E-3</v>
      </c>
      <c r="F160" s="18">
        <f>IF(ISNUMBER(D160), $B172 * E160, "")</f>
        <v>-1300.5780346820809</v>
      </c>
      <c r="G160" s="31">
        <v>342</v>
      </c>
      <c r="H160" s="32">
        <f t="shared" si="83"/>
        <v>-1.1560693641618497E-2</v>
      </c>
      <c r="I160" s="91">
        <f>IF(ISNUMBER(G160), $B172 * H160, "")</f>
        <v>-1734.1040462427745</v>
      </c>
      <c r="J160" s="15">
        <v>340</v>
      </c>
      <c r="K160" s="32">
        <f t="shared" si="84"/>
        <v>-1.7341040462427744E-2</v>
      </c>
      <c r="L160" s="18">
        <f>IF(ISNUMBER(J160), $B172 * K160, "")</f>
        <v>-2601.1560693641618</v>
      </c>
      <c r="M160" s="31">
        <v>339</v>
      </c>
      <c r="N160" s="32">
        <f t="shared" si="85"/>
        <v>-2.023121387283237E-2</v>
      </c>
      <c r="O160" s="18">
        <f>IF(ISNUMBER(M160), $B172 * N160, "")</f>
        <v>-3034.6820809248557</v>
      </c>
      <c r="Q160" s="33"/>
      <c r="R160" s="33"/>
    </row>
    <row r="161" spans="1:19" ht="17.25" thickBot="1">
      <c r="A161" s="114" t="s">
        <v>169</v>
      </c>
      <c r="B161" s="115">
        <v>220</v>
      </c>
      <c r="C161" s="72">
        <v>-9.0090090000000001E-3</v>
      </c>
      <c r="D161" s="24">
        <v>223</v>
      </c>
      <c r="E161" s="25">
        <f t="shared" si="82"/>
        <v>1.3636363636363636E-2</v>
      </c>
      <c r="F161" s="94">
        <f>IF(ISNUMBER(D161), $B172 * E161, "")</f>
        <v>2045.4545454545453</v>
      </c>
      <c r="G161" s="92">
        <v>224</v>
      </c>
      <c r="H161" s="25">
        <f t="shared" si="83"/>
        <v>1.8181818181818181E-2</v>
      </c>
      <c r="I161" s="93">
        <f>IF(ISNUMBER(G161), $B172 * H161, "")</f>
        <v>2727.272727272727</v>
      </c>
      <c r="J161" s="24">
        <v>225</v>
      </c>
      <c r="K161" s="25">
        <f t="shared" si="84"/>
        <v>2.2727272727272728E-2</v>
      </c>
      <c r="L161" s="94">
        <f>IF(ISNUMBER(J161), $B172 * K161, "")</f>
        <v>3409.090909090909</v>
      </c>
      <c r="M161" s="92">
        <v>224</v>
      </c>
      <c r="N161" s="25">
        <f t="shared" si="85"/>
        <v>1.8181818181818181E-2</v>
      </c>
      <c r="O161" s="94">
        <f>IF(ISNUMBER(M161), $B172 * N161, "")</f>
        <v>2727.272727272727</v>
      </c>
      <c r="Q161" s="170"/>
      <c r="R161" s="171"/>
      <c r="S161" s="172"/>
    </row>
    <row r="162" spans="1:19">
      <c r="A162" s="107" t="s">
        <v>332</v>
      </c>
      <c r="B162" s="108">
        <v>220</v>
      </c>
      <c r="C162" s="69">
        <v>-9.0090090000000001E-3</v>
      </c>
      <c r="D162" s="13">
        <v>216</v>
      </c>
      <c r="E162" s="14">
        <f>IF(ISNUMBER(D162), (D162 - $B162) / $B162, "")</f>
        <v>-1.8181818181818181E-2</v>
      </c>
      <c r="F162" s="16">
        <f>IF(ISNUMBER(D162), $B172 * E162, "")</f>
        <v>-2727.272727272727</v>
      </c>
      <c r="G162" s="29">
        <v>216</v>
      </c>
      <c r="H162" s="14">
        <f>IF(ISNUMBER(G162), (G162 - $B162) / $B162, "")</f>
        <v>-1.8181818181818181E-2</v>
      </c>
      <c r="I162" s="90">
        <f>IF(ISNUMBER(G162), $B172 * H162, "")</f>
        <v>-2727.272727272727</v>
      </c>
      <c r="J162" s="13">
        <v>216</v>
      </c>
      <c r="K162" s="14">
        <f>IF(ISNUMBER(J162), (J162 - $B162) / $B162, "")</f>
        <v>-1.8181818181818181E-2</v>
      </c>
      <c r="L162" s="16">
        <f>IF(ISNUMBER(J162), $B172 * K162, "")</f>
        <v>-2727.272727272727</v>
      </c>
      <c r="M162" s="29">
        <v>214</v>
      </c>
      <c r="N162" s="14">
        <f>IF(ISNUMBER(M162), (M162 - $B162) / $B162, "")</f>
        <v>-2.7272727272727271E-2</v>
      </c>
      <c r="O162" s="16">
        <f>IF(ISNUMBER(M162), $B172 * N162, "")</f>
        <v>-4090.9090909090905</v>
      </c>
      <c r="Q162" s="173"/>
      <c r="R162" s="174"/>
      <c r="S162" s="175"/>
    </row>
    <row r="163" spans="1:19" ht="17.25" thickBot="1">
      <c r="A163" s="109" t="s">
        <v>101</v>
      </c>
      <c r="B163" s="110">
        <v>210</v>
      </c>
      <c r="C163" s="70">
        <v>-9.4339622999999994E-3</v>
      </c>
      <c r="D163" s="15">
        <v>208</v>
      </c>
      <c r="E163" s="32">
        <f t="shared" ref="E163:E166" si="86">IF(ISNUMBER(D163), (D163 - $B163) / $B163, "")</f>
        <v>-9.5238095238095247E-3</v>
      </c>
      <c r="F163" s="18">
        <f>IF(ISNUMBER(D163), $B172 * E163, "")</f>
        <v>-1428.5714285714287</v>
      </c>
      <c r="G163" s="31">
        <v>207</v>
      </c>
      <c r="H163" s="32">
        <f t="shared" ref="H163:H166" si="87">IF(ISNUMBER(G163), (G163 - $B163) / $B163, "")</f>
        <v>-1.4285714285714285E-2</v>
      </c>
      <c r="I163" s="91">
        <f>IF(ISNUMBER(G163), $B172 * H163, "")</f>
        <v>-2142.8571428571427</v>
      </c>
      <c r="J163" s="15">
        <v>208</v>
      </c>
      <c r="K163" s="32">
        <f t="shared" ref="K163:K166" si="88">IF(ISNUMBER(J163), (J163 - $B163) / $B163, "")</f>
        <v>-9.5238095238095247E-3</v>
      </c>
      <c r="L163" s="18">
        <f>IF(ISNUMBER(J163), $B172 * K163, "")</f>
        <v>-1428.5714285714287</v>
      </c>
      <c r="M163" s="31">
        <v>205</v>
      </c>
      <c r="N163" s="32">
        <f t="shared" ref="N163:N166" si="89">IF(ISNUMBER(M163), (M163 - $B163) / $B163, "")</f>
        <v>-2.3809523809523808E-2</v>
      </c>
      <c r="O163" s="18">
        <f>IF(ISNUMBER(M163), $B172 * N163, "")</f>
        <v>-3571.4285714285711</v>
      </c>
      <c r="Q163" s="176"/>
      <c r="R163" s="177"/>
      <c r="S163" s="178"/>
    </row>
    <row r="164" spans="1:19" ht="17.25" thickBot="1">
      <c r="A164" s="109" t="s">
        <v>204</v>
      </c>
      <c r="B164" s="110">
        <v>210</v>
      </c>
      <c r="C164" s="70">
        <v>-9.4339622999999994E-3</v>
      </c>
      <c r="D164" s="15">
        <v>207</v>
      </c>
      <c r="E164" s="32">
        <f t="shared" si="86"/>
        <v>-1.4285714285714285E-2</v>
      </c>
      <c r="F164" s="18">
        <f>IF(ISNUMBER(D164), $B172 * E164, "")</f>
        <v>-2142.8571428571427</v>
      </c>
      <c r="G164" s="31">
        <v>206</v>
      </c>
      <c r="H164" s="32">
        <f t="shared" si="87"/>
        <v>-1.9047619047619049E-2</v>
      </c>
      <c r="I164" s="91">
        <f>IF(ISNUMBER(G164), $B172 * H164, "")</f>
        <v>-2857.1428571428573</v>
      </c>
      <c r="J164" s="15">
        <v>205</v>
      </c>
      <c r="K164" s="32">
        <f t="shared" si="88"/>
        <v>-2.3809523809523808E-2</v>
      </c>
      <c r="L164" s="18">
        <f>IF(ISNUMBER(J164), $B172 * K164, "")</f>
        <v>-3571.4285714285711</v>
      </c>
      <c r="M164" s="31">
        <v>202</v>
      </c>
      <c r="N164" s="32">
        <f t="shared" si="89"/>
        <v>-3.8095238095238099E-2</v>
      </c>
      <c r="O164" s="18">
        <f>IF(ISNUMBER(M164), $B172 * N164, "")</f>
        <v>-5714.2857142857147</v>
      </c>
      <c r="Q164" s="161"/>
      <c r="R164" s="161"/>
      <c r="S164" s="161"/>
    </row>
    <row r="165" spans="1:19" ht="17.25" thickBot="1">
      <c r="A165" s="109" t="s">
        <v>256</v>
      </c>
      <c r="B165" s="110">
        <v>100</v>
      </c>
      <c r="C165" s="70">
        <v>-9.9009900999999997E-3</v>
      </c>
      <c r="D165" s="15">
        <v>100</v>
      </c>
      <c r="E165" s="32">
        <f t="shared" si="86"/>
        <v>0</v>
      </c>
      <c r="F165" s="18">
        <f>IF(ISNUMBER(D165), $B172 * E165, "")</f>
        <v>0</v>
      </c>
      <c r="G165" s="31">
        <v>100</v>
      </c>
      <c r="H165" s="32">
        <f t="shared" si="87"/>
        <v>0</v>
      </c>
      <c r="I165" s="91">
        <f>IF(ISNUMBER(G165), $B172 * H165, "")</f>
        <v>0</v>
      </c>
      <c r="J165" s="15">
        <v>99.5</v>
      </c>
      <c r="K165" s="32">
        <f t="shared" si="88"/>
        <v>-5.0000000000000001E-3</v>
      </c>
      <c r="L165" s="18">
        <f>IF(ISNUMBER(J165), $B172 * K165, "")</f>
        <v>-750</v>
      </c>
      <c r="M165" s="31">
        <v>97.7</v>
      </c>
      <c r="N165" s="32">
        <f t="shared" si="89"/>
        <v>-2.2999999999999972E-2</v>
      </c>
      <c r="O165" s="18">
        <f>IF(ISNUMBER(M165), $B172 * N165, "")</f>
        <v>-3449.9999999999959</v>
      </c>
      <c r="Q165" s="156"/>
      <c r="R165" s="156"/>
      <c r="S165" s="156"/>
    </row>
    <row r="166" spans="1:19" ht="17.25" thickBot="1">
      <c r="A166" s="111" t="s">
        <v>349</v>
      </c>
      <c r="B166" s="112">
        <v>634</v>
      </c>
      <c r="C166" s="71">
        <v>-1.0920436800000001E-2</v>
      </c>
      <c r="D166" s="20">
        <v>677</v>
      </c>
      <c r="E166" s="21">
        <f t="shared" si="86"/>
        <v>6.7823343848580436E-2</v>
      </c>
      <c r="F166" s="22">
        <f>IF(ISNUMBER(D166), $B172 * E166, "")</f>
        <v>10173.501577287065</v>
      </c>
      <c r="G166" s="30">
        <v>653</v>
      </c>
      <c r="H166" s="21">
        <f t="shared" si="87"/>
        <v>2.996845425867508E-2</v>
      </c>
      <c r="I166" s="95">
        <f>IF(ISNUMBER(G166), $B172 * H166, "")</f>
        <v>4495.2681388012616</v>
      </c>
      <c r="J166" s="20">
        <v>650</v>
      </c>
      <c r="K166" s="21">
        <f t="shared" si="88"/>
        <v>2.5236593059936908E-2</v>
      </c>
      <c r="L166" s="22">
        <f>IF(ISNUMBER(J166), $B172 * K166, "")</f>
        <v>3785.488958990536</v>
      </c>
      <c r="M166" s="30">
        <v>649</v>
      </c>
      <c r="N166" s="21">
        <f t="shared" si="89"/>
        <v>2.365930599369085E-2</v>
      </c>
      <c r="O166" s="22">
        <f>IF(ISNUMBER(M166), $B172 * N166, "")</f>
        <v>3548.8958990536275</v>
      </c>
      <c r="Q166" s="156"/>
      <c r="R166" s="156"/>
      <c r="S166" s="156"/>
    </row>
    <row r="167" spans="1:19" ht="17.25" thickBot="1">
      <c r="A167" s="109" t="s">
        <v>68</v>
      </c>
      <c r="B167" s="113">
        <v>266</v>
      </c>
      <c r="C167" s="73">
        <v>-1.8450184500000001E-2</v>
      </c>
      <c r="D167" s="96">
        <v>266</v>
      </c>
      <c r="E167" s="97">
        <f>IF(ISNUMBER(D167), (D167 - $B167) / $B167, "")</f>
        <v>0</v>
      </c>
      <c r="F167" s="98">
        <f>IF(ISNUMBER(D167), $B172 * E167, "")</f>
        <v>0</v>
      </c>
      <c r="G167" s="99">
        <v>267</v>
      </c>
      <c r="H167" s="97">
        <f>IF(ISNUMBER(G167), (G167 - $B167) / $B167, "")</f>
        <v>3.7593984962406013E-3</v>
      </c>
      <c r="I167" s="100">
        <f>IF(ISNUMBER(G167), $B172 * H167, "")</f>
        <v>563.90977443609017</v>
      </c>
      <c r="J167" s="96">
        <v>263</v>
      </c>
      <c r="K167" s="97">
        <f>IF(ISNUMBER(J167), (J167 - $B167) / $B167, "")</f>
        <v>-1.1278195488721804E-2</v>
      </c>
      <c r="L167" s="98">
        <f>IF(ISNUMBER(J167), $B172 * K167, "")</f>
        <v>-1691.7293233082705</v>
      </c>
      <c r="M167" s="99">
        <v>261</v>
      </c>
      <c r="N167" s="97">
        <f>IF(ISNUMBER(M167), (M167 - $B167) / $B167, "")</f>
        <v>-1.8796992481203006E-2</v>
      </c>
      <c r="O167" s="98">
        <f>IF(ISNUMBER(M167), $B172 * N167, "")</f>
        <v>-2819.5488721804509</v>
      </c>
      <c r="Q167" s="161"/>
      <c r="R167" s="161"/>
      <c r="S167" s="161"/>
    </row>
    <row r="168" spans="1:19" ht="17.25" thickBot="1">
      <c r="A168" s="109" t="s">
        <v>111</v>
      </c>
      <c r="B168" s="110">
        <v>583</v>
      </c>
      <c r="C168" s="70">
        <v>-1.8518518500000001E-2</v>
      </c>
      <c r="D168" s="15">
        <v>577</v>
      </c>
      <c r="E168" s="32">
        <f t="shared" ref="E168:E171" si="90">IF(ISNUMBER(D168), (D168 - $B168) / $B168, "")</f>
        <v>-1.0291595197255575E-2</v>
      </c>
      <c r="F168" s="18">
        <f>IF(ISNUMBER(D168), $B172 * E168, "")</f>
        <v>-1543.7392795883363</v>
      </c>
      <c r="G168" s="31">
        <v>578</v>
      </c>
      <c r="H168" s="32">
        <f t="shared" ref="H168:H171" si="91">IF(ISNUMBER(G168), (G168 - $B168) / $B168, "")</f>
        <v>-8.5763293310463125E-3</v>
      </c>
      <c r="I168" s="91">
        <f>IF(ISNUMBER(G168), $B172 * H168, "")</f>
        <v>-1286.449399656947</v>
      </c>
      <c r="J168" s="15">
        <v>576</v>
      </c>
      <c r="K168" s="32">
        <f t="shared" ref="K168:K171" si="92">IF(ISNUMBER(J168), (J168 - $B168) / $B168, "")</f>
        <v>-1.2006861063464836E-2</v>
      </c>
      <c r="L168" s="18">
        <f>IF(ISNUMBER(J168), $B172 * K168, "")</f>
        <v>-1801.0291595197255</v>
      </c>
      <c r="M168" s="31">
        <v>571</v>
      </c>
      <c r="N168" s="32">
        <f t="shared" ref="N168:N171" si="93">IF(ISNUMBER(M168), (M168 - $B168) / $B168, "")</f>
        <v>-2.0583190394511151E-2</v>
      </c>
      <c r="O168" s="18">
        <f>IF(ISNUMBER(M168), $B172 * N168, "")</f>
        <v>-3087.4785591766727</v>
      </c>
      <c r="Q168" s="161"/>
      <c r="R168" s="161"/>
      <c r="S168" s="161"/>
    </row>
    <row r="169" spans="1:19" ht="17.25" thickBot="1">
      <c r="A169" s="109" t="s">
        <v>60</v>
      </c>
      <c r="B169" s="110">
        <v>426</v>
      </c>
      <c r="C169" s="70">
        <v>-2.06896552E-2</v>
      </c>
      <c r="D169" s="15">
        <v>429</v>
      </c>
      <c r="E169" s="32">
        <f t="shared" si="90"/>
        <v>7.0422535211267607E-3</v>
      </c>
      <c r="F169" s="18">
        <f>IF(ISNUMBER(D169), $B172 * E169, "")</f>
        <v>1056.338028169014</v>
      </c>
      <c r="G169" s="31">
        <v>427</v>
      </c>
      <c r="H169" s="32">
        <f t="shared" si="91"/>
        <v>2.3474178403755869E-3</v>
      </c>
      <c r="I169" s="91">
        <f>IF(ISNUMBER(G169), $B172 * H169, "")</f>
        <v>352.11267605633805</v>
      </c>
      <c r="J169" s="15">
        <v>426</v>
      </c>
      <c r="K169" s="32">
        <f t="shared" si="92"/>
        <v>0</v>
      </c>
      <c r="L169" s="18">
        <f>IF(ISNUMBER(J169), $B172 * K169, "")</f>
        <v>0</v>
      </c>
      <c r="M169" s="31">
        <v>424</v>
      </c>
      <c r="N169" s="32">
        <f t="shared" si="93"/>
        <v>-4.6948356807511738E-3</v>
      </c>
      <c r="O169" s="18">
        <f>IF(ISNUMBER(M169), $B172 * N169, "")</f>
        <v>-704.22535211267609</v>
      </c>
      <c r="Q169" s="161"/>
      <c r="R169" s="161"/>
      <c r="S169" s="161"/>
    </row>
    <row r="170" spans="1:19">
      <c r="A170" s="109" t="s">
        <v>165</v>
      </c>
      <c r="B170" s="110">
        <v>938</v>
      </c>
      <c r="C170" s="70">
        <v>-2.9989658700000001E-2</v>
      </c>
      <c r="D170" s="15">
        <v>985</v>
      </c>
      <c r="E170" s="32">
        <f t="shared" si="90"/>
        <v>5.0106609808102345E-2</v>
      </c>
      <c r="F170" s="18">
        <f>IF(ISNUMBER(D170), $B172 * E170, "")</f>
        <v>7515.9914712153522</v>
      </c>
      <c r="G170" s="31">
        <v>981</v>
      </c>
      <c r="H170" s="32">
        <f t="shared" si="91"/>
        <v>4.5842217484008532E-2</v>
      </c>
      <c r="I170" s="91">
        <f>IF(ISNUMBER(G170), $B172 * H170, "")</f>
        <v>6876.3326226012796</v>
      </c>
      <c r="J170" s="15">
        <v>982</v>
      </c>
      <c r="K170" s="32">
        <f t="shared" si="92"/>
        <v>4.6908315565031986E-2</v>
      </c>
      <c r="L170" s="18">
        <f>IF(ISNUMBER(J170), $B172 * K170, "")</f>
        <v>7036.2473347547975</v>
      </c>
      <c r="M170" s="31">
        <v>968</v>
      </c>
      <c r="N170" s="32">
        <f t="shared" si="93"/>
        <v>3.1982942430703626E-2</v>
      </c>
      <c r="O170" s="18">
        <f>IF(ISNUMBER(M170), $B172 * N170, "")</f>
        <v>4797.4413646055436</v>
      </c>
      <c r="Q170" s="183"/>
      <c r="R170" s="184"/>
      <c r="S170" s="185"/>
    </row>
    <row r="171" spans="1:19" ht="17.25" thickBot="1">
      <c r="A171" s="114" t="s">
        <v>214</v>
      </c>
      <c r="B171" s="115">
        <v>982</v>
      </c>
      <c r="C171" s="72">
        <v>-3.2512315299999997E-2</v>
      </c>
      <c r="D171" s="24">
        <v>997</v>
      </c>
      <c r="E171" s="25">
        <f t="shared" si="90"/>
        <v>1.5274949083503055E-2</v>
      </c>
      <c r="F171" s="94">
        <f>IF(ISNUMBER(D171), $B172 * E171, "")</f>
        <v>2291.2423625254582</v>
      </c>
      <c r="G171" s="92">
        <v>975</v>
      </c>
      <c r="H171" s="25">
        <f t="shared" si="91"/>
        <v>-7.1283095723014261E-3</v>
      </c>
      <c r="I171" s="93">
        <f>IF(ISNUMBER(G171), $B172 * H171, "")</f>
        <v>-1069.2464358452139</v>
      </c>
      <c r="J171" s="24">
        <v>970</v>
      </c>
      <c r="K171" s="25">
        <f t="shared" si="92"/>
        <v>-1.2219959266802444E-2</v>
      </c>
      <c r="L171" s="94">
        <f>IF(ISNUMBER(J171), $B172 * K171, "")</f>
        <v>-1832.9938900203665</v>
      </c>
      <c r="M171" s="92">
        <v>966</v>
      </c>
      <c r="N171" s="25">
        <f t="shared" si="93"/>
        <v>-1.6293279022403257E-2</v>
      </c>
      <c r="O171" s="94">
        <f>IF(ISNUMBER(M171), $B172 * N171, "")</f>
        <v>-2443.9918533604887</v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2.4247692508208821E-3</v>
      </c>
      <c r="F172" s="28">
        <f>SUM(F152:F171)</f>
        <v>7274.3077524626442</v>
      </c>
      <c r="G172" s="26" t="s">
        <v>261</v>
      </c>
      <c r="H172" s="27">
        <f>IF(COUNT(H152:H171), SUM(H152:H171) / COUNT(H152:H171), 0)</f>
        <v>6.8057324974167891E-4</v>
      </c>
      <c r="I172" s="28">
        <f>SUM(I152:I171)</f>
        <v>2041.719749225038</v>
      </c>
      <c r="J172" s="26" t="s">
        <v>261</v>
      </c>
      <c r="K172" s="27">
        <f>IF(COUNT(K152:K171), SUM(K152:K171) / COUNT(K152:K171), 0)</f>
        <v>-3.4567544312697532E-3</v>
      </c>
      <c r="L172" s="28">
        <f>SUM(L152:L171)</f>
        <v>-10370.263293809261</v>
      </c>
      <c r="M172" s="26" t="s">
        <v>261</v>
      </c>
      <c r="N172" s="27">
        <f>IF(COUNT(N152:N171), SUM(N152:N171) / COUNT(N152:N171), 0)</f>
        <v>-1.0522853504877513E-2</v>
      </c>
      <c r="O172" s="28">
        <f>SUM(O152:O171)</f>
        <v>-31568.56051463254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2022-12-25(일) 오전 00:00</v>
      </c>
      <c r="C177" s="199"/>
      <c r="D177" s="158" t="str">
        <f>TEXT($G$1, "[$-ko-KR]yyyy-mm-dd(ddd) ") &amp; "오후 14:00"</f>
        <v>2022-12-25(일) 오후 14:00</v>
      </c>
      <c r="E177" s="159"/>
      <c r="F177" s="160"/>
      <c r="G177" s="158" t="str">
        <f>TEXT($G$1, "[$-ko-KR]yyyy-mm-dd(ddd) ") &amp; "오후 19:00"</f>
        <v>2022-12-25(일) 오후 19:00</v>
      </c>
      <c r="H177" s="159"/>
      <c r="I177" s="160"/>
      <c r="J177" s="158" t="str">
        <f>TEXT($G$1, "[$-ko-KR]yyyy-mm-dd(ddd) ") &amp; "오후 21:00"</f>
        <v>2022-12-25(일) 오후 21:00</v>
      </c>
      <c r="K177" s="159"/>
      <c r="L177" s="160"/>
      <c r="M177" s="158" t="str">
        <f>TEXT($G$1+1, "[$-ko-KR]yyyy-mm-dd(ddd) ") &amp; "오전 00:00"</f>
        <v>2022-12-26(월)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87</v>
      </c>
      <c r="B179" s="108">
        <v>57610</v>
      </c>
      <c r="C179" s="69">
        <v>-9.1159271000000007E-3</v>
      </c>
      <c r="D179" s="13">
        <v>57170</v>
      </c>
      <c r="E179" s="14">
        <f>IF(ISNUMBER(D179), (D179 - $B179) / $B179, "")</f>
        <v>-7.6375629231036279E-3</v>
      </c>
      <c r="F179" s="16">
        <f>IF(ISNUMBER(D179), $B199 * E179, "")</f>
        <v>-1145.6344384655442</v>
      </c>
      <c r="G179" s="29">
        <v>56850</v>
      </c>
      <c r="H179" s="14">
        <f>IF(ISNUMBER(G179), (G179 - $B179) / $B179, "")</f>
        <v>-1.3192154139906266E-2</v>
      </c>
      <c r="I179" s="90">
        <f>IF(ISNUMBER(G179), $B199 * H179, "")</f>
        <v>-1978.82312098594</v>
      </c>
      <c r="J179" s="13">
        <v>56520</v>
      </c>
      <c r="K179" s="14">
        <f>IF(ISNUMBER(J179), (J179 - $B179) / $B179, "")</f>
        <v>-1.8920326332233988E-2</v>
      </c>
      <c r="L179" s="16">
        <f>IF(ISNUMBER(J179), $B199 * K179, "")</f>
        <v>-2838.048949835098</v>
      </c>
      <c r="M179" s="29">
        <v>55930</v>
      </c>
      <c r="N179" s="14">
        <f>IF(ISNUMBER(M179), (M179 - $B179) / $B179, "")</f>
        <v>-2.9161603888213851E-2</v>
      </c>
      <c r="O179" s="16">
        <f>IF(ISNUMBER(M179), $B199 * N179, "")</f>
        <v>-4374.2405832320774</v>
      </c>
      <c r="Q179" s="156"/>
      <c r="R179" s="156"/>
      <c r="S179" s="156"/>
    </row>
    <row r="180" spans="1:19" ht="17.25" thickBot="1">
      <c r="A180" s="109" t="s">
        <v>220</v>
      </c>
      <c r="B180" s="110">
        <v>63.2</v>
      </c>
      <c r="C180" s="70">
        <v>-9.4043887000000003E-3</v>
      </c>
      <c r="D180" s="15">
        <v>62.4</v>
      </c>
      <c r="E180" s="32">
        <f t="shared" ref="E180:E183" si="94">IF(ISNUMBER(D180), (D180 - $B180) / $B180, "")</f>
        <v>-1.2658227848101333E-2</v>
      </c>
      <c r="F180" s="18">
        <f>IF(ISNUMBER(D180), $B199 * E180, "")</f>
        <v>-1898.7341772151999</v>
      </c>
      <c r="G180" s="31">
        <v>62.5</v>
      </c>
      <c r="H180" s="32">
        <f t="shared" ref="H180:H183" si="95">IF(ISNUMBER(G180), (G180 - $B180) / $B180, "")</f>
        <v>-1.1075949367088653E-2</v>
      </c>
      <c r="I180" s="91">
        <f>IF(ISNUMBER(G180), $B199 * H180, "")</f>
        <v>-1661.3924050632979</v>
      </c>
      <c r="J180" s="15">
        <v>62.2</v>
      </c>
      <c r="K180" s="32">
        <f t="shared" ref="K180:K183" si="96">IF(ISNUMBER(J180), (J180 - $B180) / $B180, "")</f>
        <v>-1.582278481012658E-2</v>
      </c>
      <c r="L180" s="18">
        <f>IF(ISNUMBER(J180), $B199 * K180, "")</f>
        <v>-2373.417721518987</v>
      </c>
      <c r="M180" s="31">
        <v>61.9</v>
      </c>
      <c r="N180" s="32">
        <f t="shared" ref="N180:N183" si="97">IF(ISNUMBER(M180), (M180 - $B180) / $B180, "")</f>
        <v>-2.0569620253164625E-2</v>
      </c>
      <c r="O180" s="18">
        <f>IF(ISNUMBER(M180), $B199 * N180, "")</f>
        <v>-3085.4430379746937</v>
      </c>
      <c r="Q180" s="156"/>
      <c r="R180" s="156"/>
      <c r="S180" s="156"/>
    </row>
    <row r="181" spans="1:19" ht="17.25" thickBot="1">
      <c r="A181" s="109" t="s">
        <v>101</v>
      </c>
      <c r="B181" s="110">
        <v>210</v>
      </c>
      <c r="C181" s="70">
        <v>-9.4339622999999994E-3</v>
      </c>
      <c r="D181" s="15">
        <v>208</v>
      </c>
      <c r="E181" s="32">
        <f t="shared" si="94"/>
        <v>-9.5238095238095247E-3</v>
      </c>
      <c r="F181" s="18">
        <f>IF(ISNUMBER(D181), $B199 * E181, "")</f>
        <v>-1428.5714285714287</v>
      </c>
      <c r="G181" s="31">
        <v>207</v>
      </c>
      <c r="H181" s="32">
        <f t="shared" si="95"/>
        <v>-1.4285714285714285E-2</v>
      </c>
      <c r="I181" s="91">
        <f>IF(ISNUMBER(G181), $B199 * H181, "")</f>
        <v>-2142.8571428571427</v>
      </c>
      <c r="J181" s="15">
        <v>208</v>
      </c>
      <c r="K181" s="32">
        <f t="shared" si="96"/>
        <v>-9.5238095238095247E-3</v>
      </c>
      <c r="L181" s="18">
        <f>IF(ISNUMBER(J181), $B199 * K181, "")</f>
        <v>-1428.5714285714287</v>
      </c>
      <c r="M181" s="31">
        <v>205</v>
      </c>
      <c r="N181" s="32">
        <f t="shared" si="97"/>
        <v>-2.3809523809523808E-2</v>
      </c>
      <c r="O181" s="18">
        <f>IF(ISNUMBER(M181), $B199 * N181, "")</f>
        <v>-3571.4285714285711</v>
      </c>
      <c r="Q181" s="161"/>
      <c r="R181" s="161"/>
      <c r="S181" s="161"/>
    </row>
    <row r="182" spans="1:19" ht="17.25" thickBot="1">
      <c r="A182" s="109" t="s">
        <v>204</v>
      </c>
      <c r="B182" s="110">
        <v>210</v>
      </c>
      <c r="C182" s="70">
        <v>-9.4339622999999994E-3</v>
      </c>
      <c r="D182" s="15">
        <v>207</v>
      </c>
      <c r="E182" s="32">
        <f t="shared" si="94"/>
        <v>-1.4285714285714285E-2</v>
      </c>
      <c r="F182" s="18">
        <f>IF(ISNUMBER(D182), $B199 * E182, "")</f>
        <v>-2142.8571428571427</v>
      </c>
      <c r="G182" s="31">
        <v>206</v>
      </c>
      <c r="H182" s="32">
        <f t="shared" si="95"/>
        <v>-1.9047619047619049E-2</v>
      </c>
      <c r="I182" s="91">
        <f>IF(ISNUMBER(G182), $B199 * H182, "")</f>
        <v>-2857.1428571428573</v>
      </c>
      <c r="J182" s="15">
        <v>205</v>
      </c>
      <c r="K182" s="32">
        <f t="shared" si="96"/>
        <v>-2.3809523809523808E-2</v>
      </c>
      <c r="L182" s="18">
        <f>IF(ISNUMBER(J182), $B199 * K182, "")</f>
        <v>-3571.4285714285711</v>
      </c>
      <c r="M182" s="31">
        <v>202</v>
      </c>
      <c r="N182" s="32">
        <f t="shared" si="97"/>
        <v>-3.8095238095238099E-2</v>
      </c>
      <c r="O182" s="18">
        <f>IF(ISNUMBER(M182), $B199 * N182, "")</f>
        <v>-5714.2857142857147</v>
      </c>
      <c r="Q182" s="161"/>
      <c r="R182" s="161"/>
      <c r="S182" s="161"/>
    </row>
    <row r="183" spans="1:19" ht="17.25" thickBot="1">
      <c r="A183" s="111" t="s">
        <v>256</v>
      </c>
      <c r="B183" s="112">
        <v>100</v>
      </c>
      <c r="C183" s="71">
        <v>-9.9009900999999997E-3</v>
      </c>
      <c r="D183" s="20">
        <v>100</v>
      </c>
      <c r="E183" s="21">
        <f t="shared" si="94"/>
        <v>0</v>
      </c>
      <c r="F183" s="22">
        <f>IF(ISNUMBER(D183), $B199 * E183, "")</f>
        <v>0</v>
      </c>
      <c r="G183" s="30">
        <v>100</v>
      </c>
      <c r="H183" s="21">
        <f t="shared" si="95"/>
        <v>0</v>
      </c>
      <c r="I183" s="95">
        <f>IF(ISNUMBER(G183), $B199 * H183, "")</f>
        <v>0</v>
      </c>
      <c r="J183" s="20">
        <v>99.5</v>
      </c>
      <c r="K183" s="21">
        <f t="shared" si="96"/>
        <v>-5.0000000000000001E-3</v>
      </c>
      <c r="L183" s="22">
        <f>IF(ISNUMBER(J183), $B199 * K183, "")</f>
        <v>-750</v>
      </c>
      <c r="M183" s="30">
        <v>97.7</v>
      </c>
      <c r="N183" s="21">
        <f t="shared" si="97"/>
        <v>-2.2999999999999972E-2</v>
      </c>
      <c r="O183" s="22">
        <f>IF(ISNUMBER(M183), $B199 * N183, "")</f>
        <v>-3449.9999999999959</v>
      </c>
      <c r="Q183" s="161"/>
      <c r="R183" s="161"/>
      <c r="S183" s="161"/>
    </row>
    <row r="184" spans="1:19" ht="17.25" thickBot="1">
      <c r="A184" s="109" t="s">
        <v>107</v>
      </c>
      <c r="B184" s="113">
        <v>38</v>
      </c>
      <c r="C184" s="73">
        <v>-1.04166667E-2</v>
      </c>
      <c r="D184" s="96">
        <v>37.4</v>
      </c>
      <c r="E184" s="97">
        <f>IF(ISNUMBER(D184), (D184 - $B184) / $B184, "")</f>
        <v>-1.5789473684210565E-2</v>
      </c>
      <c r="F184" s="98">
        <f>IF(ISNUMBER(D184), $B199 * E184, "")</f>
        <v>-2368.4210526315846</v>
      </c>
      <c r="G184" s="99">
        <v>37.299999999999997</v>
      </c>
      <c r="H184" s="97">
        <f>IF(ISNUMBER(G184), (G184 - $B184) / $B184, "")</f>
        <v>-1.8421052631579022E-2</v>
      </c>
      <c r="I184" s="100">
        <f>IF(ISNUMBER(G184), $B199 * H184, "")</f>
        <v>-2763.1578947368535</v>
      </c>
      <c r="J184" s="96">
        <v>37.1</v>
      </c>
      <c r="K184" s="97">
        <f>IF(ISNUMBER(J184), (J184 - $B184) / $B184, "")</f>
        <v>-2.3684210526315752E-2</v>
      </c>
      <c r="L184" s="98">
        <f>IF(ISNUMBER(J184), $B199 * K184, "")</f>
        <v>-3552.6315789473629</v>
      </c>
      <c r="M184" s="99">
        <v>36.700000000000003</v>
      </c>
      <c r="N184" s="97">
        <f>IF(ISNUMBER(M184), (M184 - $B184) / $B184, "")</f>
        <v>-3.42105263157894E-2</v>
      </c>
      <c r="O184" s="98">
        <f>IF(ISNUMBER(M184), $B199 * N184, "")</f>
        <v>-5131.5789473684099</v>
      </c>
      <c r="Q184" s="161"/>
      <c r="R184" s="161"/>
      <c r="S184" s="161"/>
    </row>
    <row r="185" spans="1:19" ht="17.25" thickBot="1">
      <c r="A185" s="109" t="s">
        <v>349</v>
      </c>
      <c r="B185" s="110">
        <v>634</v>
      </c>
      <c r="C185" s="70">
        <v>-1.0920436800000001E-2</v>
      </c>
      <c r="D185" s="15">
        <v>677</v>
      </c>
      <c r="E185" s="32">
        <f t="shared" ref="E185:E188" si="98">IF(ISNUMBER(D185), (D185 - $B185) / $B185, "")</f>
        <v>6.7823343848580436E-2</v>
      </c>
      <c r="F185" s="18">
        <f>IF(ISNUMBER(D185), $B199 * E185, "")</f>
        <v>10173.501577287065</v>
      </c>
      <c r="G185" s="31">
        <v>653</v>
      </c>
      <c r="H185" s="32">
        <f t="shared" ref="H185:H188" si="99">IF(ISNUMBER(G185), (G185 - $B185) / $B185, "")</f>
        <v>2.996845425867508E-2</v>
      </c>
      <c r="I185" s="91">
        <f>IF(ISNUMBER(G185), $B199 * H185, "")</f>
        <v>4495.2681388012616</v>
      </c>
      <c r="J185" s="15">
        <v>650</v>
      </c>
      <c r="K185" s="32">
        <f t="shared" ref="K185:K188" si="100">IF(ISNUMBER(J185), (J185 - $B185) / $B185, "")</f>
        <v>2.5236593059936908E-2</v>
      </c>
      <c r="L185" s="18">
        <f>IF(ISNUMBER(J185), $B199 * K185, "")</f>
        <v>3785.488958990536</v>
      </c>
      <c r="M185" s="31">
        <v>649</v>
      </c>
      <c r="N185" s="32">
        <f t="shared" ref="N185:N188" si="101">IF(ISNUMBER(M185), (M185 - $B185) / $B185, "")</f>
        <v>2.365930599369085E-2</v>
      </c>
      <c r="O185" s="18">
        <f>IF(ISNUMBER(M185), $B199 * N185, "")</f>
        <v>3548.8958990536275</v>
      </c>
      <c r="Q185" s="161"/>
      <c r="R185" s="161"/>
      <c r="S185" s="161"/>
    </row>
    <row r="186" spans="1:19" ht="17.25" thickBot="1">
      <c r="A186" s="109" t="s">
        <v>113</v>
      </c>
      <c r="B186" s="110">
        <v>1355</v>
      </c>
      <c r="C186" s="70">
        <v>-1.09489051E-2</v>
      </c>
      <c r="D186" s="15">
        <v>1335</v>
      </c>
      <c r="E186" s="32">
        <f t="shared" si="98"/>
        <v>-1.4760147601476014E-2</v>
      </c>
      <c r="F186" s="18">
        <f>IF(ISNUMBER(D186), $B199 * E186, "")</f>
        <v>-2214.022140221402</v>
      </c>
      <c r="G186" s="31">
        <v>1335</v>
      </c>
      <c r="H186" s="32">
        <f t="shared" si="99"/>
        <v>-1.4760147601476014E-2</v>
      </c>
      <c r="I186" s="91">
        <f>IF(ISNUMBER(G186), $B199 * H186, "")</f>
        <v>-2214.022140221402</v>
      </c>
      <c r="J186" s="15">
        <v>1320</v>
      </c>
      <c r="K186" s="32">
        <f t="shared" si="100"/>
        <v>-2.5830258302583026E-2</v>
      </c>
      <c r="L186" s="18">
        <f>IF(ISNUMBER(J186), $B199 * K186, "")</f>
        <v>-3874.5387453874541</v>
      </c>
      <c r="M186" s="31">
        <v>1320</v>
      </c>
      <c r="N186" s="32">
        <f t="shared" si="101"/>
        <v>-2.5830258302583026E-2</v>
      </c>
      <c r="O186" s="18">
        <f>IF(ISNUMBER(M186), $B199 * N186, "")</f>
        <v>-3874.5387453874541</v>
      </c>
      <c r="Q186" s="161"/>
      <c r="R186" s="161"/>
      <c r="S186" s="161"/>
    </row>
    <row r="187" spans="1:19" ht="17.25" thickBot="1">
      <c r="A187" s="109" t="s">
        <v>350</v>
      </c>
      <c r="B187" s="110">
        <v>6.27</v>
      </c>
      <c r="C187" s="70">
        <v>-1.1041009500000001E-2</v>
      </c>
      <c r="D187" s="15">
        <v>6.19</v>
      </c>
      <c r="E187" s="32">
        <f t="shared" si="98"/>
        <v>-1.2759170653907366E-2</v>
      </c>
      <c r="F187" s="18">
        <f>IF(ISNUMBER(D187), $B199 * E187, "")</f>
        <v>-1913.8755980861049</v>
      </c>
      <c r="G187" s="31">
        <v>6.14</v>
      </c>
      <c r="H187" s="32">
        <f t="shared" si="99"/>
        <v>-2.0733652312599667E-2</v>
      </c>
      <c r="I187" s="91">
        <f>IF(ISNUMBER(G187), $B199 * H187, "")</f>
        <v>-3110.0478468899501</v>
      </c>
      <c r="J187" s="15">
        <v>6.11</v>
      </c>
      <c r="K187" s="32">
        <f t="shared" si="100"/>
        <v>-2.5518341307814874E-2</v>
      </c>
      <c r="L187" s="18">
        <f>IF(ISNUMBER(J187), $B199 * K187, "")</f>
        <v>-3827.7511961722312</v>
      </c>
      <c r="M187" s="31">
        <v>6.1</v>
      </c>
      <c r="N187" s="32">
        <f t="shared" si="101"/>
        <v>-2.7113237639553419E-2</v>
      </c>
      <c r="O187" s="18">
        <f>IF(ISNUMBER(M187), $B199 * N187, "")</f>
        <v>-4066.9856459330131</v>
      </c>
      <c r="Q187" s="33"/>
      <c r="R187" s="33"/>
    </row>
    <row r="188" spans="1:19" ht="17.25" thickBot="1">
      <c r="A188" s="114" t="s">
        <v>51</v>
      </c>
      <c r="B188" s="115">
        <v>97.2</v>
      </c>
      <c r="C188" s="72">
        <v>-1.1190234E-2</v>
      </c>
      <c r="D188" s="24">
        <v>96.6</v>
      </c>
      <c r="E188" s="25">
        <f t="shared" si="98"/>
        <v>-6.1728395061729268E-3</v>
      </c>
      <c r="F188" s="94">
        <f>IF(ISNUMBER(D188), $B199 * E188, "")</f>
        <v>-925.92592592593905</v>
      </c>
      <c r="G188" s="92">
        <v>96.4</v>
      </c>
      <c r="H188" s="25">
        <f t="shared" si="99"/>
        <v>-8.2304526748970906E-3</v>
      </c>
      <c r="I188" s="93">
        <f>IF(ISNUMBER(G188), $B199 * H188, "")</f>
        <v>-1234.5679012345636</v>
      </c>
      <c r="J188" s="24">
        <v>96.2</v>
      </c>
      <c r="K188" s="25">
        <f t="shared" si="100"/>
        <v>-1.0288065843621399E-2</v>
      </c>
      <c r="L188" s="94">
        <f>IF(ISNUMBER(J188), $B199 * K188, "")</f>
        <v>-1543.2098765432099</v>
      </c>
      <c r="M188" s="92">
        <v>95.9</v>
      </c>
      <c r="N188" s="25">
        <f t="shared" si="101"/>
        <v>-1.3374485596707789E-2</v>
      </c>
      <c r="O188" s="94">
        <f>IF(ISNUMBER(M188), $B199 * N188, "")</f>
        <v>-2006.1728395061684</v>
      </c>
      <c r="Q188" s="170"/>
      <c r="R188" s="171"/>
      <c r="S188" s="172"/>
    </row>
    <row r="189" spans="1:19">
      <c r="A189" s="107" t="s">
        <v>198</v>
      </c>
      <c r="B189" s="108">
        <v>6.82</v>
      </c>
      <c r="C189" s="69">
        <v>-1.15942029E-2</v>
      </c>
      <c r="D189" s="13">
        <v>6.72</v>
      </c>
      <c r="E189" s="14">
        <f>IF(ISNUMBER(D189), (D189 - $B189) / $B189, "")</f>
        <v>-1.4662756598240546E-2</v>
      </c>
      <c r="F189" s="16">
        <f>IF(ISNUMBER(D189), $B199 * E189, "")</f>
        <v>-2199.4134897360818</v>
      </c>
      <c r="G189" s="29">
        <v>6.67</v>
      </c>
      <c r="H189" s="14">
        <f>IF(ISNUMBER(G189), (G189 - $B189) / $B189, "")</f>
        <v>-2.1994134897360754E-2</v>
      </c>
      <c r="I189" s="90">
        <f>IF(ISNUMBER(G189), $B199 * H189, "")</f>
        <v>-3299.1202346041132</v>
      </c>
      <c r="J189" s="13">
        <v>6.67</v>
      </c>
      <c r="K189" s="14">
        <f>IF(ISNUMBER(J189), (J189 - $B189) / $B189, "")</f>
        <v>-2.1994134897360754E-2</v>
      </c>
      <c r="L189" s="16">
        <f>IF(ISNUMBER(J189), $B199 * K189, "")</f>
        <v>-3299.1202346041132</v>
      </c>
      <c r="M189" s="29">
        <v>6.67</v>
      </c>
      <c r="N189" s="14">
        <f>IF(ISNUMBER(M189), (M189 - $B189) / $B189, "")</f>
        <v>-2.1994134897360754E-2</v>
      </c>
      <c r="O189" s="16">
        <f>IF(ISNUMBER(M189), $B199 * N189, "")</f>
        <v>-3299.1202346041132</v>
      </c>
      <c r="Q189" s="173"/>
      <c r="R189" s="174"/>
      <c r="S189" s="175"/>
    </row>
    <row r="190" spans="1:19" ht="17.25" thickBot="1">
      <c r="A190" s="109" t="s">
        <v>151</v>
      </c>
      <c r="B190" s="110">
        <v>2125</v>
      </c>
      <c r="C190" s="70">
        <v>-1.1627907E-2</v>
      </c>
      <c r="D190" s="15">
        <v>2080</v>
      </c>
      <c r="E190" s="32">
        <f t="shared" ref="E190:E193" si="102">IF(ISNUMBER(D190), (D190 - $B190) / $B190, "")</f>
        <v>-2.1176470588235293E-2</v>
      </c>
      <c r="F190" s="18">
        <f>IF(ISNUMBER(D190), $B199 * E190, "")</f>
        <v>-3176.4705882352941</v>
      </c>
      <c r="G190" s="31">
        <v>2080</v>
      </c>
      <c r="H190" s="32">
        <f t="shared" ref="H190:H193" si="103">IF(ISNUMBER(G190), (G190 - $B190) / $B190, "")</f>
        <v>-2.1176470588235293E-2</v>
      </c>
      <c r="I190" s="91">
        <f>IF(ISNUMBER(G190), $B199 * H190, "")</f>
        <v>-3176.4705882352941</v>
      </c>
      <c r="J190" s="15">
        <v>2055</v>
      </c>
      <c r="K190" s="32">
        <f t="shared" ref="K190:K193" si="104">IF(ISNUMBER(J190), (J190 - $B190) / $B190, "")</f>
        <v>-3.2941176470588238E-2</v>
      </c>
      <c r="L190" s="18">
        <f>IF(ISNUMBER(J190), $B199 * K190, "")</f>
        <v>-4941.176470588236</v>
      </c>
      <c r="M190" s="31">
        <v>2050</v>
      </c>
      <c r="N190" s="32">
        <f t="shared" ref="N190:N193" si="105">IF(ISNUMBER(M190), (M190 - $B190) / $B190, "")</f>
        <v>-3.5294117647058823E-2</v>
      </c>
      <c r="O190" s="18">
        <f>IF(ISNUMBER(M190), $B199 * N190, "")</f>
        <v>-5294.1176470588234</v>
      </c>
      <c r="Q190" s="176"/>
      <c r="R190" s="177"/>
      <c r="S190" s="178"/>
    </row>
    <row r="191" spans="1:19" ht="17.25" thickBot="1">
      <c r="A191" s="109" t="s">
        <v>147</v>
      </c>
      <c r="B191" s="110">
        <v>9105</v>
      </c>
      <c r="C191" s="70">
        <v>-1.40768814E-2</v>
      </c>
      <c r="D191" s="15">
        <v>9070</v>
      </c>
      <c r="E191" s="32">
        <f t="shared" si="102"/>
        <v>-3.8440417353102691E-3</v>
      </c>
      <c r="F191" s="18">
        <f>IF(ISNUMBER(D191), $B199 * E191, "")</f>
        <v>-576.60626029654043</v>
      </c>
      <c r="G191" s="31">
        <v>9000</v>
      </c>
      <c r="H191" s="32">
        <f t="shared" si="103"/>
        <v>-1.1532125205930808E-2</v>
      </c>
      <c r="I191" s="91">
        <f>IF(ISNUMBER(G191), $B199 * H191, "")</f>
        <v>-1729.8187808896212</v>
      </c>
      <c r="J191" s="15">
        <v>8950</v>
      </c>
      <c r="K191" s="32">
        <f t="shared" si="104"/>
        <v>-1.7023613399231193E-2</v>
      </c>
      <c r="L191" s="18">
        <f>IF(ISNUMBER(J191), $B199 * K191, "")</f>
        <v>-2553.5420098846789</v>
      </c>
      <c r="M191" s="31">
        <v>8885</v>
      </c>
      <c r="N191" s="32">
        <f t="shared" si="105"/>
        <v>-2.416254805052169E-2</v>
      </c>
      <c r="O191" s="18">
        <f>IF(ISNUMBER(M191), $B199 * N191, "")</f>
        <v>-3624.3822075782537</v>
      </c>
      <c r="Q191" s="161"/>
      <c r="R191" s="161"/>
      <c r="S191" s="161"/>
    </row>
    <row r="192" spans="1:19" ht="17.25" thickBot="1">
      <c r="A192" s="109" t="s">
        <v>132</v>
      </c>
      <c r="B192" s="110">
        <v>48.2</v>
      </c>
      <c r="C192" s="70">
        <v>-1.4314928399999999E-2</v>
      </c>
      <c r="D192" s="15">
        <v>46.9</v>
      </c>
      <c r="E192" s="32">
        <f t="shared" si="102"/>
        <v>-2.6970954356846561E-2</v>
      </c>
      <c r="F192" s="18">
        <f>IF(ISNUMBER(D192), $B199 * E192, "")</f>
        <v>-4045.643153526984</v>
      </c>
      <c r="G192" s="31">
        <v>46.9</v>
      </c>
      <c r="H192" s="32">
        <f t="shared" si="103"/>
        <v>-2.6970954356846561E-2</v>
      </c>
      <c r="I192" s="91">
        <f>IF(ISNUMBER(G192), $B199 * H192, "")</f>
        <v>-4045.643153526984</v>
      </c>
      <c r="J192" s="15">
        <v>46.8</v>
      </c>
      <c r="K192" s="32">
        <f t="shared" si="104"/>
        <v>-2.9045643153527086E-2</v>
      </c>
      <c r="L192" s="18">
        <f>IF(ISNUMBER(J192), $B199 * K192, "")</f>
        <v>-4356.8464730290625</v>
      </c>
      <c r="M192" s="31">
        <v>46.9</v>
      </c>
      <c r="N192" s="32">
        <f t="shared" si="105"/>
        <v>-2.6970954356846561E-2</v>
      </c>
      <c r="O192" s="18">
        <f>IF(ISNUMBER(M192), $B199 * N192, "")</f>
        <v>-4045.643153526984</v>
      </c>
      <c r="Q192" s="156"/>
      <c r="R192" s="156"/>
      <c r="S192" s="156"/>
    </row>
    <row r="193" spans="1:19" ht="17.25" thickBot="1">
      <c r="A193" s="111" t="s">
        <v>68</v>
      </c>
      <c r="B193" s="112">
        <v>266</v>
      </c>
      <c r="C193" s="71">
        <v>-1.8450184500000001E-2</v>
      </c>
      <c r="D193" s="20">
        <v>266</v>
      </c>
      <c r="E193" s="21">
        <f t="shared" si="102"/>
        <v>0</v>
      </c>
      <c r="F193" s="22">
        <f>IF(ISNUMBER(D193), $B199 * E193, "")</f>
        <v>0</v>
      </c>
      <c r="G193" s="30">
        <v>267</v>
      </c>
      <c r="H193" s="21">
        <f t="shared" si="103"/>
        <v>3.7593984962406013E-3</v>
      </c>
      <c r="I193" s="95">
        <f>IF(ISNUMBER(G193), $B199 * H193, "")</f>
        <v>563.90977443609017</v>
      </c>
      <c r="J193" s="20">
        <v>263</v>
      </c>
      <c r="K193" s="21">
        <f t="shared" si="104"/>
        <v>-1.1278195488721804E-2</v>
      </c>
      <c r="L193" s="22">
        <f>IF(ISNUMBER(J193), $B199 * K193, "")</f>
        <v>-1691.7293233082705</v>
      </c>
      <c r="M193" s="30">
        <v>261</v>
      </c>
      <c r="N193" s="21">
        <f t="shared" si="105"/>
        <v>-1.8796992481203006E-2</v>
      </c>
      <c r="O193" s="22">
        <f>IF(ISNUMBER(M193), $B199 * N193, "")</f>
        <v>-2819.5488721804509</v>
      </c>
      <c r="Q193" s="156"/>
      <c r="R193" s="156"/>
      <c r="S193" s="156"/>
    </row>
    <row r="194" spans="1:19" ht="17.25" thickBot="1">
      <c r="A194" s="109" t="s">
        <v>111</v>
      </c>
      <c r="B194" s="113">
        <v>583</v>
      </c>
      <c r="C194" s="73">
        <v>-1.8518518500000001E-2</v>
      </c>
      <c r="D194" s="96">
        <v>577</v>
      </c>
      <c r="E194" s="97">
        <f>IF(ISNUMBER(D194), (D194 - $B194) / $B194, "")</f>
        <v>-1.0291595197255575E-2</v>
      </c>
      <c r="F194" s="98">
        <f>IF(ISNUMBER(D194), $B199 * E194, "")</f>
        <v>-1543.7392795883363</v>
      </c>
      <c r="G194" s="99">
        <v>578</v>
      </c>
      <c r="H194" s="97">
        <f>IF(ISNUMBER(G194), (G194 - $B194) / $B194, "")</f>
        <v>-8.5763293310463125E-3</v>
      </c>
      <c r="I194" s="100">
        <f>IF(ISNUMBER(G194), $B199 * H194, "")</f>
        <v>-1286.449399656947</v>
      </c>
      <c r="J194" s="96">
        <v>576</v>
      </c>
      <c r="K194" s="97">
        <f>IF(ISNUMBER(J194), (J194 - $B194) / $B194, "")</f>
        <v>-1.2006861063464836E-2</v>
      </c>
      <c r="L194" s="98">
        <f>IF(ISNUMBER(J194), $B199 * K194, "")</f>
        <v>-1801.0291595197255</v>
      </c>
      <c r="M194" s="99">
        <v>571</v>
      </c>
      <c r="N194" s="97">
        <f>IF(ISNUMBER(M194), (M194 - $B194) / $B194, "")</f>
        <v>-2.0583190394511151E-2</v>
      </c>
      <c r="O194" s="98">
        <f>IF(ISNUMBER(M194), $B199 * N194, "")</f>
        <v>-3087.4785591766727</v>
      </c>
      <c r="Q194" s="161"/>
      <c r="R194" s="161"/>
      <c r="S194" s="161"/>
    </row>
    <row r="195" spans="1:19" ht="17.25" thickBot="1">
      <c r="A195" s="109" t="s">
        <v>60</v>
      </c>
      <c r="B195" s="110">
        <v>426</v>
      </c>
      <c r="C195" s="70">
        <v>-2.06896552E-2</v>
      </c>
      <c r="D195" s="15">
        <v>429</v>
      </c>
      <c r="E195" s="32">
        <f t="shared" ref="E195:E198" si="106">IF(ISNUMBER(D195), (D195 - $B195) / $B195, "")</f>
        <v>7.0422535211267607E-3</v>
      </c>
      <c r="F195" s="18">
        <f>IF(ISNUMBER(D195), $B199 * E195, "")</f>
        <v>1056.338028169014</v>
      </c>
      <c r="G195" s="31">
        <v>427</v>
      </c>
      <c r="H195" s="32">
        <f t="shared" ref="H195:H198" si="107">IF(ISNUMBER(G195), (G195 - $B195) / $B195, "")</f>
        <v>2.3474178403755869E-3</v>
      </c>
      <c r="I195" s="91">
        <f>IF(ISNUMBER(G195), $B199 * H195, "")</f>
        <v>352.11267605633805</v>
      </c>
      <c r="J195" s="15">
        <v>426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424</v>
      </c>
      <c r="N195" s="32">
        <f t="shared" ref="N195:N198" si="109">IF(ISNUMBER(M195), (M195 - $B195) / $B195, "")</f>
        <v>-4.6948356807511738E-3</v>
      </c>
      <c r="O195" s="18">
        <f>IF(ISNUMBER(M195), $B199 * N195, "")</f>
        <v>-704.22535211267609</v>
      </c>
      <c r="Q195" s="161"/>
      <c r="R195" s="161"/>
      <c r="S195" s="161"/>
    </row>
    <row r="196" spans="1:19" ht="17.25" thickBot="1">
      <c r="A196" s="109" t="s">
        <v>165</v>
      </c>
      <c r="B196" s="110">
        <v>938</v>
      </c>
      <c r="C196" s="70">
        <v>-2.9989658700000001E-2</v>
      </c>
      <c r="D196" s="15">
        <v>985</v>
      </c>
      <c r="E196" s="32">
        <f t="shared" si="106"/>
        <v>5.0106609808102345E-2</v>
      </c>
      <c r="F196" s="18">
        <f>IF(ISNUMBER(D196), $B199 * E196, "")</f>
        <v>7515.9914712153522</v>
      </c>
      <c r="G196" s="31">
        <v>981</v>
      </c>
      <c r="H196" s="32">
        <f t="shared" si="107"/>
        <v>4.5842217484008532E-2</v>
      </c>
      <c r="I196" s="91">
        <f>IF(ISNUMBER(G196), $B199 * H196, "")</f>
        <v>6876.3326226012796</v>
      </c>
      <c r="J196" s="15">
        <v>982</v>
      </c>
      <c r="K196" s="32">
        <f t="shared" si="108"/>
        <v>4.6908315565031986E-2</v>
      </c>
      <c r="L196" s="18">
        <f>IF(ISNUMBER(J196), $B199 * K196, "")</f>
        <v>7036.2473347547975</v>
      </c>
      <c r="M196" s="31">
        <v>968</v>
      </c>
      <c r="N196" s="32">
        <f t="shared" si="109"/>
        <v>3.1982942430703626E-2</v>
      </c>
      <c r="O196" s="18">
        <f>IF(ISNUMBER(M196), $B199 * N196, "")</f>
        <v>4797.4413646055436</v>
      </c>
      <c r="Q196" s="161"/>
      <c r="R196" s="161"/>
      <c r="S196" s="161"/>
    </row>
    <row r="197" spans="1:19">
      <c r="A197" s="109" t="s">
        <v>214</v>
      </c>
      <c r="B197" s="110">
        <v>982</v>
      </c>
      <c r="C197" s="70">
        <v>-3.2512315299999997E-2</v>
      </c>
      <c r="D197" s="15">
        <v>997</v>
      </c>
      <c r="E197" s="32">
        <f t="shared" si="106"/>
        <v>1.5274949083503055E-2</v>
      </c>
      <c r="F197" s="18">
        <f>IF(ISNUMBER(D197), $B199 * E197, "")</f>
        <v>2291.2423625254582</v>
      </c>
      <c r="G197" s="31">
        <v>975</v>
      </c>
      <c r="H197" s="32">
        <f t="shared" si="107"/>
        <v>-7.1283095723014261E-3</v>
      </c>
      <c r="I197" s="91">
        <f>IF(ISNUMBER(G197), $B199 * H197, "")</f>
        <v>-1069.2464358452139</v>
      </c>
      <c r="J197" s="15">
        <v>970</v>
      </c>
      <c r="K197" s="32">
        <f t="shared" si="108"/>
        <v>-1.2219959266802444E-2</v>
      </c>
      <c r="L197" s="18">
        <f>IF(ISNUMBER(J197), $B199 * K197, "")</f>
        <v>-1832.9938900203665</v>
      </c>
      <c r="M197" s="31">
        <v>966</v>
      </c>
      <c r="N197" s="32">
        <f t="shared" si="109"/>
        <v>-1.6293279022403257E-2</v>
      </c>
      <c r="O197" s="18">
        <f>IF(ISNUMBER(M197), $B199 * N197, "")</f>
        <v>-2443.9918533604887</v>
      </c>
      <c r="Q197" s="183"/>
      <c r="R197" s="184"/>
      <c r="S197" s="185"/>
    </row>
    <row r="198" spans="1:19" ht="17.25" thickBot="1">
      <c r="A198" s="114" t="s">
        <v>330</v>
      </c>
      <c r="B198" s="115">
        <v>14840</v>
      </c>
      <c r="C198" s="72">
        <v>-3.4482758600000003E-2</v>
      </c>
      <c r="D198" s="24">
        <v>14890</v>
      </c>
      <c r="E198" s="25">
        <f t="shared" si="106"/>
        <v>3.3692722371967657E-3</v>
      </c>
      <c r="F198" s="94">
        <f>IF(ISNUMBER(D198), $B199 * E198, "")</f>
        <v>505.39083557951483</v>
      </c>
      <c r="G198" s="92">
        <v>14860</v>
      </c>
      <c r="H198" s="25">
        <f t="shared" si="107"/>
        <v>1.3477088948787063E-3</v>
      </c>
      <c r="I198" s="93">
        <f>IF(ISNUMBER(G198), $B199 * H198, "")</f>
        <v>202.15633423180594</v>
      </c>
      <c r="J198" s="24">
        <v>14770</v>
      </c>
      <c r="K198" s="25">
        <f t="shared" si="108"/>
        <v>-4.7169811320754715E-3</v>
      </c>
      <c r="L198" s="94">
        <f>IF(ISNUMBER(J198), $B199 * K198, "")</f>
        <v>-707.54716981132071</v>
      </c>
      <c r="M198" s="92">
        <v>14750</v>
      </c>
      <c r="N198" s="25">
        <f t="shared" si="109"/>
        <v>-6.0646900269541778E-3</v>
      </c>
      <c r="O198" s="94">
        <f>IF(ISNUMBER(M198), $B199 * N198, "")</f>
        <v>-909.70350404312671</v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-1.3458168001937261E-3</v>
      </c>
      <c r="F199" s="28">
        <f>SUM(F179:F198)</f>
        <v>-4037.4504005811823</v>
      </c>
      <c r="G199" s="26" t="s">
        <v>261</v>
      </c>
      <c r="H199" s="27">
        <f>IF(COUNT(H179:H198), SUM(H179:H198) / COUNT(H179:H198), 0)</f>
        <v>-6.6929934519211354E-3</v>
      </c>
      <c r="I199" s="28">
        <f>SUM(I179:I198)</f>
        <v>-20078.9803557634</v>
      </c>
      <c r="J199" s="26" t="s">
        <v>261</v>
      </c>
      <c r="K199" s="27">
        <f>IF(COUNT(K179:K198), SUM(K179:K198) / COUNT(K179:K198), 0)</f>
        <v>-1.1373948835141597E-2</v>
      </c>
      <c r="L199" s="28">
        <f>SUM(L179:L198)</f>
        <v>-34121.846505424786</v>
      </c>
      <c r="M199" s="26" t="s">
        <v>261</v>
      </c>
      <c r="N199" s="27">
        <f>IF(COUNT(N179:N198), SUM(N179:N198) / COUNT(N179:N198), 0)</f>
        <v>-1.7718849401699509E-2</v>
      </c>
      <c r="O199" s="28">
        <f>SUM(O179:O198)</f>
        <v>-53156.548205098516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49C9D-E247-4BAF-AD06-57389E4911AD}">
  <sheetPr codeName="Sheet32"/>
  <dimension ref="A1:S199"/>
  <sheetViews>
    <sheetView tabSelected="1" topLeftCell="A24" zoomScaleNormal="100" workbookViewId="0">
      <selection activeCell="A13" sqref="A13:O37"/>
    </sheetView>
  </sheetViews>
  <sheetFormatPr defaultRowHeight="16.5"/>
  <cols>
    <col min="1" max="1" width="13" style="104" bestFit="1" customWidth="1"/>
    <col min="2" max="2" width="14.25" style="104" bestFit="1" customWidth="1"/>
    <col min="3" max="3" width="9.25" style="104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5" t="s">
        <v>0</v>
      </c>
      <c r="B1" s="136"/>
      <c r="C1" s="136"/>
      <c r="D1" s="136"/>
      <c r="E1" s="136"/>
      <c r="F1" s="137"/>
      <c r="G1" s="138">
        <v>44921</v>
      </c>
      <c r="H1" s="139"/>
      <c r="I1" s="140"/>
      <c r="J1" s="135" t="s">
        <v>1</v>
      </c>
      <c r="K1" s="136"/>
      <c r="L1" s="136"/>
      <c r="M1" s="136"/>
      <c r="N1" s="136"/>
      <c r="O1" s="137"/>
      <c r="Q1" s="135" t="s">
        <v>2</v>
      </c>
      <c r="R1" s="137"/>
    </row>
    <row r="2" spans="1:19" ht="17.25" customHeight="1">
      <c r="A2" s="101" t="s">
        <v>3</v>
      </c>
      <c r="B2" s="141" t="s">
        <v>8</v>
      </c>
      <c r="C2" s="142"/>
      <c r="D2" s="142"/>
      <c r="E2" s="142"/>
      <c r="F2" s="143"/>
      <c r="G2" s="144" t="s">
        <v>46</v>
      </c>
      <c r="H2" s="145"/>
      <c r="I2" s="146"/>
      <c r="J2" s="1" t="s">
        <v>3</v>
      </c>
      <c r="K2" s="141" t="s">
        <v>310</v>
      </c>
      <c r="L2" s="142"/>
      <c r="M2" s="142"/>
      <c r="N2" s="142"/>
      <c r="O2" s="143"/>
      <c r="Q2" s="2" t="s">
        <v>6</v>
      </c>
      <c r="R2" s="3">
        <v>0.375</v>
      </c>
    </row>
    <row r="3" spans="1:19" ht="17.25" customHeight="1" thickBot="1">
      <c r="A3" s="102" t="s">
        <v>7</v>
      </c>
      <c r="B3" s="147" t="s">
        <v>318</v>
      </c>
      <c r="C3" s="148"/>
      <c r="D3" s="148"/>
      <c r="E3" s="148"/>
      <c r="F3" s="149"/>
      <c r="G3" s="15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-4,453 KRW (-0.15%)</v>
      </c>
      <c r="H3" s="151"/>
      <c r="I3" s="152"/>
      <c r="J3" s="4" t="s">
        <v>7</v>
      </c>
      <c r="K3" s="147" t="s">
        <v>311</v>
      </c>
      <c r="L3" s="148"/>
      <c r="M3" s="148"/>
      <c r="N3" s="148"/>
      <c r="O3" s="149"/>
      <c r="Q3" s="2" t="s">
        <v>10</v>
      </c>
      <c r="R3" s="3">
        <v>0.79166666666666663</v>
      </c>
    </row>
    <row r="4" spans="1:19" ht="17.25" customHeight="1" thickBot="1">
      <c r="A4" s="102" t="s">
        <v>11</v>
      </c>
      <c r="B4" s="147" t="s">
        <v>16</v>
      </c>
      <c r="C4" s="148"/>
      <c r="D4" s="148"/>
      <c r="E4" s="148"/>
      <c r="F4" s="149"/>
      <c r="G4" s="144" t="s">
        <v>44</v>
      </c>
      <c r="H4" s="145"/>
      <c r="I4" s="146"/>
      <c r="J4" s="4" t="s">
        <v>11</v>
      </c>
      <c r="K4" s="147" t="s">
        <v>312</v>
      </c>
      <c r="L4" s="148"/>
      <c r="M4" s="148"/>
      <c r="N4" s="148"/>
      <c r="O4" s="149"/>
      <c r="Q4" s="61" t="s">
        <v>14</v>
      </c>
      <c r="R4" s="5">
        <v>0.95833333333333337</v>
      </c>
    </row>
    <row r="5" spans="1:19" ht="17.25" customHeight="1" thickBot="1">
      <c r="A5" s="102" t="s">
        <v>15</v>
      </c>
      <c r="B5" s="147" t="s">
        <v>309</v>
      </c>
      <c r="C5" s="148"/>
      <c r="D5" s="148"/>
      <c r="E5" s="148"/>
      <c r="F5" s="149"/>
      <c r="G5" s="15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-19,946 KRW (-0.66%)</v>
      </c>
      <c r="H5" s="151"/>
      <c r="I5" s="152"/>
      <c r="J5" s="4" t="s">
        <v>15</v>
      </c>
      <c r="K5" s="147" t="s">
        <v>313</v>
      </c>
      <c r="L5" s="148"/>
      <c r="M5" s="148"/>
      <c r="N5" s="148"/>
      <c r="O5" s="149"/>
    </row>
    <row r="6" spans="1:19">
      <c r="A6" s="102" t="s">
        <v>18</v>
      </c>
      <c r="B6" s="147"/>
      <c r="C6" s="148"/>
      <c r="D6" s="148"/>
      <c r="E6" s="148"/>
      <c r="F6" s="149"/>
      <c r="G6" s="144" t="s">
        <v>45</v>
      </c>
      <c r="H6" s="145"/>
      <c r="I6" s="146"/>
      <c r="J6" s="4" t="s">
        <v>18</v>
      </c>
      <c r="K6" s="147" t="s">
        <v>314</v>
      </c>
      <c r="L6" s="148"/>
      <c r="M6" s="148"/>
      <c r="N6" s="148"/>
      <c r="O6" s="149"/>
    </row>
    <row r="7" spans="1:19" ht="17.25" thickBot="1">
      <c r="A7" s="102" t="s">
        <v>21</v>
      </c>
      <c r="B7" s="147"/>
      <c r="C7" s="148"/>
      <c r="D7" s="148"/>
      <c r="E7" s="148"/>
      <c r="F7" s="149"/>
      <c r="G7" s="15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-18,893 KRW (-0.63%)</v>
      </c>
      <c r="H7" s="151"/>
      <c r="I7" s="152"/>
      <c r="J7" s="4" t="s">
        <v>21</v>
      </c>
      <c r="K7" s="147" t="s">
        <v>315</v>
      </c>
      <c r="L7" s="148"/>
      <c r="M7" s="148"/>
      <c r="N7" s="148"/>
      <c r="O7" s="149"/>
    </row>
    <row r="8" spans="1:19" ht="17.25" thickBot="1">
      <c r="A8" s="102" t="s">
        <v>24</v>
      </c>
      <c r="B8" s="147"/>
      <c r="C8" s="148"/>
      <c r="D8" s="148"/>
      <c r="E8" s="148"/>
      <c r="F8" s="149"/>
      <c r="G8" s="144" t="s">
        <v>245</v>
      </c>
      <c r="H8" s="145"/>
      <c r="I8" s="146"/>
      <c r="J8" s="4" t="s">
        <v>24</v>
      </c>
      <c r="K8" s="147"/>
      <c r="L8" s="148"/>
      <c r="M8" s="148"/>
      <c r="N8" s="148"/>
      <c r="O8" s="149"/>
      <c r="Q8" s="135" t="s">
        <v>27</v>
      </c>
      <c r="R8" s="137"/>
    </row>
    <row r="9" spans="1:19" ht="17.25" thickBot="1">
      <c r="A9" s="102" t="s">
        <v>28</v>
      </c>
      <c r="B9" s="147"/>
      <c r="C9" s="148"/>
      <c r="D9" s="148"/>
      <c r="E9" s="148"/>
      <c r="F9" s="149"/>
      <c r="G9" s="15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-32,485 KRW (-1.08%)</v>
      </c>
      <c r="H9" s="151"/>
      <c r="I9" s="152"/>
      <c r="J9" s="4" t="s">
        <v>28</v>
      </c>
      <c r="K9" s="147"/>
      <c r="L9" s="148"/>
      <c r="M9" s="148"/>
      <c r="N9" s="148"/>
      <c r="O9" s="149"/>
      <c r="Q9" s="2" t="s">
        <v>29</v>
      </c>
      <c r="R9" s="6">
        <v>10</v>
      </c>
    </row>
    <row r="10" spans="1:19">
      <c r="A10" s="102" t="s">
        <v>30</v>
      </c>
      <c r="B10" s="147"/>
      <c r="C10" s="148"/>
      <c r="D10" s="148"/>
      <c r="E10" s="148"/>
      <c r="F10" s="149"/>
      <c r="G10" s="144" t="s">
        <v>47</v>
      </c>
      <c r="H10" s="145"/>
      <c r="I10" s="146"/>
      <c r="J10" s="4" t="s">
        <v>30</v>
      </c>
      <c r="K10" s="147" t="s">
        <v>316</v>
      </c>
      <c r="L10" s="148"/>
      <c r="M10" s="148"/>
      <c r="N10" s="148"/>
      <c r="O10" s="149"/>
      <c r="Q10" s="2" t="s">
        <v>31</v>
      </c>
      <c r="R10" s="6">
        <v>100</v>
      </c>
    </row>
    <row r="11" spans="1:19" ht="17.25" thickBot="1">
      <c r="A11" s="103" t="s">
        <v>32</v>
      </c>
      <c r="B11" s="153" t="s">
        <v>317</v>
      </c>
      <c r="C11" s="154"/>
      <c r="D11" s="154"/>
      <c r="E11" s="154"/>
      <c r="F11" s="155"/>
      <c r="G11" s="15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1"/>
      <c r="I11" s="152"/>
      <c r="J11" s="7" t="s">
        <v>32</v>
      </c>
      <c r="K11" s="153" t="s">
        <v>308</v>
      </c>
      <c r="L11" s="154"/>
      <c r="M11" s="154"/>
      <c r="N11" s="154"/>
      <c r="O11" s="155"/>
      <c r="Q11" s="61" t="s">
        <v>33</v>
      </c>
      <c r="R11" s="8">
        <v>1000</v>
      </c>
    </row>
    <row r="12" spans="1:19" ht="17.25" thickBot="1"/>
    <row r="13" spans="1:19" ht="17.25" customHeight="1" thickBot="1">
      <c r="A13" s="135" t="s">
        <v>34</v>
      </c>
      <c r="B13" s="136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7"/>
      <c r="Q13" s="156"/>
      <c r="R13" s="156"/>
      <c r="S13" s="156"/>
    </row>
    <row r="14" spans="1:19" ht="17.25" customHeight="1" thickBot="1">
      <c r="A14" s="9" t="s">
        <v>35</v>
      </c>
      <c r="B14" s="135" t="s">
        <v>36</v>
      </c>
      <c r="C14" s="137"/>
      <c r="D14" s="135" t="s">
        <v>37</v>
      </c>
      <c r="E14" s="136"/>
      <c r="F14" s="137"/>
      <c r="G14" s="162">
        <f>_xlfn.IFNA(VLOOKUP(B14, 현재가테이블!$B$2:$D$200, 2, FALSE), "-")</f>
        <v>21754000</v>
      </c>
      <c r="H14" s="163"/>
      <c r="I14" s="164"/>
      <c r="J14" s="135" t="s">
        <v>38</v>
      </c>
      <c r="K14" s="136"/>
      <c r="L14" s="137"/>
      <c r="M14" s="165">
        <f>_xlfn.IFNA(VLOOKUP(B14, 현재가테이블!$B$2:$D$200, 3, FALSE), "-")</f>
        <v>-4.3024533E-3</v>
      </c>
      <c r="N14" s="166"/>
      <c r="O14" s="167"/>
      <c r="Q14" s="156"/>
      <c r="R14" s="156"/>
      <c r="S14" s="156"/>
    </row>
    <row r="15" spans="1:19" ht="17.25" customHeight="1" thickBot="1">
      <c r="A15" s="200" t="s">
        <v>39</v>
      </c>
      <c r="B15" s="201" t="str">
        <f>TEXT($G$1, "[$-ko-KR]yyyy-mm-dd(ddd) ") &amp; "오전 00:00"</f>
        <v>2022-12-26(월) 오전 00:00</v>
      </c>
      <c r="C15" s="202"/>
      <c r="D15" s="158" t="str">
        <f>TEXT($G$1, "[$-ko-KR]yyyy-mm-dd(ddd) ") &amp; "오후 14:00"</f>
        <v>2022-12-26(월) 오후 14:00</v>
      </c>
      <c r="E15" s="159"/>
      <c r="F15" s="160"/>
      <c r="G15" s="158" t="str">
        <f>TEXT($G$1, "[$-ko-KR]yyyy-mm-dd(ddd) ") &amp; "오후 19:00"</f>
        <v>2022-12-26(월) 오후 19:00</v>
      </c>
      <c r="H15" s="159"/>
      <c r="I15" s="160"/>
      <c r="J15" s="158" t="str">
        <f>TEXT($G$1, "[$-ko-KR]yyyy-mm-dd(ddd) ") &amp; "오후 21:00"</f>
        <v>2022-12-26(월) 오후 21:00</v>
      </c>
      <c r="K15" s="159"/>
      <c r="L15" s="160"/>
      <c r="M15" s="158" t="str">
        <f>TEXT($G$1+1, "[$-ko-KR]yyyy-mm-dd(ddd) ") &amp; "오전 00:00"</f>
        <v>2022-12-27(화) 오전 00:00</v>
      </c>
      <c r="N15" s="159"/>
      <c r="O15" s="160"/>
      <c r="Q15" s="156"/>
      <c r="R15" s="156"/>
      <c r="S15" s="156"/>
    </row>
    <row r="16" spans="1:19" ht="17.25" customHeight="1" thickBot="1">
      <c r="A16" s="200"/>
      <c r="B16" s="105" t="s">
        <v>37</v>
      </c>
      <c r="C16" s="106" t="s">
        <v>38</v>
      </c>
      <c r="D16" s="2" t="s">
        <v>37</v>
      </c>
      <c r="E16" s="10" t="s">
        <v>40</v>
      </c>
      <c r="F16" s="11" t="s">
        <v>41</v>
      </c>
      <c r="G16" s="57" t="s">
        <v>37</v>
      </c>
      <c r="H16" s="58" t="s">
        <v>40</v>
      </c>
      <c r="I16" s="59" t="s">
        <v>41</v>
      </c>
      <c r="J16" s="10" t="s">
        <v>37</v>
      </c>
      <c r="K16" s="10" t="s">
        <v>40</v>
      </c>
      <c r="L16" s="60" t="s">
        <v>41</v>
      </c>
      <c r="M16" s="2" t="s">
        <v>37</v>
      </c>
      <c r="N16" s="10" t="s">
        <v>40</v>
      </c>
      <c r="O16" s="62" t="s">
        <v>41</v>
      </c>
      <c r="Q16" s="161"/>
      <c r="R16" s="161"/>
      <c r="S16" s="161"/>
    </row>
    <row r="17" spans="1:19" ht="17.25" customHeight="1" thickBot="1">
      <c r="A17" s="107"/>
      <c r="B17" s="108" t="str">
        <f>IF(NOT(ISBLANK(_xlfn.IFNA(VLOOKUP($A17, $A$40:$O$199, 2, FALSE), ))), _xlfn.IFNA(VLOOKUP($A17, $A$40:$O$199, 2, FALSE), ), "")</f>
        <v/>
      </c>
      <c r="C17" s="69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56"/>
      <c r="R17" s="156"/>
      <c r="S17" s="156"/>
    </row>
    <row r="18" spans="1:19" ht="17.25" customHeight="1" thickBot="1">
      <c r="A18" s="109"/>
      <c r="B18" s="110" t="str">
        <f t="shared" ref="B18:B36" si="0">IF(NOT(ISBLANK(_xlfn.IFNA(VLOOKUP($A18, $A$40:$O$199, 2, FALSE), ))), _xlfn.IFNA(VLOOKUP($A18, $A$40:$O$199, 2, FALSE), ), "")</f>
        <v/>
      </c>
      <c r="C18" s="70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56"/>
      <c r="R18" s="156"/>
      <c r="S18" s="156"/>
    </row>
    <row r="19" spans="1:19" ht="17.25" customHeight="1" thickBot="1">
      <c r="A19" s="109"/>
      <c r="B19" s="110" t="str">
        <f t="shared" si="0"/>
        <v/>
      </c>
      <c r="C19" s="70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61"/>
      <c r="R19" s="161"/>
      <c r="S19" s="161"/>
    </row>
    <row r="20" spans="1:19" ht="17.25" customHeight="1" thickBot="1">
      <c r="A20" s="109"/>
      <c r="B20" s="110" t="str">
        <f t="shared" si="0"/>
        <v/>
      </c>
      <c r="C20" s="70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61"/>
      <c r="R20" s="161"/>
      <c r="S20" s="161"/>
    </row>
    <row r="21" spans="1:19" ht="17.25" customHeight="1" thickBot="1">
      <c r="A21" s="111"/>
      <c r="B21" s="112" t="str">
        <f t="shared" si="0"/>
        <v/>
      </c>
      <c r="C21" s="7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9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61"/>
      <c r="R21" s="161"/>
      <c r="S21" s="161"/>
    </row>
    <row r="22" spans="1:19" ht="17.25" customHeight="1" thickBot="1">
      <c r="A22" s="109"/>
      <c r="B22" s="113" t="str">
        <f t="shared" si="0"/>
        <v/>
      </c>
      <c r="C22" s="73" t="str">
        <f t="shared" si="1"/>
        <v/>
      </c>
      <c r="D22" s="96" t="str">
        <f t="shared" si="2"/>
        <v/>
      </c>
      <c r="E22" s="97" t="str">
        <f t="shared" si="3"/>
        <v/>
      </c>
      <c r="F22" s="98" t="str">
        <f t="shared" si="4"/>
        <v/>
      </c>
      <c r="G22" s="99" t="str">
        <f t="shared" si="5"/>
        <v/>
      </c>
      <c r="H22" s="97" t="str">
        <f t="shared" si="6"/>
        <v/>
      </c>
      <c r="I22" s="100" t="str">
        <f t="shared" si="7"/>
        <v/>
      </c>
      <c r="J22" s="96" t="str">
        <f t="shared" si="8"/>
        <v/>
      </c>
      <c r="K22" s="97" t="str">
        <f t="shared" si="9"/>
        <v/>
      </c>
      <c r="L22" s="98" t="str">
        <f t="shared" si="10"/>
        <v/>
      </c>
      <c r="M22" s="99" t="str">
        <f t="shared" si="11"/>
        <v/>
      </c>
      <c r="N22" s="97" t="str">
        <f t="shared" si="12"/>
        <v/>
      </c>
      <c r="O22" s="98" t="str">
        <f t="shared" si="13"/>
        <v/>
      </c>
      <c r="Q22" s="161"/>
      <c r="R22" s="161"/>
      <c r="S22" s="161"/>
    </row>
    <row r="23" spans="1:19" ht="17.25" customHeight="1" thickBot="1">
      <c r="A23" s="109"/>
      <c r="B23" s="110" t="str">
        <f t="shared" si="0"/>
        <v/>
      </c>
      <c r="C23" s="70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61"/>
      <c r="R23" s="161"/>
      <c r="S23" s="161"/>
    </row>
    <row r="24" spans="1:19" ht="17.25" customHeight="1" thickBot="1">
      <c r="A24" s="109"/>
      <c r="B24" s="110" t="str">
        <f t="shared" si="0"/>
        <v/>
      </c>
      <c r="C24" s="70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61"/>
      <c r="R24" s="161"/>
      <c r="S24" s="161"/>
    </row>
    <row r="25" spans="1:19" ht="17.25" customHeight="1" thickBot="1">
      <c r="A25" s="109"/>
      <c r="B25" s="110" t="str">
        <f t="shared" si="0"/>
        <v/>
      </c>
      <c r="C25" s="70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14"/>
      <c r="B26" s="115" t="str">
        <f t="shared" si="0"/>
        <v/>
      </c>
      <c r="C26" s="72" t="str">
        <f t="shared" si="1"/>
        <v/>
      </c>
      <c r="D26" s="24" t="str">
        <f t="shared" si="2"/>
        <v/>
      </c>
      <c r="E26" s="25" t="str">
        <f t="shared" si="3"/>
        <v/>
      </c>
      <c r="F26" s="94" t="str">
        <f t="shared" si="4"/>
        <v/>
      </c>
      <c r="G26" s="92" t="str">
        <f t="shared" si="5"/>
        <v/>
      </c>
      <c r="H26" s="25" t="str">
        <f t="shared" si="6"/>
        <v/>
      </c>
      <c r="I26" s="93" t="str">
        <f t="shared" si="7"/>
        <v/>
      </c>
      <c r="J26" s="24" t="str">
        <f t="shared" si="8"/>
        <v/>
      </c>
      <c r="K26" s="25" t="str">
        <f t="shared" si="9"/>
        <v/>
      </c>
      <c r="L26" s="94" t="str">
        <f t="shared" si="10"/>
        <v/>
      </c>
      <c r="M26" s="92" t="str">
        <f t="shared" si="11"/>
        <v/>
      </c>
      <c r="N26" s="25" t="str">
        <f t="shared" si="12"/>
        <v/>
      </c>
      <c r="O26" s="94" t="str">
        <f t="shared" si="13"/>
        <v/>
      </c>
      <c r="Q26" s="170"/>
      <c r="R26" s="171"/>
      <c r="S26" s="172"/>
    </row>
    <row r="27" spans="1:19" ht="17.25" customHeight="1">
      <c r="A27" s="107"/>
      <c r="B27" s="108" t="str">
        <f t="shared" si="0"/>
        <v/>
      </c>
      <c r="C27" s="69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3"/>
      <c r="R27" s="174"/>
      <c r="S27" s="175"/>
    </row>
    <row r="28" spans="1:19" ht="17.25" customHeight="1" thickBot="1">
      <c r="A28" s="109"/>
      <c r="B28" s="110" t="str">
        <f t="shared" si="0"/>
        <v/>
      </c>
      <c r="C28" s="70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6"/>
      <c r="R28" s="177"/>
      <c r="S28" s="178"/>
    </row>
    <row r="29" spans="1:19" ht="17.25" customHeight="1" thickBot="1">
      <c r="A29" s="109"/>
      <c r="B29" s="110" t="str">
        <f t="shared" si="0"/>
        <v/>
      </c>
      <c r="C29" s="70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61"/>
      <c r="R29" s="161"/>
      <c r="S29" s="161"/>
    </row>
    <row r="30" spans="1:19" ht="17.25" customHeight="1" thickBot="1">
      <c r="A30" s="109"/>
      <c r="B30" s="110" t="str">
        <f t="shared" si="0"/>
        <v/>
      </c>
      <c r="C30" s="70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56"/>
      <c r="R30" s="156"/>
      <c r="S30" s="156"/>
    </row>
    <row r="31" spans="1:19" ht="17.25" customHeight="1" thickBot="1">
      <c r="A31" s="111"/>
      <c r="B31" s="112" t="str">
        <f t="shared" si="0"/>
        <v/>
      </c>
      <c r="C31" s="7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9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56"/>
      <c r="R31" s="156"/>
      <c r="S31" s="156"/>
    </row>
    <row r="32" spans="1:19" ht="17.25" customHeight="1" thickBot="1">
      <c r="A32" s="109"/>
      <c r="B32" s="113" t="str">
        <f t="shared" si="0"/>
        <v/>
      </c>
      <c r="C32" s="73" t="str">
        <f t="shared" si="1"/>
        <v/>
      </c>
      <c r="D32" s="96" t="str">
        <f t="shared" si="2"/>
        <v/>
      </c>
      <c r="E32" s="97" t="str">
        <f t="shared" si="3"/>
        <v/>
      </c>
      <c r="F32" s="98" t="str">
        <f t="shared" si="4"/>
        <v/>
      </c>
      <c r="G32" s="99" t="str">
        <f t="shared" si="5"/>
        <v/>
      </c>
      <c r="H32" s="97" t="str">
        <f t="shared" si="6"/>
        <v/>
      </c>
      <c r="I32" s="100" t="str">
        <f t="shared" si="7"/>
        <v/>
      </c>
      <c r="J32" s="96" t="str">
        <f t="shared" si="8"/>
        <v/>
      </c>
      <c r="K32" s="97" t="str">
        <f t="shared" si="9"/>
        <v/>
      </c>
      <c r="L32" s="98" t="str">
        <f t="shared" si="10"/>
        <v/>
      </c>
      <c r="M32" s="99" t="str">
        <f t="shared" si="11"/>
        <v/>
      </c>
      <c r="N32" s="97" t="str">
        <f t="shared" si="12"/>
        <v/>
      </c>
      <c r="O32" s="98" t="str">
        <f t="shared" si="13"/>
        <v/>
      </c>
      <c r="Q32" s="161"/>
      <c r="R32" s="161"/>
      <c r="S32" s="161"/>
    </row>
    <row r="33" spans="1:19" ht="17.25" customHeight="1" thickBot="1">
      <c r="A33" s="109"/>
      <c r="B33" s="110" t="str">
        <f t="shared" si="0"/>
        <v/>
      </c>
      <c r="C33" s="70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61"/>
      <c r="R33" s="161"/>
      <c r="S33" s="161"/>
    </row>
    <row r="34" spans="1:19" ht="17.25" customHeight="1" thickBot="1">
      <c r="A34" s="109"/>
      <c r="B34" s="110" t="str">
        <f t="shared" si="0"/>
        <v/>
      </c>
      <c r="C34" s="70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61"/>
      <c r="R34" s="161"/>
      <c r="S34" s="161"/>
    </row>
    <row r="35" spans="1:19" ht="17.25" customHeight="1">
      <c r="A35" s="109"/>
      <c r="B35" s="110" t="str">
        <f t="shared" si="0"/>
        <v/>
      </c>
      <c r="C35" s="70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3"/>
      <c r="R35" s="184"/>
      <c r="S35" s="185"/>
    </row>
    <row r="36" spans="1:19" ht="17.25" customHeight="1" thickBot="1">
      <c r="A36" s="114"/>
      <c r="B36" s="115" t="str">
        <f t="shared" si="0"/>
        <v/>
      </c>
      <c r="C36" s="72" t="str">
        <f t="shared" si="1"/>
        <v/>
      </c>
      <c r="D36" s="24" t="str">
        <f t="shared" si="2"/>
        <v/>
      </c>
      <c r="E36" s="25" t="str">
        <f t="shared" si="3"/>
        <v/>
      </c>
      <c r="F36" s="94" t="str">
        <f t="shared" si="4"/>
        <v/>
      </c>
      <c r="G36" s="92" t="str">
        <f t="shared" si="5"/>
        <v/>
      </c>
      <c r="H36" s="25" t="str">
        <f t="shared" si="6"/>
        <v/>
      </c>
      <c r="I36" s="93" t="str">
        <f t="shared" si="7"/>
        <v/>
      </c>
      <c r="J36" s="24" t="str">
        <f t="shared" si="8"/>
        <v/>
      </c>
      <c r="K36" s="25" t="str">
        <f t="shared" si="9"/>
        <v/>
      </c>
      <c r="L36" s="94" t="str">
        <f t="shared" si="10"/>
        <v/>
      </c>
      <c r="M36" s="92" t="str">
        <f t="shared" si="11"/>
        <v/>
      </c>
      <c r="N36" s="25" t="str">
        <f t="shared" si="12"/>
        <v/>
      </c>
      <c r="O36" s="94" t="str">
        <f t="shared" si="13"/>
        <v/>
      </c>
      <c r="Q36" s="186"/>
      <c r="R36" s="187"/>
      <c r="S36" s="188"/>
    </row>
    <row r="37" spans="1:19" ht="17.25" customHeight="1" thickBot="1">
      <c r="A37" s="116" t="s">
        <v>42</v>
      </c>
      <c r="B37" s="194">
        <v>150000</v>
      </c>
      <c r="C37" s="1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89"/>
      <c r="R37" s="190"/>
      <c r="S37" s="191"/>
    </row>
    <row r="38" spans="1:19" ht="17.25" customHeight="1"/>
    <row r="39" spans="1:19" ht="17.25" customHeight="1" thickBot="1"/>
    <row r="40" spans="1:19" ht="17.25" customHeight="1" thickBot="1">
      <c r="A40" s="135" t="s">
        <v>44</v>
      </c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7"/>
      <c r="Q40" s="156"/>
      <c r="R40" s="156"/>
      <c r="S40" s="156"/>
    </row>
    <row r="41" spans="1:19" ht="17.25" customHeight="1" thickBot="1">
      <c r="A41" s="9" t="s">
        <v>257</v>
      </c>
      <c r="B41" s="135" t="s">
        <v>49</v>
      </c>
      <c r="C41" s="137"/>
      <c r="D41" s="135" t="s">
        <v>57</v>
      </c>
      <c r="E41" s="136"/>
      <c r="F41" s="137"/>
      <c r="G41" s="162">
        <f>_xlfn.IFNA(VLOOKUP(B41, 현재가테이블!$B$2:$D$200, 2, FALSE), "-")</f>
        <v>21754000</v>
      </c>
      <c r="H41" s="163"/>
      <c r="I41" s="164"/>
      <c r="J41" s="135" t="s">
        <v>58</v>
      </c>
      <c r="K41" s="136"/>
      <c r="L41" s="137"/>
      <c r="M41" s="165">
        <f>_xlfn.IFNA(VLOOKUP(B41, 현재가테이블!$B$2:$D$200, 3, FALSE), "-")</f>
        <v>-4.3024533E-3</v>
      </c>
      <c r="N41" s="166"/>
      <c r="O41" s="167"/>
      <c r="Q41" s="156"/>
      <c r="R41" s="156"/>
      <c r="S41" s="156"/>
    </row>
    <row r="42" spans="1:19" ht="17.25" customHeight="1" thickBot="1">
      <c r="A42" s="196" t="s">
        <v>54</v>
      </c>
      <c r="B42" s="198" t="str">
        <f>TEXT($G$1, "[$-ko-KR]yyyy-mm-dd(ddd) ") &amp; "오전 00:00"</f>
        <v>2022-12-26(월) 오전 00:00</v>
      </c>
      <c r="C42" s="199"/>
      <c r="D42" s="158" t="str">
        <f>TEXT($G$1, "[$-ko-KR]yyyy-mm-dd(ddd) ") &amp; "오후 14:00"</f>
        <v>2022-12-26(월) 오후 14:00</v>
      </c>
      <c r="E42" s="159"/>
      <c r="F42" s="160"/>
      <c r="G42" s="158" t="str">
        <f>TEXT($G$1, "[$-ko-KR]yyyy-mm-dd(ddd) ") &amp; "오후 19:00"</f>
        <v>2022-12-26(월) 오후 19:00</v>
      </c>
      <c r="H42" s="159"/>
      <c r="I42" s="160"/>
      <c r="J42" s="158" t="str">
        <f>TEXT($G$1, "[$-ko-KR]yyyy-mm-dd(ddd) ") &amp; "오후 21:00"</f>
        <v>2022-12-26(월) 오후 21:00</v>
      </c>
      <c r="K42" s="159"/>
      <c r="L42" s="160"/>
      <c r="M42" s="158" t="str">
        <f>TEXT($G$1+1, "[$-ko-KR]yyyy-mm-dd(ddd) ") &amp; "오전 00:00"</f>
        <v>2022-12-27(화) 오전 00:00</v>
      </c>
      <c r="N42" s="159"/>
      <c r="O42" s="160"/>
      <c r="Q42" s="156"/>
      <c r="R42" s="156"/>
      <c r="S42" s="156"/>
    </row>
    <row r="43" spans="1:19" ht="17.25" customHeight="1" thickBot="1">
      <c r="A43" s="197"/>
      <c r="B43" s="105" t="s">
        <v>57</v>
      </c>
      <c r="C43" s="106" t="s">
        <v>58</v>
      </c>
      <c r="D43" s="2" t="s">
        <v>57</v>
      </c>
      <c r="E43" s="10" t="s">
        <v>258</v>
      </c>
      <c r="F43" s="11" t="s">
        <v>259</v>
      </c>
      <c r="G43" s="57" t="s">
        <v>57</v>
      </c>
      <c r="H43" s="58" t="s">
        <v>258</v>
      </c>
      <c r="I43" s="59" t="s">
        <v>259</v>
      </c>
      <c r="J43" s="10" t="s">
        <v>57</v>
      </c>
      <c r="K43" s="10" t="s">
        <v>258</v>
      </c>
      <c r="L43" s="60" t="s">
        <v>259</v>
      </c>
      <c r="M43" s="2" t="s">
        <v>57</v>
      </c>
      <c r="N43" s="10" t="s">
        <v>258</v>
      </c>
      <c r="O43" s="62" t="s">
        <v>259</v>
      </c>
      <c r="Q43" s="161"/>
      <c r="R43" s="161"/>
      <c r="S43" s="161"/>
    </row>
    <row r="44" spans="1:19" ht="17.25" customHeight="1" thickBot="1">
      <c r="A44" s="107" t="s">
        <v>71</v>
      </c>
      <c r="B44" s="108">
        <v>10.7</v>
      </c>
      <c r="C44" s="69">
        <v>3.8834951499999999E-2</v>
      </c>
      <c r="D44" s="13">
        <v>10.3</v>
      </c>
      <c r="E44" s="14">
        <f>IF(ISNUMBER(D44), (D44 - $B44) / $B44, "")</f>
        <v>-3.738317757009333E-2</v>
      </c>
      <c r="F44" s="16">
        <f>IF(ISNUMBER(D44), $B64 * E44, "")</f>
        <v>-5607.4766355139991</v>
      </c>
      <c r="G44" s="29"/>
      <c r="H44" s="14" t="str">
        <f>IF(ISNUMBER(G44), (G44 - $B44) / $B44, "")</f>
        <v/>
      </c>
      <c r="I44" s="9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56"/>
      <c r="R44" s="156"/>
      <c r="S44" s="156"/>
    </row>
    <row r="45" spans="1:19" ht="17.25" customHeight="1" thickBot="1">
      <c r="A45" s="109" t="s">
        <v>244</v>
      </c>
      <c r="B45" s="110">
        <v>93.1</v>
      </c>
      <c r="C45" s="70">
        <v>0</v>
      </c>
      <c r="D45" s="15">
        <v>98.3</v>
      </c>
      <c r="E45" s="32">
        <f t="shared" ref="E45:E48" si="14">IF(ISNUMBER(D45), (D45 - $B45) / $B45, "")</f>
        <v>5.5853920515574682E-2</v>
      </c>
      <c r="F45" s="18">
        <f>IF(ISNUMBER(D45), $B64 * E45, "")</f>
        <v>8378.0880773362023</v>
      </c>
      <c r="G45" s="31"/>
      <c r="H45" s="32" t="str">
        <f t="shared" ref="H45:H48" si="15">IF(ISNUMBER(G45), (G45 - $B45) / $B45, "")</f>
        <v/>
      </c>
      <c r="I45" s="9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56"/>
      <c r="R45" s="156"/>
      <c r="S45" s="156"/>
    </row>
    <row r="46" spans="1:19" ht="17.25" customHeight="1" thickBot="1">
      <c r="A46" s="109" t="s">
        <v>97</v>
      </c>
      <c r="B46" s="110">
        <v>8.0000000000000004E-4</v>
      </c>
      <c r="C46" s="70">
        <v>0</v>
      </c>
      <c r="D46" s="15">
        <v>8.0000000000000004E-4</v>
      </c>
      <c r="E46" s="32">
        <f t="shared" si="14"/>
        <v>0</v>
      </c>
      <c r="F46" s="18">
        <f>IF(ISNUMBER(D46), $B64 * E46, "")</f>
        <v>0</v>
      </c>
      <c r="G46" s="31"/>
      <c r="H46" s="32" t="str">
        <f t="shared" si="15"/>
        <v/>
      </c>
      <c r="I46" s="9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61"/>
      <c r="R46" s="161"/>
      <c r="S46" s="161"/>
    </row>
    <row r="47" spans="1:19" ht="17.25" customHeight="1" thickBot="1">
      <c r="A47" s="109" t="s">
        <v>240</v>
      </c>
      <c r="B47" s="110">
        <v>27.1</v>
      </c>
      <c r="C47" s="70">
        <v>-3.6764706E-3</v>
      </c>
      <c r="D47" s="15">
        <v>27</v>
      </c>
      <c r="E47" s="32">
        <f t="shared" si="14"/>
        <v>-3.6900369003690561E-3</v>
      </c>
      <c r="F47" s="18">
        <f>IF(ISNUMBER(D47), $B64 * E47, "")</f>
        <v>-553.50553505535845</v>
      </c>
      <c r="G47" s="31"/>
      <c r="H47" s="32" t="str">
        <f t="shared" si="15"/>
        <v/>
      </c>
      <c r="I47" s="9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61"/>
      <c r="R47" s="161"/>
      <c r="S47" s="161"/>
    </row>
    <row r="48" spans="1:19" ht="17.25" customHeight="1" thickBot="1">
      <c r="A48" s="111" t="s">
        <v>122</v>
      </c>
      <c r="B48" s="112">
        <v>21</v>
      </c>
      <c r="C48" s="71">
        <v>-9.4339622999999994E-3</v>
      </c>
      <c r="D48" s="20">
        <v>20.8</v>
      </c>
      <c r="E48" s="21">
        <f t="shared" si="14"/>
        <v>-9.52380952380949E-3</v>
      </c>
      <c r="F48" s="22">
        <f>IF(ISNUMBER(D48), $B64 * E48, "")</f>
        <v>-1428.5714285714234</v>
      </c>
      <c r="G48" s="30"/>
      <c r="H48" s="21" t="str">
        <f t="shared" si="15"/>
        <v/>
      </c>
      <c r="I48" s="9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61"/>
      <c r="R48" s="161"/>
      <c r="S48" s="161"/>
    </row>
    <row r="49" spans="1:19" ht="17.25" customHeight="1" thickBot="1">
      <c r="A49" s="109" t="s">
        <v>145</v>
      </c>
      <c r="B49" s="113">
        <v>70.599999999999994</v>
      </c>
      <c r="C49" s="73">
        <v>-9.8176718000000003E-3</v>
      </c>
      <c r="D49" s="96">
        <v>70.7</v>
      </c>
      <c r="E49" s="97">
        <f>IF(ISNUMBER(D49), (D49 - $B49) / $B49, "")</f>
        <v>1.4164305949009707E-3</v>
      </c>
      <c r="F49" s="98">
        <f>IF(ISNUMBER(D49), $B64 * E49, "")</f>
        <v>212.46458923514561</v>
      </c>
      <c r="G49" s="99"/>
      <c r="H49" s="97" t="str">
        <f>IF(ISNUMBER(G49), (G49 - $B49) / $B49, "")</f>
        <v/>
      </c>
      <c r="I49" s="100" t="str">
        <f>IF(ISNUMBER(G49), $B64 * H49, "")</f>
        <v/>
      </c>
      <c r="J49" s="96"/>
      <c r="K49" s="97" t="str">
        <f>IF(ISNUMBER(J49), (J49 - $B49) / $B49, "")</f>
        <v/>
      </c>
      <c r="L49" s="98" t="str">
        <f>IF(ISNUMBER(J49), $B64 * K49, "")</f>
        <v/>
      </c>
      <c r="M49" s="99"/>
      <c r="N49" s="97" t="str">
        <f>IF(ISNUMBER(M49), (M49 - $B49) / $B49, "")</f>
        <v/>
      </c>
      <c r="O49" s="98" t="str">
        <f>IF(ISNUMBER(M49), $B64 * N49, "")</f>
        <v/>
      </c>
      <c r="Q49" s="161"/>
      <c r="R49" s="161"/>
      <c r="S49" s="161"/>
    </row>
    <row r="50" spans="1:19" ht="17.25" customHeight="1" thickBot="1">
      <c r="A50" s="109" t="s">
        <v>51</v>
      </c>
      <c r="B50" s="110">
        <v>95.9</v>
      </c>
      <c r="C50" s="70">
        <v>-1.03199174E-2</v>
      </c>
      <c r="D50" s="15">
        <v>95.5</v>
      </c>
      <c r="E50" s="32">
        <f t="shared" ref="E50:E53" si="18">IF(ISNUMBER(D50), (D50 - $B50) / $B50, "")</f>
        <v>-4.1710114702816024E-3</v>
      </c>
      <c r="F50" s="18">
        <f>IF(ISNUMBER(D50), $B64 * E50, "")</f>
        <v>-625.65172054224035</v>
      </c>
      <c r="G50" s="31"/>
      <c r="H50" s="32" t="str">
        <f t="shared" ref="H50:H53" si="19">IF(ISNUMBER(G50), (G50 - $B50) / $B50, "")</f>
        <v/>
      </c>
      <c r="I50" s="9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61"/>
      <c r="R50" s="161"/>
      <c r="S50" s="161"/>
    </row>
    <row r="51" spans="1:19" ht="17.25" customHeight="1" thickBot="1">
      <c r="A51" s="109" t="s">
        <v>335</v>
      </c>
      <c r="B51" s="110">
        <v>3.09E-2</v>
      </c>
      <c r="C51" s="70">
        <v>-1.27795527E-2</v>
      </c>
      <c r="D51" s="15">
        <v>3.1E-2</v>
      </c>
      <c r="E51" s="32">
        <f t="shared" si="18"/>
        <v>3.2362459546925368E-3</v>
      </c>
      <c r="F51" s="18">
        <f>IF(ISNUMBER(D51), $B64 * E51, "")</f>
        <v>485.43689320388052</v>
      </c>
      <c r="G51" s="31"/>
      <c r="H51" s="32" t="str">
        <f t="shared" si="19"/>
        <v/>
      </c>
      <c r="I51" s="9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61"/>
      <c r="R51" s="161"/>
      <c r="S51" s="161"/>
    </row>
    <row r="52" spans="1:19" ht="17.25" customHeight="1" thickBot="1">
      <c r="A52" s="109" t="s">
        <v>118</v>
      </c>
      <c r="B52" s="110">
        <v>5.34</v>
      </c>
      <c r="C52" s="70">
        <v>-1.2939001800000001E-2</v>
      </c>
      <c r="D52" s="15">
        <v>5.31</v>
      </c>
      <c r="E52" s="32">
        <f t="shared" si="18"/>
        <v>-5.6179775280899343E-3</v>
      </c>
      <c r="F52" s="18">
        <f>IF(ISNUMBER(D52), $B64 * E52, "")</f>
        <v>-842.69662921349016</v>
      </c>
      <c r="G52" s="31"/>
      <c r="H52" s="32" t="str">
        <f t="shared" si="19"/>
        <v/>
      </c>
      <c r="I52" s="9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14" t="s">
        <v>200</v>
      </c>
      <c r="B53" s="115">
        <v>6.16</v>
      </c>
      <c r="C53" s="72">
        <v>-1.44E-2</v>
      </c>
      <c r="D53" s="24">
        <v>6</v>
      </c>
      <c r="E53" s="25">
        <f t="shared" si="18"/>
        <v>-2.5974025974025997E-2</v>
      </c>
      <c r="F53" s="94">
        <f>IF(ISNUMBER(D53), $B64 * E53, "")</f>
        <v>-3896.1038961038994</v>
      </c>
      <c r="G53" s="92"/>
      <c r="H53" s="25" t="str">
        <f t="shared" si="19"/>
        <v/>
      </c>
      <c r="I53" s="93" t="str">
        <f>IF(ISNUMBER(G53), $B64 * H53, "")</f>
        <v/>
      </c>
      <c r="J53" s="24"/>
      <c r="K53" s="25" t="str">
        <f t="shared" si="20"/>
        <v/>
      </c>
      <c r="L53" s="94" t="str">
        <f>IF(ISNUMBER(J53), $B64 * K53, "")</f>
        <v/>
      </c>
      <c r="M53" s="92"/>
      <c r="N53" s="25" t="str">
        <f t="shared" si="21"/>
        <v/>
      </c>
      <c r="O53" s="94" t="str">
        <f>IF(ISNUMBER(M53), $B64 * N53, "")</f>
        <v/>
      </c>
      <c r="Q53" s="170"/>
      <c r="R53" s="171"/>
      <c r="S53" s="172"/>
    </row>
    <row r="54" spans="1:19" ht="17.25" customHeight="1">
      <c r="A54" s="107" t="s">
        <v>56</v>
      </c>
      <c r="B54" s="108">
        <v>38.6</v>
      </c>
      <c r="C54" s="69">
        <v>-1.53061224E-2</v>
      </c>
      <c r="D54" s="13">
        <v>38</v>
      </c>
      <c r="E54" s="14">
        <f>IF(ISNUMBER(D54), (D54 - $B54) / $B54, "")</f>
        <v>-1.5544041450777238E-2</v>
      </c>
      <c r="F54" s="16">
        <f>IF(ISNUMBER(D54), $B64 * E54, "")</f>
        <v>-2331.6062176165856</v>
      </c>
      <c r="G54" s="29"/>
      <c r="H54" s="14" t="str">
        <f>IF(ISNUMBER(G54), (G54 - $B54) / $B54, "")</f>
        <v/>
      </c>
      <c r="I54" s="9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3"/>
      <c r="R54" s="174"/>
      <c r="S54" s="175"/>
    </row>
    <row r="55" spans="1:19" ht="17.25" customHeight="1" thickBot="1">
      <c r="A55" s="109" t="s">
        <v>338</v>
      </c>
      <c r="B55" s="110">
        <v>4.45</v>
      </c>
      <c r="C55" s="70">
        <v>-1.54867257E-2</v>
      </c>
      <c r="D55" s="15">
        <v>4.3600000000000003</v>
      </c>
      <c r="E55" s="32">
        <f t="shared" ref="E55:E58" si="22">IF(ISNUMBER(D55), (D55 - $B55) / $B55, "")</f>
        <v>-2.0224719101123563E-2</v>
      </c>
      <c r="F55" s="18">
        <f>IF(ISNUMBER(D55), $B64 * E55, "")</f>
        <v>-3033.7078651685342</v>
      </c>
      <c r="G55" s="31"/>
      <c r="H55" s="32" t="str">
        <f t="shared" ref="H55:H58" si="23">IF(ISNUMBER(G55), (G55 - $B55) / $B55, "")</f>
        <v/>
      </c>
      <c r="I55" s="9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6"/>
      <c r="R55" s="177"/>
      <c r="S55" s="178"/>
    </row>
    <row r="56" spans="1:19" ht="17.25" customHeight="1" thickBot="1">
      <c r="A56" s="109" t="s">
        <v>64</v>
      </c>
      <c r="B56" s="110">
        <v>9.16</v>
      </c>
      <c r="C56" s="70">
        <v>-1.61117078E-2</v>
      </c>
      <c r="D56" s="15">
        <v>9.18</v>
      </c>
      <c r="E56" s="32">
        <f t="shared" si="22"/>
        <v>2.1834061135370714E-3</v>
      </c>
      <c r="F56" s="18">
        <f>IF(ISNUMBER(D56), $B64 * E56, "")</f>
        <v>327.51091703056073</v>
      </c>
      <c r="G56" s="31"/>
      <c r="H56" s="32" t="str">
        <f t="shared" si="23"/>
        <v/>
      </c>
      <c r="I56" s="9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61"/>
      <c r="R56" s="161"/>
      <c r="S56" s="161"/>
    </row>
    <row r="57" spans="1:19" ht="17.25" customHeight="1" thickBot="1">
      <c r="A57" s="109" t="s">
        <v>138</v>
      </c>
      <c r="B57" s="110">
        <v>22.5</v>
      </c>
      <c r="C57" s="70">
        <v>-1.7467248899999999E-2</v>
      </c>
      <c r="D57" s="15">
        <v>22.3</v>
      </c>
      <c r="E57" s="32">
        <f t="shared" si="22"/>
        <v>-8.8888888888888577E-3</v>
      </c>
      <c r="F57" s="18">
        <f>IF(ISNUMBER(D57), $B64 * E57, "")</f>
        <v>-1333.3333333333287</v>
      </c>
      <c r="G57" s="31"/>
      <c r="H57" s="32" t="str">
        <f t="shared" si="23"/>
        <v/>
      </c>
      <c r="I57" s="9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56"/>
      <c r="R57" s="156"/>
      <c r="S57" s="156"/>
    </row>
    <row r="58" spans="1:19" ht="17.25" customHeight="1" thickBot="1">
      <c r="A58" s="111" t="s">
        <v>181</v>
      </c>
      <c r="B58" s="112">
        <v>4.12</v>
      </c>
      <c r="C58" s="71">
        <v>-1.9047618999999998E-2</v>
      </c>
      <c r="D58" s="20">
        <v>4.08</v>
      </c>
      <c r="E58" s="21">
        <f t="shared" si="22"/>
        <v>-9.7087378640776777E-3</v>
      </c>
      <c r="F58" s="22">
        <f>IF(ISNUMBER(D58), $B64 * E58, "")</f>
        <v>-1456.3106796116517</v>
      </c>
      <c r="G58" s="30"/>
      <c r="H58" s="21" t="str">
        <f t="shared" si="23"/>
        <v/>
      </c>
      <c r="I58" s="9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56"/>
      <c r="R58" s="156"/>
      <c r="S58" s="156"/>
    </row>
    <row r="59" spans="1:19" ht="17.25" customHeight="1" thickBot="1">
      <c r="A59" s="109" t="s">
        <v>333</v>
      </c>
      <c r="B59" s="113">
        <v>56.2</v>
      </c>
      <c r="C59" s="73">
        <v>-1.91972077E-2</v>
      </c>
      <c r="D59" s="96">
        <v>56.4</v>
      </c>
      <c r="E59" s="97">
        <f>IF(ISNUMBER(D59), (D59 - $B59) / $B59, "")</f>
        <v>3.5587188612098883E-3</v>
      </c>
      <c r="F59" s="98">
        <f>IF(ISNUMBER(D59), $B64 * E59, "")</f>
        <v>533.80782918148327</v>
      </c>
      <c r="G59" s="99"/>
      <c r="H59" s="97" t="str">
        <f>IF(ISNUMBER(G59), (G59 - $B59) / $B59, "")</f>
        <v/>
      </c>
      <c r="I59" s="100" t="str">
        <f>IF(ISNUMBER(G59), $B64 * H59, "")</f>
        <v/>
      </c>
      <c r="J59" s="96"/>
      <c r="K59" s="97" t="str">
        <f>IF(ISNUMBER(J59), (J59 - $B59) / $B59, "")</f>
        <v/>
      </c>
      <c r="L59" s="98" t="str">
        <f>IF(ISNUMBER(J59), $B64 * K59, "")</f>
        <v/>
      </c>
      <c r="M59" s="99"/>
      <c r="N59" s="97" t="str">
        <f>IF(ISNUMBER(M59), (M59 - $B59) / $B59, "")</f>
        <v/>
      </c>
      <c r="O59" s="98" t="str">
        <f>IF(ISNUMBER(M59), $B64 * N59, "")</f>
        <v/>
      </c>
      <c r="Q59" s="161"/>
      <c r="R59" s="161"/>
      <c r="S59" s="161"/>
    </row>
    <row r="60" spans="1:19" ht="17.25" customHeight="1" thickBot="1">
      <c r="A60" s="109" t="s">
        <v>195</v>
      </c>
      <c r="B60" s="110">
        <v>5.94</v>
      </c>
      <c r="C60" s="70">
        <v>-1.9801980199999999E-2</v>
      </c>
      <c r="D60" s="15">
        <v>5.87</v>
      </c>
      <c r="E60" s="32">
        <f t="shared" ref="E60:E63" si="26">IF(ISNUMBER(D60), (D60 - $B60) / $B60, "")</f>
        <v>-1.1784511784511831E-2</v>
      </c>
      <c r="F60" s="18">
        <f>IF(ISNUMBER(D60), $B64 * E60, "")</f>
        <v>-1767.6767676767747</v>
      </c>
      <c r="G60" s="31"/>
      <c r="H60" s="32" t="str">
        <f t="shared" ref="H60:H63" si="27">IF(ISNUMBER(G60), (G60 - $B60) / $B60, "")</f>
        <v/>
      </c>
      <c r="I60" s="9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61"/>
      <c r="R60" s="161"/>
      <c r="S60" s="161"/>
    </row>
    <row r="61" spans="1:19" ht="17.25" customHeight="1" thickBot="1">
      <c r="A61" s="109" t="s">
        <v>124</v>
      </c>
      <c r="B61" s="110">
        <v>29.7</v>
      </c>
      <c r="C61" s="70">
        <v>-1.9801980199999999E-2</v>
      </c>
      <c r="D61" s="15">
        <v>28.9</v>
      </c>
      <c r="E61" s="32">
        <f t="shared" si="26"/>
        <v>-2.6936026936026959E-2</v>
      </c>
      <c r="F61" s="18">
        <f>IF(ISNUMBER(D61), $B64 * E61, "")</f>
        <v>-4040.4040404040438</v>
      </c>
      <c r="G61" s="31"/>
      <c r="H61" s="32" t="str">
        <f t="shared" si="27"/>
        <v/>
      </c>
      <c r="I61" s="9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61"/>
      <c r="R61" s="161"/>
      <c r="S61" s="161"/>
    </row>
    <row r="62" spans="1:19" ht="17.25" customHeight="1">
      <c r="A62" s="109" t="s">
        <v>336</v>
      </c>
      <c r="B62" s="110">
        <v>76.900000000000006</v>
      </c>
      <c r="C62" s="70">
        <v>-2.0382165599999998E-2</v>
      </c>
      <c r="D62" s="15">
        <v>76.599999999999994</v>
      </c>
      <c r="E62" s="32">
        <f t="shared" si="26"/>
        <v>-3.9011703511054791E-3</v>
      </c>
      <c r="F62" s="18">
        <f>IF(ISNUMBER(D62), $B64 * E62, "")</f>
        <v>-585.1755526658219</v>
      </c>
      <c r="G62" s="31"/>
      <c r="H62" s="32" t="str">
        <f t="shared" si="27"/>
        <v/>
      </c>
      <c r="I62" s="9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3"/>
      <c r="R62" s="184"/>
      <c r="S62" s="185"/>
    </row>
    <row r="63" spans="1:19" ht="17.25" customHeight="1" thickBot="1">
      <c r="A63" s="114" t="s">
        <v>224</v>
      </c>
      <c r="B63" s="115">
        <v>18.899999999999999</v>
      </c>
      <c r="C63" s="72">
        <v>-2.0725388599999998E-2</v>
      </c>
      <c r="D63" s="24">
        <v>18.600000000000001</v>
      </c>
      <c r="E63" s="25">
        <f t="shared" si="26"/>
        <v>-1.5873015873015723E-2</v>
      </c>
      <c r="F63" s="94">
        <f>IF(ISNUMBER(D63), $B64 * E63, "")</f>
        <v>-2380.9523809523585</v>
      </c>
      <c r="G63" s="92"/>
      <c r="H63" s="25" t="str">
        <f t="shared" si="27"/>
        <v/>
      </c>
      <c r="I63" s="93" t="str">
        <f>IF(ISNUMBER(G63), $B64 * H63, "")</f>
        <v/>
      </c>
      <c r="J63" s="24"/>
      <c r="K63" s="25" t="str">
        <f t="shared" si="28"/>
        <v/>
      </c>
      <c r="L63" s="94" t="str">
        <f>IF(ISNUMBER(J63), $B64 * K63, "")</f>
        <v/>
      </c>
      <c r="M63" s="92"/>
      <c r="N63" s="25" t="str">
        <f t="shared" si="29"/>
        <v/>
      </c>
      <c r="O63" s="94" t="str">
        <f>IF(ISNUMBER(M63), $B64 * N63, "")</f>
        <v/>
      </c>
      <c r="Q63" s="186"/>
      <c r="R63" s="187"/>
      <c r="S63" s="188"/>
    </row>
    <row r="64" spans="1:19" ht="17.25" customHeight="1" thickBot="1">
      <c r="A64" s="116" t="s">
        <v>260</v>
      </c>
      <c r="B64" s="194">
        <f>$B$37</f>
        <v>150000</v>
      </c>
      <c r="C64" s="195"/>
      <c r="D64" s="26" t="s">
        <v>261</v>
      </c>
      <c r="E64" s="27">
        <f>IF(COUNT(E44:E63), SUM(E44:E63) / COUNT(E44:E63), 0)</f>
        <v>-6.6486214588140791E-3</v>
      </c>
      <c r="F64" s="28">
        <f>SUM(F44:F63)</f>
        <v>-19945.864376442238</v>
      </c>
      <c r="G64" s="26" t="s">
        <v>261</v>
      </c>
      <c r="H64" s="27">
        <f>IF(COUNT(H44:H63), SUM(H44:H63) / COUNT(H44:H63), 0)</f>
        <v>0</v>
      </c>
      <c r="I64" s="28">
        <f>SUM(I44:I63)</f>
        <v>0</v>
      </c>
      <c r="J64" s="26" t="s">
        <v>261</v>
      </c>
      <c r="K64" s="27">
        <f>IF(COUNT(K44:K63), SUM(K44:K63) / COUNT(K44:K63), 0)</f>
        <v>0</v>
      </c>
      <c r="L64" s="28">
        <f>SUM(L44:L63)</f>
        <v>0</v>
      </c>
      <c r="M64" s="26" t="s">
        <v>261</v>
      </c>
      <c r="N64" s="27">
        <f>IF(COUNT(N44:N63), SUM(N44:N63) / COUNT(N44:N63), 0)</f>
        <v>0</v>
      </c>
      <c r="O64" s="28">
        <f>SUM(O44:O63)</f>
        <v>0</v>
      </c>
      <c r="Q64" s="189"/>
      <c r="R64" s="190"/>
      <c r="S64" s="191"/>
    </row>
    <row r="65" spans="1:19" ht="17.25" customHeight="1"/>
    <row r="66" spans="1:19" ht="17.25" customHeight="1" thickBot="1"/>
    <row r="67" spans="1:19" ht="17.25" thickBot="1">
      <c r="A67" s="135" t="s">
        <v>45</v>
      </c>
      <c r="B67" s="136"/>
      <c r="C67" s="136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7"/>
      <c r="Q67" s="156"/>
      <c r="R67" s="156"/>
      <c r="S67" s="156"/>
    </row>
    <row r="68" spans="1:19" ht="17.25" thickBot="1">
      <c r="A68" s="9" t="s">
        <v>257</v>
      </c>
      <c r="B68" s="135" t="s">
        <v>49</v>
      </c>
      <c r="C68" s="137"/>
      <c r="D68" s="135" t="s">
        <v>57</v>
      </c>
      <c r="E68" s="136"/>
      <c r="F68" s="137"/>
      <c r="G68" s="162">
        <f>_xlfn.IFNA(VLOOKUP(B68, 현재가테이블!$B$2:$D$200, 2, FALSE), "-")</f>
        <v>21754000</v>
      </c>
      <c r="H68" s="163"/>
      <c r="I68" s="164"/>
      <c r="J68" s="135" t="s">
        <v>58</v>
      </c>
      <c r="K68" s="136"/>
      <c r="L68" s="137"/>
      <c r="M68" s="165">
        <f>_xlfn.IFNA(VLOOKUP(B68, 현재가테이블!$B$2:$D$200, 3, FALSE), "-")</f>
        <v>-4.3024533E-3</v>
      </c>
      <c r="N68" s="166"/>
      <c r="O68" s="167"/>
      <c r="Q68" s="156"/>
      <c r="R68" s="156"/>
      <c r="S68" s="156"/>
    </row>
    <row r="69" spans="1:19" ht="17.25" thickBot="1">
      <c r="A69" s="196" t="s">
        <v>54</v>
      </c>
      <c r="B69" s="198" t="str">
        <f>TEXT($G$1, "[$-ko-KR]yyyy-mm-dd(ddd) ") &amp; "오전 00:00"</f>
        <v>2022-12-26(월) 오전 00:00</v>
      </c>
      <c r="C69" s="199"/>
      <c r="D69" s="158" t="str">
        <f>TEXT($G$1, "[$-ko-KR]yyyy-mm-dd(ddd) ") &amp; "오후 14:00"</f>
        <v>2022-12-26(월) 오후 14:00</v>
      </c>
      <c r="E69" s="159"/>
      <c r="F69" s="160"/>
      <c r="G69" s="158" t="str">
        <f>TEXT($G$1, "[$-ko-KR]yyyy-mm-dd(ddd) ") &amp; "오후 19:00"</f>
        <v>2022-12-26(월) 오후 19:00</v>
      </c>
      <c r="H69" s="159"/>
      <c r="I69" s="160"/>
      <c r="J69" s="158" t="str">
        <f>TEXT($G$1, "[$-ko-KR]yyyy-mm-dd(ddd) ") &amp; "오후 21:00"</f>
        <v>2022-12-26(월) 오후 21:00</v>
      </c>
      <c r="K69" s="159"/>
      <c r="L69" s="160"/>
      <c r="M69" s="158" t="str">
        <f>TEXT($G$1+1, "[$-ko-KR]yyyy-mm-dd(ddd) ") &amp; "오전 00:00"</f>
        <v>2022-12-27(화) 오전 00:00</v>
      </c>
      <c r="N69" s="159"/>
      <c r="O69" s="160"/>
      <c r="Q69" s="156"/>
      <c r="R69" s="156"/>
      <c r="S69" s="156"/>
    </row>
    <row r="70" spans="1:19" ht="17.25" thickBot="1">
      <c r="A70" s="197"/>
      <c r="B70" s="105" t="s">
        <v>57</v>
      </c>
      <c r="C70" s="106" t="s">
        <v>58</v>
      </c>
      <c r="D70" s="2" t="s">
        <v>57</v>
      </c>
      <c r="E70" s="10" t="s">
        <v>258</v>
      </c>
      <c r="F70" s="11" t="s">
        <v>259</v>
      </c>
      <c r="G70" s="57" t="s">
        <v>57</v>
      </c>
      <c r="H70" s="58" t="s">
        <v>258</v>
      </c>
      <c r="I70" s="59" t="s">
        <v>259</v>
      </c>
      <c r="J70" s="10" t="s">
        <v>57</v>
      </c>
      <c r="K70" s="10" t="s">
        <v>258</v>
      </c>
      <c r="L70" s="60" t="s">
        <v>259</v>
      </c>
      <c r="M70" s="2" t="s">
        <v>57</v>
      </c>
      <c r="N70" s="10" t="s">
        <v>258</v>
      </c>
      <c r="O70" s="62" t="s">
        <v>259</v>
      </c>
      <c r="Q70" s="161"/>
      <c r="R70" s="161"/>
      <c r="S70" s="161"/>
    </row>
    <row r="71" spans="1:19" ht="17.25" thickBot="1">
      <c r="A71" s="107" t="s">
        <v>165</v>
      </c>
      <c r="B71" s="108">
        <v>968</v>
      </c>
      <c r="C71" s="69">
        <v>2.3255814E-2</v>
      </c>
      <c r="D71" s="13">
        <v>936</v>
      </c>
      <c r="E71" s="14">
        <f>IF(ISNUMBER(D71), (D71 - $B71) / $B71, "")</f>
        <v>-3.3057851239669422E-2</v>
      </c>
      <c r="F71" s="16">
        <f>IF(ISNUMBER(D71), $B91 * E71, "")</f>
        <v>-4958.6776859504134</v>
      </c>
      <c r="G71" s="29"/>
      <c r="H71" s="14" t="str">
        <f>IF(ISNUMBER(G71), (G71 - $B71) / $B71, "")</f>
        <v/>
      </c>
      <c r="I71" s="9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56"/>
      <c r="R71" s="156"/>
      <c r="S71" s="156"/>
    </row>
    <row r="72" spans="1:19" ht="17.25" thickBot="1">
      <c r="A72" s="109" t="s">
        <v>349</v>
      </c>
      <c r="B72" s="110">
        <v>649</v>
      </c>
      <c r="C72" s="70">
        <v>1.40625E-2</v>
      </c>
      <c r="D72" s="15">
        <v>635</v>
      </c>
      <c r="E72" s="32">
        <f t="shared" ref="E72:E75" si="30">IF(ISNUMBER(D72), (D72 - $B72) / $B72, "")</f>
        <v>-2.1571648690292759E-2</v>
      </c>
      <c r="F72" s="18">
        <f>IF(ISNUMBER(D72), $B91 * E72, "")</f>
        <v>-3235.7473035439139</v>
      </c>
      <c r="G72" s="31"/>
      <c r="H72" s="32" t="str">
        <f t="shared" ref="H72:H75" si="31">IF(ISNUMBER(G72), (G72 - $B72) / $B72, "")</f>
        <v/>
      </c>
      <c r="I72" s="9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56"/>
      <c r="R72" s="156"/>
      <c r="S72" s="156"/>
    </row>
    <row r="73" spans="1:19" ht="17.25" thickBot="1">
      <c r="A73" s="109" t="s">
        <v>157</v>
      </c>
      <c r="B73" s="110">
        <v>177</v>
      </c>
      <c r="C73" s="70">
        <v>5.6818182E-3</v>
      </c>
      <c r="D73" s="15">
        <v>176</v>
      </c>
      <c r="E73" s="32">
        <f t="shared" si="30"/>
        <v>-5.6497175141242938E-3</v>
      </c>
      <c r="F73" s="18">
        <f>IF(ISNUMBER(D73), $B91 * E73, "")</f>
        <v>-847.45762711864404</v>
      </c>
      <c r="G73" s="31"/>
      <c r="H73" s="32" t="str">
        <f t="shared" si="31"/>
        <v/>
      </c>
      <c r="I73" s="9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61"/>
      <c r="R73" s="161"/>
      <c r="S73" s="161"/>
    </row>
    <row r="74" spans="1:19" ht="17.25" thickBot="1">
      <c r="A74" s="109" t="s">
        <v>346</v>
      </c>
      <c r="B74" s="110">
        <v>380</v>
      </c>
      <c r="C74" s="70">
        <v>5.2910053000000002E-3</v>
      </c>
      <c r="D74" s="15">
        <v>389</v>
      </c>
      <c r="E74" s="32">
        <f t="shared" si="30"/>
        <v>2.368421052631579E-2</v>
      </c>
      <c r="F74" s="18">
        <f>IF(ISNUMBER(D74), $B91 * E74, "")</f>
        <v>3552.6315789473683</v>
      </c>
      <c r="G74" s="31"/>
      <c r="H74" s="32" t="str">
        <f t="shared" si="31"/>
        <v/>
      </c>
      <c r="I74" s="9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61"/>
      <c r="R74" s="161"/>
      <c r="S74" s="161"/>
    </row>
    <row r="75" spans="1:19" ht="17.25" thickBot="1">
      <c r="A75" s="111" t="s">
        <v>169</v>
      </c>
      <c r="B75" s="112">
        <v>224</v>
      </c>
      <c r="C75" s="71">
        <v>4.4843048999999996E-3</v>
      </c>
      <c r="D75" s="20">
        <v>220</v>
      </c>
      <c r="E75" s="21">
        <f t="shared" si="30"/>
        <v>-1.7857142857142856E-2</v>
      </c>
      <c r="F75" s="22">
        <f>IF(ISNUMBER(D75), $B91 * E75, "")</f>
        <v>-2678.5714285714284</v>
      </c>
      <c r="G75" s="30"/>
      <c r="H75" s="21" t="str">
        <f t="shared" si="31"/>
        <v/>
      </c>
      <c r="I75" s="9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61"/>
      <c r="R75" s="161"/>
      <c r="S75" s="161"/>
    </row>
    <row r="76" spans="1:19" ht="17.25" thickBot="1">
      <c r="A76" s="109" t="s">
        <v>60</v>
      </c>
      <c r="B76" s="113">
        <v>424</v>
      </c>
      <c r="C76" s="73">
        <v>-4.6948357000000003E-3</v>
      </c>
      <c r="D76" s="96">
        <v>426</v>
      </c>
      <c r="E76" s="97">
        <f>IF(ISNUMBER(D76), (D76 - $B76) / $B76, "")</f>
        <v>4.7169811320754715E-3</v>
      </c>
      <c r="F76" s="98">
        <f>IF(ISNUMBER(D76), $B91 * E76, "")</f>
        <v>707.54716981132071</v>
      </c>
      <c r="G76" s="99"/>
      <c r="H76" s="97" t="str">
        <f>IF(ISNUMBER(G76), (G76 - $B76) / $B76, "")</f>
        <v/>
      </c>
      <c r="I76" s="100" t="str">
        <f>IF(ISNUMBER(G76), $B91 * H76, "")</f>
        <v/>
      </c>
      <c r="J76" s="96"/>
      <c r="K76" s="97" t="str">
        <f>IF(ISNUMBER(J76), (J76 - $B76) / $B76, "")</f>
        <v/>
      </c>
      <c r="L76" s="98" t="str">
        <f>IF(ISNUMBER(J76), $B91 * K76, "")</f>
        <v/>
      </c>
      <c r="M76" s="99"/>
      <c r="N76" s="97" t="str">
        <f>IF(ISNUMBER(M76), (M76 - $B76) / $B76, "")</f>
        <v/>
      </c>
      <c r="O76" s="98" t="str">
        <f>IF(ISNUMBER(M76), $B91 * N76, "")</f>
        <v/>
      </c>
      <c r="Q76" s="161"/>
      <c r="R76" s="161"/>
      <c r="S76" s="161"/>
    </row>
    <row r="77" spans="1:19" ht="17.25" thickBot="1">
      <c r="A77" s="109" t="s">
        <v>81</v>
      </c>
      <c r="B77" s="110">
        <v>335</v>
      </c>
      <c r="C77" s="70">
        <v>-5.9347180999999999E-3</v>
      </c>
      <c r="D77" s="15">
        <v>336</v>
      </c>
      <c r="E77" s="32">
        <f t="shared" ref="E77:E80" si="34">IF(ISNUMBER(D77), (D77 - $B77) / $B77, "")</f>
        <v>2.9850746268656717E-3</v>
      </c>
      <c r="F77" s="18">
        <f>IF(ISNUMBER(D77), $B91 * E77, "")</f>
        <v>447.76119402985074</v>
      </c>
      <c r="G77" s="31"/>
      <c r="H77" s="32" t="str">
        <f t="shared" ref="H77:H80" si="35">IF(ISNUMBER(G77), (G77 - $B77) / $B77, "")</f>
        <v/>
      </c>
      <c r="I77" s="9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61"/>
      <c r="R77" s="161"/>
      <c r="S77" s="161"/>
    </row>
    <row r="78" spans="1:19" ht="17.25" thickBot="1">
      <c r="A78" s="109" t="s">
        <v>130</v>
      </c>
      <c r="B78" s="110">
        <v>683</v>
      </c>
      <c r="C78" s="70">
        <v>-1.01449275E-2</v>
      </c>
      <c r="D78" s="15">
        <v>682</v>
      </c>
      <c r="E78" s="32">
        <f t="shared" si="34"/>
        <v>-1.4641288433382138E-3</v>
      </c>
      <c r="F78" s="18">
        <f>IF(ISNUMBER(D78), $B91 * E78, "")</f>
        <v>-219.61932650073206</v>
      </c>
      <c r="G78" s="31"/>
      <c r="H78" s="32" t="str">
        <f t="shared" si="35"/>
        <v/>
      </c>
      <c r="I78" s="9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61"/>
      <c r="R78" s="161"/>
      <c r="S78" s="161"/>
    </row>
    <row r="79" spans="1:19" ht="17.25" thickBot="1">
      <c r="A79" s="109" t="s">
        <v>105</v>
      </c>
      <c r="B79" s="110">
        <v>195</v>
      </c>
      <c r="C79" s="70">
        <v>-1.01522843E-2</v>
      </c>
      <c r="D79" s="15">
        <v>193</v>
      </c>
      <c r="E79" s="32">
        <f t="shared" si="34"/>
        <v>-1.0256410256410256E-2</v>
      </c>
      <c r="F79" s="18">
        <f>IF(ISNUMBER(D79), $B91 * E79, "")</f>
        <v>-1538.4615384615386</v>
      </c>
      <c r="G79" s="31"/>
      <c r="H79" s="32" t="str">
        <f t="shared" si="35"/>
        <v/>
      </c>
      <c r="I79" s="9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14" t="s">
        <v>342</v>
      </c>
      <c r="B80" s="115">
        <v>117</v>
      </c>
      <c r="C80" s="72">
        <v>-1.6806722699999999E-2</v>
      </c>
      <c r="D80" s="24">
        <v>115</v>
      </c>
      <c r="E80" s="25">
        <f t="shared" si="34"/>
        <v>-1.7094017094017096E-2</v>
      </c>
      <c r="F80" s="94">
        <f>IF(ISNUMBER(D80), $B91 * E80, "")</f>
        <v>-2564.1025641025644</v>
      </c>
      <c r="G80" s="92"/>
      <c r="H80" s="25" t="str">
        <f t="shared" si="35"/>
        <v/>
      </c>
      <c r="I80" s="93" t="str">
        <f>IF(ISNUMBER(G80), $B91 * H80, "")</f>
        <v/>
      </c>
      <c r="J80" s="24"/>
      <c r="K80" s="25" t="str">
        <f t="shared" si="36"/>
        <v/>
      </c>
      <c r="L80" s="94" t="str">
        <f>IF(ISNUMBER(J80), $B91 * K80, "")</f>
        <v/>
      </c>
      <c r="M80" s="92"/>
      <c r="N80" s="25" t="str">
        <f t="shared" si="37"/>
        <v/>
      </c>
      <c r="O80" s="94" t="str">
        <f>IF(ISNUMBER(M80), $B91 * N80, "")</f>
        <v/>
      </c>
      <c r="Q80" s="170"/>
      <c r="R80" s="171"/>
      <c r="S80" s="172"/>
    </row>
    <row r="81" spans="1:19">
      <c r="A81" s="107" t="s">
        <v>149</v>
      </c>
      <c r="B81" s="108">
        <v>339</v>
      </c>
      <c r="C81" s="69">
        <v>-1.73913043E-2</v>
      </c>
      <c r="D81" s="13">
        <v>338</v>
      </c>
      <c r="E81" s="14">
        <f>IF(ISNUMBER(D81), (D81 - $B81) / $B81, "")</f>
        <v>-2.9498525073746312E-3</v>
      </c>
      <c r="F81" s="16">
        <f>IF(ISNUMBER(D81), $B91 * E81, "")</f>
        <v>-442.47787610619469</v>
      </c>
      <c r="G81" s="29"/>
      <c r="H81" s="14" t="str">
        <f>IF(ISNUMBER(G81), (G81 - $B81) / $B81, "")</f>
        <v/>
      </c>
      <c r="I81" s="9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3"/>
      <c r="R81" s="174"/>
      <c r="S81" s="175"/>
    </row>
    <row r="82" spans="1:19" ht="17.25" thickBot="1">
      <c r="A82" s="109" t="s">
        <v>89</v>
      </c>
      <c r="B82" s="110">
        <v>451</v>
      </c>
      <c r="C82" s="70">
        <v>-1.7429193900000001E-2</v>
      </c>
      <c r="D82" s="15">
        <v>450</v>
      </c>
      <c r="E82" s="32">
        <f t="shared" ref="E82:E85" si="38">IF(ISNUMBER(D82), (D82 - $B82) / $B82, "")</f>
        <v>-2.2172949002217295E-3</v>
      </c>
      <c r="F82" s="18">
        <f>IF(ISNUMBER(D82), $B91 * E82, "")</f>
        <v>-332.59423503325945</v>
      </c>
      <c r="G82" s="31"/>
      <c r="H82" s="32" t="str">
        <f t="shared" ref="H82:H85" si="39">IF(ISNUMBER(G82), (G82 - $B82) / $B82, "")</f>
        <v/>
      </c>
      <c r="I82" s="9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6"/>
      <c r="R82" s="177"/>
      <c r="S82" s="178"/>
    </row>
    <row r="83" spans="1:19" ht="17.25" thickBot="1">
      <c r="A83" s="109" t="s">
        <v>337</v>
      </c>
      <c r="B83" s="110">
        <v>275</v>
      </c>
      <c r="C83" s="70">
        <v>-1.7857142900000001E-2</v>
      </c>
      <c r="D83" s="15">
        <v>273</v>
      </c>
      <c r="E83" s="32">
        <f t="shared" si="38"/>
        <v>-7.2727272727272727E-3</v>
      </c>
      <c r="F83" s="18">
        <f>IF(ISNUMBER(D83), $B91 * E83, "")</f>
        <v>-1090.909090909091</v>
      </c>
      <c r="G83" s="31"/>
      <c r="H83" s="32" t="str">
        <f t="shared" si="39"/>
        <v/>
      </c>
      <c r="I83" s="9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61"/>
      <c r="R83" s="161"/>
      <c r="S83" s="161"/>
    </row>
    <row r="84" spans="1:19" ht="17.25" thickBot="1">
      <c r="A84" s="109" t="s">
        <v>68</v>
      </c>
      <c r="B84" s="110">
        <v>261</v>
      </c>
      <c r="C84" s="70">
        <v>-1.8796992500000002E-2</v>
      </c>
      <c r="D84" s="15">
        <v>257</v>
      </c>
      <c r="E84" s="32">
        <f t="shared" si="38"/>
        <v>-1.532567049808429E-2</v>
      </c>
      <c r="F84" s="18">
        <f>IF(ISNUMBER(D84), $B91 * E84, "")</f>
        <v>-2298.8505747126437</v>
      </c>
      <c r="G84" s="31"/>
      <c r="H84" s="32" t="str">
        <f t="shared" si="39"/>
        <v/>
      </c>
      <c r="I84" s="9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56"/>
      <c r="R84" s="156"/>
      <c r="S84" s="156"/>
    </row>
    <row r="85" spans="1:19" ht="17.25" thickBot="1">
      <c r="A85" s="111" t="s">
        <v>340</v>
      </c>
      <c r="B85" s="112">
        <v>511</v>
      </c>
      <c r="C85" s="71">
        <v>-1.9193858000000001E-2</v>
      </c>
      <c r="D85" s="20">
        <v>514</v>
      </c>
      <c r="E85" s="21">
        <f t="shared" si="38"/>
        <v>5.8708414872798431E-3</v>
      </c>
      <c r="F85" s="22">
        <f>IF(ISNUMBER(D85), $B91 * E85, "")</f>
        <v>880.6262230919765</v>
      </c>
      <c r="G85" s="30"/>
      <c r="H85" s="21" t="str">
        <f t="shared" si="39"/>
        <v/>
      </c>
      <c r="I85" s="9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56"/>
      <c r="R85" s="156"/>
      <c r="S85" s="156"/>
    </row>
    <row r="86" spans="1:19" ht="17.25" thickBot="1">
      <c r="A86" s="109" t="s">
        <v>79</v>
      </c>
      <c r="B86" s="113">
        <v>242</v>
      </c>
      <c r="C86" s="73">
        <v>-2.0242915E-2</v>
      </c>
      <c r="D86" s="96">
        <v>240</v>
      </c>
      <c r="E86" s="97">
        <f>IF(ISNUMBER(D86), (D86 - $B86) / $B86, "")</f>
        <v>-8.2644628099173556E-3</v>
      </c>
      <c r="F86" s="98">
        <f>IF(ISNUMBER(D86), $B91 * E86, "")</f>
        <v>-1239.6694214876034</v>
      </c>
      <c r="G86" s="99"/>
      <c r="H86" s="97" t="str">
        <f>IF(ISNUMBER(G86), (G86 - $B86) / $B86, "")</f>
        <v/>
      </c>
      <c r="I86" s="100" t="str">
        <f>IF(ISNUMBER(G86), $B91 * H86, "")</f>
        <v/>
      </c>
      <c r="J86" s="96"/>
      <c r="K86" s="97" t="str">
        <f>IF(ISNUMBER(J86), (J86 - $B86) / $B86, "")</f>
        <v/>
      </c>
      <c r="L86" s="98" t="str">
        <f>IF(ISNUMBER(J86), $B91 * K86, "")</f>
        <v/>
      </c>
      <c r="M86" s="99"/>
      <c r="N86" s="97" t="str">
        <f>IF(ISNUMBER(M86), (M86 - $B86) / $B86, "")</f>
        <v/>
      </c>
      <c r="O86" s="98" t="str">
        <f>IF(ISNUMBER(M86), $B91 * N86, "")</f>
        <v/>
      </c>
      <c r="Q86" s="161"/>
      <c r="R86" s="161"/>
      <c r="S86" s="161"/>
    </row>
    <row r="87" spans="1:19" ht="17.25" thickBot="1">
      <c r="A87" s="109" t="s">
        <v>85</v>
      </c>
      <c r="B87" s="110">
        <v>143</v>
      </c>
      <c r="C87" s="70">
        <v>-2.0547945200000001E-2</v>
      </c>
      <c r="D87" s="15">
        <v>143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/>
      <c r="H87" s="32" t="str">
        <f t="shared" ref="H87:H90" si="43">IF(ISNUMBER(G87), (G87 - $B87) / $B87, "")</f>
        <v/>
      </c>
      <c r="I87" s="9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61"/>
      <c r="R87" s="161"/>
      <c r="S87" s="161"/>
    </row>
    <row r="88" spans="1:19" ht="17.25" thickBot="1">
      <c r="A88" s="109" t="s">
        <v>187</v>
      </c>
      <c r="B88" s="110">
        <v>801</v>
      </c>
      <c r="C88" s="70">
        <v>-2.0782396099999999E-2</v>
      </c>
      <c r="D88" s="15">
        <v>786</v>
      </c>
      <c r="E88" s="32">
        <f t="shared" si="42"/>
        <v>-1.8726591760299626E-2</v>
      </c>
      <c r="F88" s="18">
        <f>IF(ISNUMBER(D88), $B91 * E88, "")</f>
        <v>-2808.9887640449438</v>
      </c>
      <c r="G88" s="31"/>
      <c r="H88" s="32" t="str">
        <f t="shared" si="43"/>
        <v/>
      </c>
      <c r="I88" s="9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61"/>
      <c r="R88" s="161"/>
      <c r="S88" s="161"/>
    </row>
    <row r="89" spans="1:19">
      <c r="A89" s="109" t="s">
        <v>332</v>
      </c>
      <c r="B89" s="110">
        <v>214</v>
      </c>
      <c r="C89" s="70">
        <v>-2.2831050200000001E-2</v>
      </c>
      <c r="D89" s="15">
        <v>216</v>
      </c>
      <c r="E89" s="32">
        <f t="shared" si="42"/>
        <v>9.3457943925233638E-3</v>
      </c>
      <c r="F89" s="18">
        <f>IF(ISNUMBER(D89), $B91 * E89, "")</f>
        <v>1401.8691588785045</v>
      </c>
      <c r="G89" s="31"/>
      <c r="H89" s="32" t="str">
        <f t="shared" si="43"/>
        <v/>
      </c>
      <c r="I89" s="9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3"/>
      <c r="R89" s="184"/>
      <c r="S89" s="185"/>
    </row>
    <row r="90" spans="1:19" ht="17.25" thickBot="1">
      <c r="A90" s="114" t="s">
        <v>238</v>
      </c>
      <c r="B90" s="115">
        <v>553</v>
      </c>
      <c r="C90" s="72">
        <v>-2.2968197900000001E-2</v>
      </c>
      <c r="D90" s="24">
        <v>547</v>
      </c>
      <c r="E90" s="25">
        <f t="shared" si="42"/>
        <v>-1.0849909584086799E-2</v>
      </c>
      <c r="F90" s="94">
        <f>IF(ISNUMBER(D90), $B91 * E90, "")</f>
        <v>-1627.4864376130199</v>
      </c>
      <c r="G90" s="92"/>
      <c r="H90" s="25" t="str">
        <f t="shared" si="43"/>
        <v/>
      </c>
      <c r="I90" s="93" t="str">
        <f>IF(ISNUMBER(G90), $B91 * H90, "")</f>
        <v/>
      </c>
      <c r="J90" s="24"/>
      <c r="K90" s="25" t="str">
        <f t="shared" si="44"/>
        <v/>
      </c>
      <c r="L90" s="94" t="str">
        <f>IF(ISNUMBER(J90), $B91 * K90, "")</f>
        <v/>
      </c>
      <c r="M90" s="92"/>
      <c r="N90" s="25" t="str">
        <f t="shared" si="45"/>
        <v/>
      </c>
      <c r="O90" s="94" t="str">
        <f>IF(ISNUMBER(M90), $B91 * N90, "")</f>
        <v/>
      </c>
      <c r="Q90" s="186"/>
      <c r="R90" s="187"/>
      <c r="S90" s="188"/>
    </row>
    <row r="91" spans="1:19" ht="17.25" thickBot="1">
      <c r="A91" s="116" t="s">
        <v>260</v>
      </c>
      <c r="B91" s="194">
        <f>$B$37</f>
        <v>150000</v>
      </c>
      <c r="C91" s="195"/>
      <c r="D91" s="26" t="s">
        <v>261</v>
      </c>
      <c r="E91" s="27">
        <f>IF(COUNT(E71:E90), SUM(E71:E90) / COUNT(E71:E90), 0)</f>
        <v>-6.2977261831323236E-3</v>
      </c>
      <c r="F91" s="28">
        <f>SUM(F71:F90)</f>
        <v>-18893.178549396973</v>
      </c>
      <c r="G91" s="26" t="s">
        <v>261</v>
      </c>
      <c r="H91" s="27">
        <f>IF(COUNT(H71:H90), SUM(H71:H90) / COUNT(H71:H90), 0)</f>
        <v>0</v>
      </c>
      <c r="I91" s="28">
        <f>SUM(I71:I90)</f>
        <v>0</v>
      </c>
      <c r="J91" s="26" t="s">
        <v>261</v>
      </c>
      <c r="K91" s="27">
        <f>IF(COUNT(K71:K90), SUM(K71:K90) / COUNT(K71:K90), 0)</f>
        <v>0</v>
      </c>
      <c r="L91" s="28">
        <f>SUM(L71:L90)</f>
        <v>0</v>
      </c>
      <c r="M91" s="26" t="s">
        <v>261</v>
      </c>
      <c r="N91" s="27">
        <f>IF(COUNT(N71:N90), SUM(N71:N90) / COUNT(N71:N90), 0)</f>
        <v>0</v>
      </c>
      <c r="O91" s="28">
        <f>SUM(O71:O90)</f>
        <v>0</v>
      </c>
      <c r="Q91" s="189"/>
      <c r="R91" s="190"/>
      <c r="S91" s="191"/>
    </row>
    <row r="93" spans="1:19" ht="17.25" thickBot="1"/>
    <row r="94" spans="1:19" ht="17.25" thickBot="1">
      <c r="A94" s="135" t="s">
        <v>46</v>
      </c>
      <c r="B94" s="136"/>
      <c r="C94" s="136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7"/>
      <c r="Q94" s="156"/>
      <c r="R94" s="156"/>
      <c r="S94" s="156"/>
    </row>
    <row r="95" spans="1:19" ht="17.25" thickBot="1">
      <c r="A95" s="9" t="s">
        <v>257</v>
      </c>
      <c r="B95" s="135" t="s">
        <v>49</v>
      </c>
      <c r="C95" s="137"/>
      <c r="D95" s="135" t="s">
        <v>57</v>
      </c>
      <c r="E95" s="136"/>
      <c r="F95" s="137"/>
      <c r="G95" s="162">
        <f>_xlfn.IFNA(VLOOKUP(B95, 현재가테이블!$B$2:$D$200, 2, FALSE), "-")</f>
        <v>21754000</v>
      </c>
      <c r="H95" s="163"/>
      <c r="I95" s="164"/>
      <c r="J95" s="135" t="s">
        <v>58</v>
      </c>
      <c r="K95" s="136"/>
      <c r="L95" s="137"/>
      <c r="M95" s="165">
        <f>_xlfn.IFNA(VLOOKUP(B95, 현재가테이블!$B$2:$D$200, 3, FALSE), "-")</f>
        <v>-4.3024533E-3</v>
      </c>
      <c r="N95" s="166"/>
      <c r="O95" s="167"/>
      <c r="Q95" s="156"/>
      <c r="R95" s="156"/>
      <c r="S95" s="156"/>
    </row>
    <row r="96" spans="1:19" ht="17.25" thickBot="1">
      <c r="A96" s="196" t="s">
        <v>54</v>
      </c>
      <c r="B96" s="198" t="str">
        <f>TEXT($G$1, "[$-ko-KR]yyyy-mm-dd(ddd) ") &amp; "오전 00:00"</f>
        <v>2022-12-26(월) 오전 00:00</v>
      </c>
      <c r="C96" s="199"/>
      <c r="D96" s="158" t="str">
        <f>TEXT($G$1, "[$-ko-KR]yyyy-mm-dd(ddd) ") &amp; "오후 14:00"</f>
        <v>2022-12-26(월) 오후 14:00</v>
      </c>
      <c r="E96" s="159"/>
      <c r="F96" s="160"/>
      <c r="G96" s="158" t="str">
        <f>TEXT($G$1, "[$-ko-KR]yyyy-mm-dd(ddd) ") &amp; "오후 19:00"</f>
        <v>2022-12-26(월) 오후 19:00</v>
      </c>
      <c r="H96" s="159"/>
      <c r="I96" s="160"/>
      <c r="J96" s="158" t="str">
        <f>TEXT($G$1, "[$-ko-KR]yyyy-mm-dd(ddd) ") &amp; "오후 21:00"</f>
        <v>2022-12-26(월) 오후 21:00</v>
      </c>
      <c r="K96" s="159"/>
      <c r="L96" s="160"/>
      <c r="M96" s="158" t="str">
        <f>TEXT($G$1+1, "[$-ko-KR]yyyy-mm-dd(ddd) ") &amp; "오전 00:00"</f>
        <v>2022-12-27(화) 오전 00:00</v>
      </c>
      <c r="N96" s="159"/>
      <c r="O96" s="160"/>
      <c r="Q96" s="156"/>
      <c r="R96" s="156"/>
      <c r="S96" s="156"/>
    </row>
    <row r="97" spans="1:19" ht="17.25" thickBot="1">
      <c r="A97" s="197"/>
      <c r="B97" s="105" t="s">
        <v>57</v>
      </c>
      <c r="C97" s="106" t="s">
        <v>58</v>
      </c>
      <c r="D97" s="2" t="s">
        <v>57</v>
      </c>
      <c r="E97" s="10" t="s">
        <v>258</v>
      </c>
      <c r="F97" s="11" t="s">
        <v>259</v>
      </c>
      <c r="G97" s="57" t="s">
        <v>57</v>
      </c>
      <c r="H97" s="58" t="s">
        <v>258</v>
      </c>
      <c r="I97" s="59" t="s">
        <v>259</v>
      </c>
      <c r="J97" s="10" t="s">
        <v>57</v>
      </c>
      <c r="K97" s="10" t="s">
        <v>258</v>
      </c>
      <c r="L97" s="60" t="s">
        <v>259</v>
      </c>
      <c r="M97" s="2" t="s">
        <v>57</v>
      </c>
      <c r="N97" s="10" t="s">
        <v>258</v>
      </c>
      <c r="O97" s="62" t="s">
        <v>259</v>
      </c>
      <c r="Q97" s="161"/>
      <c r="R97" s="161"/>
      <c r="S97" s="161"/>
    </row>
    <row r="98" spans="1:19" ht="17.25" thickBot="1">
      <c r="A98" s="107" t="s">
        <v>71</v>
      </c>
      <c r="B98" s="108">
        <v>10.7</v>
      </c>
      <c r="C98" s="69">
        <v>3.8834951499999999E-2</v>
      </c>
      <c r="D98" s="13">
        <v>10.3</v>
      </c>
      <c r="E98" s="14">
        <f>IF(ISNUMBER(D98), (D98 - $B98) / $B98, "")</f>
        <v>-3.738317757009333E-2</v>
      </c>
      <c r="F98" s="16">
        <f>IF(ISNUMBER(D98), $B118 * E98, "")</f>
        <v>-5607.4766355139991</v>
      </c>
      <c r="G98" s="29"/>
      <c r="H98" s="14" t="str">
        <f>IF(ISNUMBER(G98), (G98 - $B98) / $B98, "")</f>
        <v/>
      </c>
      <c r="I98" s="9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56"/>
      <c r="R98" s="156"/>
      <c r="S98" s="156"/>
    </row>
    <row r="99" spans="1:19" ht="17.25" thickBot="1">
      <c r="A99" s="109" t="s">
        <v>165</v>
      </c>
      <c r="B99" s="110">
        <v>968</v>
      </c>
      <c r="C99" s="70">
        <v>2.3255814E-2</v>
      </c>
      <c r="D99" s="15">
        <v>936</v>
      </c>
      <c r="E99" s="32">
        <f t="shared" ref="E99:E102" si="46">IF(ISNUMBER(D99), (D99 - $B99) / $B99, "")</f>
        <v>-3.3057851239669422E-2</v>
      </c>
      <c r="F99" s="18">
        <f>IF(ISNUMBER(D99), $B118 * E99, "")</f>
        <v>-4958.6776859504134</v>
      </c>
      <c r="G99" s="31"/>
      <c r="H99" s="32" t="str">
        <f t="shared" ref="H99:H102" si="47">IF(ISNUMBER(G99), (G99 - $B99) / $B99, "")</f>
        <v/>
      </c>
      <c r="I99" s="9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56"/>
      <c r="R99" s="156"/>
      <c r="S99" s="156"/>
    </row>
    <row r="100" spans="1:19" ht="17.25" thickBot="1">
      <c r="A100" s="109" t="s">
        <v>349</v>
      </c>
      <c r="B100" s="110">
        <v>649</v>
      </c>
      <c r="C100" s="70">
        <v>1.40625E-2</v>
      </c>
      <c r="D100" s="15">
        <v>635</v>
      </c>
      <c r="E100" s="32">
        <f t="shared" si="46"/>
        <v>-2.1571648690292759E-2</v>
      </c>
      <c r="F100" s="18">
        <f>IF(ISNUMBER(D100), $B118 * E100, "")</f>
        <v>-3235.7473035439139</v>
      </c>
      <c r="G100" s="31"/>
      <c r="H100" s="32" t="str">
        <f t="shared" si="47"/>
        <v/>
      </c>
      <c r="I100" s="9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61"/>
      <c r="R100" s="161"/>
      <c r="S100" s="161"/>
    </row>
    <row r="101" spans="1:19" ht="17.25" thickBot="1">
      <c r="A101" s="109" t="s">
        <v>157</v>
      </c>
      <c r="B101" s="110">
        <v>177</v>
      </c>
      <c r="C101" s="70">
        <v>5.6818182E-3</v>
      </c>
      <c r="D101" s="15">
        <v>176</v>
      </c>
      <c r="E101" s="32">
        <f t="shared" si="46"/>
        <v>-5.6497175141242938E-3</v>
      </c>
      <c r="F101" s="18">
        <f>IF(ISNUMBER(D101), $B118 * E101, "")</f>
        <v>-847.45762711864404</v>
      </c>
      <c r="G101" s="31"/>
      <c r="H101" s="32" t="str">
        <f t="shared" si="47"/>
        <v/>
      </c>
      <c r="I101" s="9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61"/>
      <c r="R101" s="161"/>
      <c r="S101" s="161"/>
    </row>
    <row r="102" spans="1:19" ht="17.25" thickBot="1">
      <c r="A102" s="111" t="s">
        <v>346</v>
      </c>
      <c r="B102" s="112">
        <v>380</v>
      </c>
      <c r="C102" s="71">
        <v>5.2910053000000002E-3</v>
      </c>
      <c r="D102" s="20">
        <v>389</v>
      </c>
      <c r="E102" s="21">
        <f t="shared" si="46"/>
        <v>2.368421052631579E-2</v>
      </c>
      <c r="F102" s="22">
        <f>IF(ISNUMBER(D102), $B118 * E102, "")</f>
        <v>3552.6315789473683</v>
      </c>
      <c r="G102" s="30"/>
      <c r="H102" s="21" t="str">
        <f t="shared" si="47"/>
        <v/>
      </c>
      <c r="I102" s="9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61"/>
      <c r="R102" s="161"/>
      <c r="S102" s="161"/>
    </row>
    <row r="103" spans="1:19" ht="17.25" thickBot="1">
      <c r="A103" s="109" t="s">
        <v>169</v>
      </c>
      <c r="B103" s="113">
        <v>224</v>
      </c>
      <c r="C103" s="73">
        <v>4.4843048999999996E-3</v>
      </c>
      <c r="D103" s="96">
        <v>220</v>
      </c>
      <c r="E103" s="97">
        <f>IF(ISNUMBER(D103), (D103 - $B103) / $B103, "")</f>
        <v>-1.7857142857142856E-2</v>
      </c>
      <c r="F103" s="98">
        <f>IF(ISNUMBER(D103), $B118 * E103, "")</f>
        <v>-2678.5714285714284</v>
      </c>
      <c r="G103" s="99"/>
      <c r="H103" s="97" t="str">
        <f>IF(ISNUMBER(G103), (G103 - $B103) / $B103, "")</f>
        <v/>
      </c>
      <c r="I103" s="100" t="str">
        <f>IF(ISNUMBER(G103), $B118 * H103, "")</f>
        <v/>
      </c>
      <c r="J103" s="96"/>
      <c r="K103" s="97" t="str">
        <f>IF(ISNUMBER(J103), (J103 - $B103) / $B103, "")</f>
        <v/>
      </c>
      <c r="L103" s="98" t="str">
        <f>IF(ISNUMBER(J103), $B118 * K103, "")</f>
        <v/>
      </c>
      <c r="M103" s="99"/>
      <c r="N103" s="97" t="str">
        <f>IF(ISNUMBER(M103), (M103 - $B103) / $B103, "")</f>
        <v/>
      </c>
      <c r="O103" s="98" t="str">
        <f>IF(ISNUMBER(M103), $B118 * N103, "")</f>
        <v/>
      </c>
      <c r="Q103" s="161"/>
      <c r="R103" s="161"/>
      <c r="S103" s="161"/>
    </row>
    <row r="104" spans="1:19" ht="17.25" thickBot="1">
      <c r="A104" s="109" t="s">
        <v>322</v>
      </c>
      <c r="B104" s="110">
        <v>71030</v>
      </c>
      <c r="C104" s="70">
        <v>8.4542760000000004E-4</v>
      </c>
      <c r="D104" s="15">
        <v>71480</v>
      </c>
      <c r="E104" s="32">
        <f t="shared" ref="E104:E107" si="50">IF(ISNUMBER(D104), (D104 - $B104) / $B104, "")</f>
        <v>6.3353512600309728E-3</v>
      </c>
      <c r="F104" s="18">
        <f>IF(ISNUMBER(D104), $B118 * E104, "")</f>
        <v>950.30268900464591</v>
      </c>
      <c r="G104" s="31"/>
      <c r="H104" s="32" t="str">
        <f t="shared" ref="H104:H107" si="51">IF(ISNUMBER(G104), (G104 - $B104) / $B104, "")</f>
        <v/>
      </c>
      <c r="I104" s="9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61"/>
      <c r="R104" s="161"/>
      <c r="S104" s="161"/>
    </row>
    <row r="105" spans="1:19" ht="17.25" thickBot="1">
      <c r="A105" s="109" t="s">
        <v>75</v>
      </c>
      <c r="B105" s="110">
        <v>7725</v>
      </c>
      <c r="C105" s="70">
        <v>6.4766840000000003E-4</v>
      </c>
      <c r="D105" s="15">
        <v>7690</v>
      </c>
      <c r="E105" s="32">
        <f t="shared" si="50"/>
        <v>-4.5307443365695792E-3</v>
      </c>
      <c r="F105" s="18">
        <f>IF(ISNUMBER(D105), $B118 * E105, "")</f>
        <v>-679.61165048543694</v>
      </c>
      <c r="G105" s="31"/>
      <c r="H105" s="32" t="str">
        <f t="shared" si="51"/>
        <v/>
      </c>
      <c r="I105" s="9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61"/>
      <c r="R105" s="161"/>
      <c r="S105" s="161"/>
    </row>
    <row r="106" spans="1:19" ht="17.25" thickBot="1">
      <c r="A106" s="109" t="s">
        <v>244</v>
      </c>
      <c r="B106" s="110">
        <v>93.1</v>
      </c>
      <c r="C106" s="70">
        <v>0</v>
      </c>
      <c r="D106" s="15">
        <v>98.3</v>
      </c>
      <c r="E106" s="32">
        <f t="shared" si="50"/>
        <v>5.5853920515574682E-2</v>
      </c>
      <c r="F106" s="18">
        <f>IF(ISNUMBER(D106), $B118 * E106, "")</f>
        <v>8378.0880773362023</v>
      </c>
      <c r="G106" s="31"/>
      <c r="H106" s="32" t="str">
        <f t="shared" si="51"/>
        <v/>
      </c>
      <c r="I106" s="9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14" t="s">
        <v>97</v>
      </c>
      <c r="B107" s="115">
        <v>8.0000000000000004E-4</v>
      </c>
      <c r="C107" s="72">
        <v>0</v>
      </c>
      <c r="D107" s="24">
        <v>8.0000000000000004E-4</v>
      </c>
      <c r="E107" s="25">
        <f t="shared" si="50"/>
        <v>0</v>
      </c>
      <c r="F107" s="94">
        <f>IF(ISNUMBER(D107), $B118 * E107, "")</f>
        <v>0</v>
      </c>
      <c r="G107" s="92"/>
      <c r="H107" s="25" t="str">
        <f t="shared" si="51"/>
        <v/>
      </c>
      <c r="I107" s="93" t="str">
        <f>IF(ISNUMBER(G107), $B118 * H107, "")</f>
        <v/>
      </c>
      <c r="J107" s="24"/>
      <c r="K107" s="25" t="str">
        <f t="shared" si="52"/>
        <v/>
      </c>
      <c r="L107" s="94" t="str">
        <f>IF(ISNUMBER(J107), $B118 * K107, "")</f>
        <v/>
      </c>
      <c r="M107" s="92"/>
      <c r="N107" s="25" t="str">
        <f t="shared" si="53"/>
        <v/>
      </c>
      <c r="O107" s="94" t="str">
        <f>IF(ISNUMBER(M107), $B118 * N107, "")</f>
        <v/>
      </c>
      <c r="Q107" s="170"/>
      <c r="R107" s="171"/>
      <c r="S107" s="172"/>
    </row>
    <row r="108" spans="1:19">
      <c r="A108" s="107" t="s">
        <v>240</v>
      </c>
      <c r="B108" s="108">
        <v>27.1</v>
      </c>
      <c r="C108" s="69">
        <v>-3.6764706E-3</v>
      </c>
      <c r="D108" s="13">
        <v>27</v>
      </c>
      <c r="E108" s="14">
        <f>IF(ISNUMBER(D108), (D108 - $B108) / $B108, "")</f>
        <v>-3.6900369003690561E-3</v>
      </c>
      <c r="F108" s="16">
        <f>IF(ISNUMBER(D108), $B118 * E108, "")</f>
        <v>-553.50553505535845</v>
      </c>
      <c r="G108" s="29"/>
      <c r="H108" s="14" t="str">
        <f>IF(ISNUMBER(G108), (G108 - $B108) / $B108, "")</f>
        <v/>
      </c>
      <c r="I108" s="9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3"/>
      <c r="R108" s="174"/>
      <c r="S108" s="175"/>
    </row>
    <row r="109" spans="1:19" ht="17.25" thickBot="1">
      <c r="A109" s="109" t="s">
        <v>49</v>
      </c>
      <c r="B109" s="110">
        <v>21850000</v>
      </c>
      <c r="C109" s="70">
        <v>-4.6011571000000003E-3</v>
      </c>
      <c r="D109" s="15">
        <v>21754000</v>
      </c>
      <c r="E109" s="32">
        <f t="shared" ref="E109:E112" si="54">IF(ISNUMBER(D109), (D109 - $B109) / $B109, "")</f>
        <v>-4.3935926773455381E-3</v>
      </c>
      <c r="F109" s="18">
        <f>IF(ISNUMBER(D109), $B118 * E109, "")</f>
        <v>-659.03890160183073</v>
      </c>
      <c r="G109" s="31"/>
      <c r="H109" s="32" t="str">
        <f t="shared" ref="H109:H112" si="55">IF(ISNUMBER(G109), (G109 - $B109) / $B109, "")</f>
        <v/>
      </c>
      <c r="I109" s="9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6"/>
      <c r="R109" s="177"/>
      <c r="S109" s="178"/>
    </row>
    <row r="110" spans="1:19" ht="17.25" thickBot="1">
      <c r="A110" s="109" t="s">
        <v>60</v>
      </c>
      <c r="B110" s="110">
        <v>424</v>
      </c>
      <c r="C110" s="70">
        <v>-4.6948357000000003E-3</v>
      </c>
      <c r="D110" s="15">
        <v>426</v>
      </c>
      <c r="E110" s="32">
        <f t="shared" si="54"/>
        <v>4.7169811320754715E-3</v>
      </c>
      <c r="F110" s="18">
        <f>IF(ISNUMBER(D110), $B118 * E110, "")</f>
        <v>707.54716981132071</v>
      </c>
      <c r="G110" s="31"/>
      <c r="H110" s="32" t="str">
        <f t="shared" si="55"/>
        <v/>
      </c>
      <c r="I110" s="9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61"/>
      <c r="R110" s="161"/>
      <c r="S110" s="161"/>
    </row>
    <row r="111" spans="1:19" ht="17.25" thickBot="1">
      <c r="A111" s="109" t="s">
        <v>128</v>
      </c>
      <c r="B111" s="110">
        <v>5785</v>
      </c>
      <c r="C111" s="70">
        <v>-5.1590713999999996E-3</v>
      </c>
      <c r="D111" s="15">
        <v>5785</v>
      </c>
      <c r="E111" s="32">
        <f t="shared" si="54"/>
        <v>0</v>
      </c>
      <c r="F111" s="18">
        <f>IF(ISNUMBER(D111), $B118 * E111, "")</f>
        <v>0</v>
      </c>
      <c r="G111" s="31"/>
      <c r="H111" s="32" t="str">
        <f t="shared" si="55"/>
        <v/>
      </c>
      <c r="I111" s="9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56"/>
      <c r="R111" s="156"/>
      <c r="S111" s="156"/>
    </row>
    <row r="112" spans="1:19" ht="17.25" thickBot="1">
      <c r="A112" s="111" t="s">
        <v>81</v>
      </c>
      <c r="B112" s="112">
        <v>335</v>
      </c>
      <c r="C112" s="71">
        <v>-5.9347180999999999E-3</v>
      </c>
      <c r="D112" s="20">
        <v>336</v>
      </c>
      <c r="E112" s="21">
        <f t="shared" si="54"/>
        <v>2.9850746268656717E-3</v>
      </c>
      <c r="F112" s="22">
        <f>IF(ISNUMBER(D112), $B118 * E112, "")</f>
        <v>447.76119402985074</v>
      </c>
      <c r="G112" s="30"/>
      <c r="H112" s="21" t="str">
        <f t="shared" si="55"/>
        <v/>
      </c>
      <c r="I112" s="9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56"/>
      <c r="R112" s="156"/>
      <c r="S112" s="156"/>
    </row>
    <row r="113" spans="1:19" ht="17.25" thickBot="1">
      <c r="A113" s="109" t="s">
        <v>73</v>
      </c>
      <c r="B113" s="113">
        <v>11600</v>
      </c>
      <c r="C113" s="73">
        <v>-5.9982862000000003E-3</v>
      </c>
      <c r="D113" s="96">
        <v>11720</v>
      </c>
      <c r="E113" s="97">
        <f>IF(ISNUMBER(D113), (D113 - $B113) / $B113, "")</f>
        <v>1.0344827586206896E-2</v>
      </c>
      <c r="F113" s="98">
        <f>IF(ISNUMBER(D113), $B118 * E113, "")</f>
        <v>1551.7241379310344</v>
      </c>
      <c r="G113" s="99"/>
      <c r="H113" s="97" t="str">
        <f>IF(ISNUMBER(G113), (G113 - $B113) / $B113, "")</f>
        <v/>
      </c>
      <c r="I113" s="100" t="str">
        <f>IF(ISNUMBER(G113), $B118 * H113, "")</f>
        <v/>
      </c>
      <c r="J113" s="96"/>
      <c r="K113" s="97" t="str">
        <f>IF(ISNUMBER(J113), (J113 - $B113) / $B113, "")</f>
        <v/>
      </c>
      <c r="L113" s="98" t="str">
        <f>IF(ISNUMBER(J113), $B118 * K113, "")</f>
        <v/>
      </c>
      <c r="M113" s="99"/>
      <c r="N113" s="97" t="str">
        <f>IF(ISNUMBER(M113), (M113 - $B113) / $B113, "")</f>
        <v/>
      </c>
      <c r="O113" s="98" t="str">
        <f>IF(ISNUMBER(M113), $B118 * N113, "")</f>
        <v/>
      </c>
      <c r="Q113" s="161"/>
      <c r="R113" s="161"/>
      <c r="S113" s="161"/>
    </row>
    <row r="114" spans="1:19" ht="17.25" thickBot="1">
      <c r="A114" s="109" t="s">
        <v>93</v>
      </c>
      <c r="B114" s="110">
        <v>1576500</v>
      </c>
      <c r="C114" s="70">
        <v>-8.8022633999999995E-3</v>
      </c>
      <c r="D114" s="15">
        <v>1573000</v>
      </c>
      <c r="E114" s="32">
        <f t="shared" ref="E114:E117" si="58">IF(ISNUMBER(D114), (D114 - $B114) / $B114, "")</f>
        <v>-2.2201078338090706E-3</v>
      </c>
      <c r="F114" s="18">
        <f>IF(ISNUMBER(D114), $B118 * E114, "")</f>
        <v>-333.01617507136058</v>
      </c>
      <c r="G114" s="31"/>
      <c r="H114" s="32" t="str">
        <f t="shared" ref="H114:H117" si="59">IF(ISNUMBER(G114), (G114 - $B114) / $B114, "")</f>
        <v/>
      </c>
      <c r="I114" s="9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61"/>
      <c r="R114" s="161"/>
      <c r="S114" s="161"/>
    </row>
    <row r="115" spans="1:19" ht="17.25" thickBot="1">
      <c r="A115" s="109" t="s">
        <v>122</v>
      </c>
      <c r="B115" s="110">
        <v>21</v>
      </c>
      <c r="C115" s="70">
        <v>-9.4339622999999994E-3</v>
      </c>
      <c r="D115" s="15">
        <v>20.8</v>
      </c>
      <c r="E115" s="32">
        <f t="shared" si="58"/>
        <v>-9.52380952380949E-3</v>
      </c>
      <c r="F115" s="18">
        <f>IF(ISNUMBER(D115), $B118 * E115, "")</f>
        <v>-1428.5714285714234</v>
      </c>
      <c r="G115" s="31"/>
      <c r="H115" s="32" t="str">
        <f t="shared" si="59"/>
        <v/>
      </c>
      <c r="I115" s="9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61"/>
      <c r="R115" s="161"/>
      <c r="S115" s="161"/>
    </row>
    <row r="116" spans="1:19">
      <c r="A116" s="109" t="s">
        <v>324</v>
      </c>
      <c r="B116" s="110">
        <v>1030</v>
      </c>
      <c r="C116" s="70">
        <v>-9.6153846000000005E-3</v>
      </c>
      <c r="D116" s="15">
        <v>1035</v>
      </c>
      <c r="E116" s="32">
        <f t="shared" si="58"/>
        <v>4.8543689320388345E-3</v>
      </c>
      <c r="F116" s="18">
        <f>IF(ISNUMBER(D116), $B118 * E116, "")</f>
        <v>728.15533980582518</v>
      </c>
      <c r="G116" s="31"/>
      <c r="H116" s="32" t="str">
        <f t="shared" si="59"/>
        <v/>
      </c>
      <c r="I116" s="9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3"/>
      <c r="R116" s="184"/>
      <c r="S116" s="185"/>
    </row>
    <row r="117" spans="1:19" ht="17.25" thickBot="1">
      <c r="A117" s="114" t="s">
        <v>145</v>
      </c>
      <c r="B117" s="115">
        <v>70.599999999999994</v>
      </c>
      <c r="C117" s="72">
        <v>-9.8176718000000003E-3</v>
      </c>
      <c r="D117" s="24">
        <v>70.7</v>
      </c>
      <c r="E117" s="25">
        <f t="shared" si="58"/>
        <v>1.4164305949009707E-3</v>
      </c>
      <c r="F117" s="94">
        <f>IF(ISNUMBER(D117), $B118 * E117, "")</f>
        <v>212.46458923514561</v>
      </c>
      <c r="G117" s="92"/>
      <c r="H117" s="25" t="str">
        <f t="shared" si="59"/>
        <v/>
      </c>
      <c r="I117" s="93" t="str">
        <f>IF(ISNUMBER(G117), $B118 * H117, "")</f>
        <v/>
      </c>
      <c r="J117" s="24"/>
      <c r="K117" s="25" t="str">
        <f t="shared" si="60"/>
        <v/>
      </c>
      <c r="L117" s="94" t="str">
        <f>IF(ISNUMBER(J117), $B118 * K117, "")</f>
        <v/>
      </c>
      <c r="M117" s="92"/>
      <c r="N117" s="25" t="str">
        <f t="shared" si="61"/>
        <v/>
      </c>
      <c r="O117" s="94" t="str">
        <f>IF(ISNUMBER(M117), $B118 * N117, "")</f>
        <v/>
      </c>
      <c r="Q117" s="186"/>
      <c r="R117" s="187"/>
      <c r="S117" s="188"/>
    </row>
    <row r="118" spans="1:19" ht="17.25" thickBot="1">
      <c r="A118" s="116" t="s">
        <v>260</v>
      </c>
      <c r="B118" s="194">
        <f>$B$37</f>
        <v>150000</v>
      </c>
      <c r="C118" s="195"/>
      <c r="D118" s="26" t="s">
        <v>261</v>
      </c>
      <c r="E118" s="27">
        <f>IF(COUNT(E98:E117), SUM(E98:E117) / COUNT(E98:E117), 0)</f>
        <v>-1.4843331984608055E-3</v>
      </c>
      <c r="F118" s="28">
        <f>SUM(F98:F117)</f>
        <v>-4452.9995953824136</v>
      </c>
      <c r="G118" s="26" t="s">
        <v>261</v>
      </c>
      <c r="H118" s="27">
        <f>IF(COUNT(H98:H117), SUM(H98:H117) / COUNT(H98:H117), 0)</f>
        <v>0</v>
      </c>
      <c r="I118" s="28">
        <f>SUM(I98:I117)</f>
        <v>0</v>
      </c>
      <c r="J118" s="26" t="s">
        <v>261</v>
      </c>
      <c r="K118" s="27">
        <f>IF(COUNT(K98:K117), SUM(K98:K117) / COUNT(K98:K117), 0)</f>
        <v>0</v>
      </c>
      <c r="L118" s="28">
        <f>SUM(L98:L117)</f>
        <v>0</v>
      </c>
      <c r="M118" s="26" t="s">
        <v>261</v>
      </c>
      <c r="N118" s="27">
        <f>IF(COUNT(N98:N117), SUM(N98:N117) / COUNT(N98:N117), 0)</f>
        <v>0</v>
      </c>
      <c r="O118" s="28">
        <f>SUM(O98:O117)</f>
        <v>0</v>
      </c>
      <c r="Q118" s="189"/>
      <c r="R118" s="190"/>
      <c r="S118" s="191"/>
    </row>
    <row r="120" spans="1:19" ht="17.25" thickBot="1"/>
    <row r="121" spans="1:19" ht="17.25" thickBot="1">
      <c r="A121" s="135" t="s">
        <v>248</v>
      </c>
      <c r="B121" s="136"/>
      <c r="C121" s="136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7"/>
      <c r="Q121" s="156"/>
      <c r="R121" s="156"/>
      <c r="S121" s="156"/>
    </row>
    <row r="122" spans="1:19" ht="17.25" thickBot="1">
      <c r="A122" s="9" t="s">
        <v>257</v>
      </c>
      <c r="B122" s="135" t="s">
        <v>49</v>
      </c>
      <c r="C122" s="137"/>
      <c r="D122" s="135" t="s">
        <v>57</v>
      </c>
      <c r="E122" s="136"/>
      <c r="F122" s="137"/>
      <c r="G122" s="162">
        <f>_xlfn.IFNA(VLOOKUP(B122, 현재가테이블!$B$2:$D$200, 2, FALSE), "-")</f>
        <v>21754000</v>
      </c>
      <c r="H122" s="163"/>
      <c r="I122" s="164"/>
      <c r="J122" s="135" t="s">
        <v>58</v>
      </c>
      <c r="K122" s="136"/>
      <c r="L122" s="137"/>
      <c r="M122" s="165">
        <f>_xlfn.IFNA(VLOOKUP(B122, 현재가테이블!$B$2:$D$200, 3, FALSE), "-")</f>
        <v>-4.3024533E-3</v>
      </c>
      <c r="N122" s="166"/>
      <c r="O122" s="167"/>
      <c r="Q122" s="156"/>
      <c r="R122" s="156"/>
      <c r="S122" s="156"/>
    </row>
    <row r="123" spans="1:19" ht="17.25" thickBot="1">
      <c r="A123" s="196" t="s">
        <v>54</v>
      </c>
      <c r="B123" s="198" t="str">
        <f>TEXT($G$1, "[$-ko-KR]yyyy-mm-dd(ddd) ") &amp; "오전 00:00"</f>
        <v>2022-12-26(월) 오전 00:00</v>
      </c>
      <c r="C123" s="199"/>
      <c r="D123" s="158" t="str">
        <f>TEXT($G$1, "[$-ko-KR]yyyy-mm-dd(ddd) ") &amp; "오후 14:00"</f>
        <v>2022-12-26(월) 오후 14:00</v>
      </c>
      <c r="E123" s="159"/>
      <c r="F123" s="160"/>
      <c r="G123" s="158" t="str">
        <f>TEXT($G$1, "[$-ko-KR]yyyy-mm-dd(ddd) ") &amp; "오후 19:00"</f>
        <v>2022-12-26(월) 오후 19:00</v>
      </c>
      <c r="H123" s="159"/>
      <c r="I123" s="160"/>
      <c r="J123" s="158" t="str">
        <f>TEXT($G$1, "[$-ko-KR]yyyy-mm-dd(ddd) ") &amp; "오후 21:00"</f>
        <v>2022-12-26(월) 오후 21:00</v>
      </c>
      <c r="K123" s="159"/>
      <c r="L123" s="160"/>
      <c r="M123" s="158" t="str">
        <f>TEXT($G$1+1, "[$-ko-KR]yyyy-mm-dd(ddd) ") &amp; "오전 00:00"</f>
        <v>2022-12-27(화) 오전 00:00</v>
      </c>
      <c r="N123" s="159"/>
      <c r="O123" s="160"/>
      <c r="Q123" s="156"/>
      <c r="R123" s="156"/>
      <c r="S123" s="156"/>
    </row>
    <row r="124" spans="1:19" ht="17.25" thickBot="1">
      <c r="A124" s="197"/>
      <c r="B124" s="105" t="s">
        <v>57</v>
      </c>
      <c r="C124" s="106" t="s">
        <v>58</v>
      </c>
      <c r="D124" s="2" t="s">
        <v>57</v>
      </c>
      <c r="E124" s="10" t="s">
        <v>258</v>
      </c>
      <c r="F124" s="11" t="s">
        <v>259</v>
      </c>
      <c r="G124" s="57" t="s">
        <v>57</v>
      </c>
      <c r="H124" s="58" t="s">
        <v>258</v>
      </c>
      <c r="I124" s="59" t="s">
        <v>259</v>
      </c>
      <c r="J124" s="10" t="s">
        <v>57</v>
      </c>
      <c r="K124" s="10" t="s">
        <v>258</v>
      </c>
      <c r="L124" s="60" t="s">
        <v>259</v>
      </c>
      <c r="M124" s="2" t="s">
        <v>57</v>
      </c>
      <c r="N124" s="10" t="s">
        <v>258</v>
      </c>
      <c r="O124" s="62" t="s">
        <v>259</v>
      </c>
      <c r="Q124" s="161"/>
      <c r="R124" s="161"/>
      <c r="S124" s="161"/>
    </row>
    <row r="125" spans="1:19" ht="17.25" thickBot="1">
      <c r="A125" s="107" t="s">
        <v>155</v>
      </c>
      <c r="B125" s="108">
        <v>26.9</v>
      </c>
      <c r="C125" s="69">
        <v>-2.1818181799999999E-2</v>
      </c>
      <c r="D125" s="13">
        <v>26.6</v>
      </c>
      <c r="E125" s="14">
        <f>IF(ISNUMBER(D125), (D125 - $B125) / $B125, "")</f>
        <v>-1.1152416356877219E-2</v>
      </c>
      <c r="F125" s="16">
        <f>IF(ISNUMBER(D125), $B145 * E125, "")</f>
        <v>-1672.8624535315828</v>
      </c>
      <c r="G125" s="29"/>
      <c r="H125" s="14" t="str">
        <f>IF(ISNUMBER(G125), (G125 - $B125) / $B125, "")</f>
        <v/>
      </c>
      <c r="I125" s="9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56"/>
      <c r="R125" s="156"/>
      <c r="S125" s="156"/>
    </row>
    <row r="126" spans="1:19" ht="17.25" thickBot="1">
      <c r="A126" s="109" t="s">
        <v>210</v>
      </c>
      <c r="B126" s="110">
        <v>65.599999999999994</v>
      </c>
      <c r="C126" s="70">
        <v>-2.2354694500000001E-2</v>
      </c>
      <c r="D126" s="15">
        <v>65.7</v>
      </c>
      <c r="E126" s="32">
        <f t="shared" ref="E126:E129" si="62">IF(ISNUMBER(D126), (D126 - $B126) / $B126, "")</f>
        <v>1.5243902439025692E-3</v>
      </c>
      <c r="F126" s="18">
        <f>IF(ISNUMBER(D126), $B145 * E126, "")</f>
        <v>228.65853658538538</v>
      </c>
      <c r="G126" s="31"/>
      <c r="H126" s="32" t="str">
        <f t="shared" ref="H126:H129" si="63">IF(ISNUMBER(G126), (G126 - $B126) / $B126, "")</f>
        <v/>
      </c>
      <c r="I126" s="9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56"/>
      <c r="R126" s="156"/>
      <c r="S126" s="156"/>
    </row>
    <row r="127" spans="1:19" ht="17.25" thickBot="1">
      <c r="A127" s="109" t="s">
        <v>228</v>
      </c>
      <c r="B127" s="110">
        <v>56.7</v>
      </c>
      <c r="C127" s="70">
        <v>-2.2413793099999999E-2</v>
      </c>
      <c r="D127" s="15">
        <v>56.1</v>
      </c>
      <c r="E127" s="32">
        <f t="shared" si="62"/>
        <v>-1.0582010582010606E-2</v>
      </c>
      <c r="F127" s="18">
        <f>IF(ISNUMBER(D127), $B145 * E127, "")</f>
        <v>-1587.3015873015909</v>
      </c>
      <c r="G127" s="31"/>
      <c r="H127" s="32" t="str">
        <f t="shared" si="63"/>
        <v/>
      </c>
      <c r="I127" s="9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61"/>
      <c r="R127" s="161"/>
      <c r="S127" s="161"/>
    </row>
    <row r="128" spans="1:19" ht="17.25" thickBot="1">
      <c r="A128" s="109" t="s">
        <v>256</v>
      </c>
      <c r="B128" s="110">
        <v>97.7</v>
      </c>
      <c r="C128" s="70">
        <v>-2.3E-2</v>
      </c>
      <c r="D128" s="15">
        <v>98</v>
      </c>
      <c r="E128" s="32">
        <f t="shared" si="62"/>
        <v>3.0706243602865624E-3</v>
      </c>
      <c r="F128" s="18">
        <f>IF(ISNUMBER(D128), $B145 * E128, "")</f>
        <v>460.59365404298438</v>
      </c>
      <c r="G128" s="31"/>
      <c r="H128" s="32" t="str">
        <f t="shared" si="63"/>
        <v/>
      </c>
      <c r="I128" s="9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61"/>
      <c r="R128" s="161"/>
      <c r="S128" s="161"/>
    </row>
    <row r="129" spans="1:19" ht="17.25" thickBot="1">
      <c r="A129" s="111" t="s">
        <v>198</v>
      </c>
      <c r="B129" s="112">
        <v>6.67</v>
      </c>
      <c r="C129" s="71">
        <v>-2.3426061500000001E-2</v>
      </c>
      <c r="D129" s="20">
        <v>6.44</v>
      </c>
      <c r="E129" s="21">
        <f t="shared" si="62"/>
        <v>-3.4482758620689585E-2</v>
      </c>
      <c r="F129" s="22">
        <f>IF(ISNUMBER(D129), $B145 * E129, "")</f>
        <v>-5172.4137931034375</v>
      </c>
      <c r="G129" s="30"/>
      <c r="H129" s="21" t="str">
        <f t="shared" si="63"/>
        <v/>
      </c>
      <c r="I129" s="9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61"/>
      <c r="R129" s="161"/>
      <c r="S129" s="161"/>
    </row>
    <row r="130" spans="1:19" ht="17.25" thickBot="1">
      <c r="A130" s="109" t="s">
        <v>220</v>
      </c>
      <c r="B130" s="113">
        <v>61.9</v>
      </c>
      <c r="C130" s="73">
        <v>-2.5196850400000002E-2</v>
      </c>
      <c r="D130" s="96">
        <v>61.2</v>
      </c>
      <c r="E130" s="97">
        <f>IF(ISNUMBER(D130), (D130 - $B130) / $B130, "")</f>
        <v>-1.1308562197092016E-2</v>
      </c>
      <c r="F130" s="98">
        <f>IF(ISNUMBER(D130), $B145 * E130, "")</f>
        <v>-1696.2843295638024</v>
      </c>
      <c r="G130" s="99"/>
      <c r="H130" s="97" t="str">
        <f>IF(ISNUMBER(G130), (G130 - $B130) / $B130, "")</f>
        <v/>
      </c>
      <c r="I130" s="100" t="str">
        <f>IF(ISNUMBER(G130), $B145 * H130, "")</f>
        <v/>
      </c>
      <c r="J130" s="96"/>
      <c r="K130" s="97" t="str">
        <f>IF(ISNUMBER(J130), (J130 - $B130) / $B130, "")</f>
        <v/>
      </c>
      <c r="L130" s="98" t="str">
        <f>IF(ISNUMBER(J130), $B145 * K130, "")</f>
        <v/>
      </c>
      <c r="M130" s="99"/>
      <c r="N130" s="97" t="str">
        <f>IF(ISNUMBER(M130), (M130 - $B130) / $B130, "")</f>
        <v/>
      </c>
      <c r="O130" s="98" t="str">
        <f>IF(ISNUMBER(M130), $B145 * N130, "")</f>
        <v/>
      </c>
      <c r="Q130" s="161"/>
      <c r="R130" s="161"/>
      <c r="S130" s="161"/>
    </row>
    <row r="131" spans="1:19" ht="17.25" thickBot="1">
      <c r="A131" s="109" t="s">
        <v>141</v>
      </c>
      <c r="B131" s="110">
        <v>3.08</v>
      </c>
      <c r="C131" s="70">
        <v>-2.5316455700000001E-2</v>
      </c>
      <c r="D131" s="15">
        <v>3.06</v>
      </c>
      <c r="E131" s="32">
        <f t="shared" ref="E131:E134" si="66">IF(ISNUMBER(D131), (D131 - $B131) / $B131, "")</f>
        <v>-6.4935064935064991E-3</v>
      </c>
      <c r="F131" s="18">
        <f>IF(ISNUMBER(D131), $B145 * E131, "")</f>
        <v>-974.02597402597485</v>
      </c>
      <c r="G131" s="31"/>
      <c r="H131" s="32" t="str">
        <f t="shared" ref="H131:H134" si="67">IF(ISNUMBER(G131), (G131 - $B131) / $B131, "")</f>
        <v/>
      </c>
      <c r="I131" s="9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61"/>
      <c r="R131" s="161"/>
      <c r="S131" s="161"/>
    </row>
    <row r="132" spans="1:19" ht="17.25" thickBot="1">
      <c r="A132" s="109" t="s">
        <v>212</v>
      </c>
      <c r="B132" s="110">
        <v>76.7</v>
      </c>
      <c r="C132" s="70">
        <v>-2.5412960599999999E-2</v>
      </c>
      <c r="D132" s="15">
        <v>75.7</v>
      </c>
      <c r="E132" s="32">
        <f t="shared" si="66"/>
        <v>-1.3037809647979138E-2</v>
      </c>
      <c r="F132" s="18">
        <f>IF(ISNUMBER(D132), $B145 * E132, "")</f>
        <v>-1955.6714471968708</v>
      </c>
      <c r="G132" s="31"/>
      <c r="H132" s="32" t="str">
        <f t="shared" si="67"/>
        <v/>
      </c>
      <c r="I132" s="9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61"/>
      <c r="R132" s="161"/>
      <c r="S132" s="161"/>
    </row>
    <row r="133" spans="1:19" ht="17.25" thickBot="1">
      <c r="A133" s="109" t="s">
        <v>126</v>
      </c>
      <c r="B133" s="110">
        <v>22.8</v>
      </c>
      <c r="C133" s="70">
        <v>-2.5641025599999999E-2</v>
      </c>
      <c r="D133" s="15">
        <v>22.7</v>
      </c>
      <c r="E133" s="32">
        <f t="shared" si="66"/>
        <v>-4.385964912280764E-3</v>
      </c>
      <c r="F133" s="18">
        <f>IF(ISNUMBER(D133), $B145 * E133, "")</f>
        <v>-657.89473684211464</v>
      </c>
      <c r="G133" s="31"/>
      <c r="H133" s="32" t="str">
        <f t="shared" si="67"/>
        <v/>
      </c>
      <c r="I133" s="9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14" t="s">
        <v>191</v>
      </c>
      <c r="B134" s="115">
        <v>50</v>
      </c>
      <c r="C134" s="72">
        <v>-2.72373541E-2</v>
      </c>
      <c r="D134" s="24">
        <v>48.8</v>
      </c>
      <c r="E134" s="25">
        <f t="shared" si="66"/>
        <v>-2.4000000000000056E-2</v>
      </c>
      <c r="F134" s="94">
        <f>IF(ISNUMBER(D134), $B145 * E134, "")</f>
        <v>-3600.0000000000082</v>
      </c>
      <c r="G134" s="92"/>
      <c r="H134" s="25" t="str">
        <f t="shared" si="67"/>
        <v/>
      </c>
      <c r="I134" s="93" t="str">
        <f>IF(ISNUMBER(G134), $B145 * H134, "")</f>
        <v/>
      </c>
      <c r="J134" s="24"/>
      <c r="K134" s="25" t="str">
        <f t="shared" si="68"/>
        <v/>
      </c>
      <c r="L134" s="94" t="str">
        <f>IF(ISNUMBER(J134), $B145 * K134, "")</f>
        <v/>
      </c>
      <c r="M134" s="92"/>
      <c r="N134" s="25" t="str">
        <f t="shared" si="69"/>
        <v/>
      </c>
      <c r="O134" s="94" t="str">
        <f>IF(ISNUMBER(M134), $B145 * N134, "")</f>
        <v/>
      </c>
      <c r="Q134" s="170"/>
      <c r="R134" s="171"/>
      <c r="S134" s="172"/>
    </row>
    <row r="135" spans="1:19">
      <c r="A135" s="107" t="s">
        <v>193</v>
      </c>
      <c r="B135" s="108">
        <v>16.899999999999999</v>
      </c>
      <c r="C135" s="69">
        <v>-2.87356322E-2</v>
      </c>
      <c r="D135" s="13">
        <v>16.899999999999999</v>
      </c>
      <c r="E135" s="14">
        <f>IF(ISNUMBER(D135), (D135 - $B135) / $B135, "")</f>
        <v>0</v>
      </c>
      <c r="F135" s="16">
        <f>IF(ISNUMBER(D135), $B145 * E135, "")</f>
        <v>0</v>
      </c>
      <c r="G135" s="29"/>
      <c r="H135" s="14" t="str">
        <f>IF(ISNUMBER(G135), (G135 - $B135) / $B135, "")</f>
        <v/>
      </c>
      <c r="I135" s="9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3"/>
      <c r="R135" s="174"/>
      <c r="S135" s="175"/>
    </row>
    <row r="136" spans="1:19" ht="17.25" thickBot="1">
      <c r="A136" s="109" t="s">
        <v>206</v>
      </c>
      <c r="B136" s="110">
        <v>3.17</v>
      </c>
      <c r="C136" s="70">
        <v>-3.0581039800000001E-2</v>
      </c>
      <c r="D136" s="15">
        <v>3.14</v>
      </c>
      <c r="E136" s="32">
        <f t="shared" ref="E136:E139" si="70">IF(ISNUMBER(D136), (D136 - $B136) / $B136, "")</f>
        <v>-9.4637223974762801E-3</v>
      </c>
      <c r="F136" s="18">
        <f>IF(ISNUMBER(D136), $B145 * E136, "")</f>
        <v>-1419.5583596214419</v>
      </c>
      <c r="G136" s="31"/>
      <c r="H136" s="32" t="str">
        <f t="shared" ref="H136:H139" si="71">IF(ISNUMBER(G136), (G136 - $B136) / $B136, "")</f>
        <v/>
      </c>
      <c r="I136" s="9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6"/>
      <c r="R136" s="177"/>
      <c r="S136" s="178"/>
    </row>
    <row r="137" spans="1:19" ht="17.25" thickBot="1">
      <c r="A137" s="109" t="s">
        <v>350</v>
      </c>
      <c r="B137" s="110">
        <v>6.1</v>
      </c>
      <c r="C137" s="70">
        <v>-3.1746031700000003E-2</v>
      </c>
      <c r="D137" s="15">
        <v>5.97</v>
      </c>
      <c r="E137" s="32">
        <f t="shared" si="70"/>
        <v>-2.131147540983605E-2</v>
      </c>
      <c r="F137" s="18">
        <f>IF(ISNUMBER(D137), $B145 * E137, "")</f>
        <v>-3196.7213114754077</v>
      </c>
      <c r="G137" s="31"/>
      <c r="H137" s="32" t="str">
        <f t="shared" si="71"/>
        <v/>
      </c>
      <c r="I137" s="9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61"/>
      <c r="R137" s="161"/>
      <c r="S137" s="161"/>
    </row>
    <row r="138" spans="1:19" ht="17.25" thickBot="1">
      <c r="A138" s="109" t="s">
        <v>326</v>
      </c>
      <c r="B138" s="110">
        <v>20.8</v>
      </c>
      <c r="C138" s="70">
        <v>-3.25581395E-2</v>
      </c>
      <c r="D138" s="15">
        <v>20.5</v>
      </c>
      <c r="E138" s="32">
        <f t="shared" si="70"/>
        <v>-1.4423076923076957E-2</v>
      </c>
      <c r="F138" s="18">
        <f>IF(ISNUMBER(D138), $B145 * E138, "")</f>
        <v>-2163.4615384615436</v>
      </c>
      <c r="G138" s="31"/>
      <c r="H138" s="32" t="str">
        <f t="shared" si="71"/>
        <v/>
      </c>
      <c r="I138" s="9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56"/>
      <c r="R138" s="156"/>
      <c r="S138" s="156"/>
    </row>
    <row r="139" spans="1:19" ht="17.25" thickBot="1">
      <c r="A139" s="111" t="s">
        <v>185</v>
      </c>
      <c r="B139" s="112">
        <v>26.4</v>
      </c>
      <c r="C139" s="71">
        <v>-3.2967033E-2</v>
      </c>
      <c r="D139" s="20">
        <v>26.4</v>
      </c>
      <c r="E139" s="21">
        <f t="shared" si="70"/>
        <v>0</v>
      </c>
      <c r="F139" s="22">
        <f>IF(ISNUMBER(D139), $B145 * E139, "")</f>
        <v>0</v>
      </c>
      <c r="G139" s="30"/>
      <c r="H139" s="21" t="str">
        <f t="shared" si="71"/>
        <v/>
      </c>
      <c r="I139" s="9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56"/>
      <c r="R139" s="156"/>
      <c r="S139" s="156"/>
    </row>
    <row r="140" spans="1:19" ht="17.25" thickBot="1">
      <c r="A140" s="109" t="s">
        <v>132</v>
      </c>
      <c r="B140" s="113">
        <v>46.9</v>
      </c>
      <c r="C140" s="73">
        <v>-3.2989690699999998E-2</v>
      </c>
      <c r="D140" s="96">
        <v>45.8</v>
      </c>
      <c r="E140" s="97">
        <f>IF(ISNUMBER(D140), (D140 - $B140) / $B140, "")</f>
        <v>-2.3454157782516024E-2</v>
      </c>
      <c r="F140" s="98">
        <f>IF(ISNUMBER(D140), $B145 * E140, "")</f>
        <v>-3518.1236673774038</v>
      </c>
      <c r="G140" s="99"/>
      <c r="H140" s="97" t="str">
        <f>IF(ISNUMBER(G140), (G140 - $B140) / $B140, "")</f>
        <v/>
      </c>
      <c r="I140" s="100" t="str">
        <f>IF(ISNUMBER(G140), $B145 * H140, "")</f>
        <v/>
      </c>
      <c r="J140" s="96"/>
      <c r="K140" s="97" t="str">
        <f>IF(ISNUMBER(J140), (J140 - $B140) / $B140, "")</f>
        <v/>
      </c>
      <c r="L140" s="98" t="str">
        <f>IF(ISNUMBER(J140), $B145 * K140, "")</f>
        <v/>
      </c>
      <c r="M140" s="99"/>
      <c r="N140" s="97" t="str">
        <f>IF(ISNUMBER(M140), (M140 - $B140) / $B140, "")</f>
        <v/>
      </c>
      <c r="O140" s="98" t="str">
        <f>IF(ISNUMBER(M140), $B145 * N140, "")</f>
        <v/>
      </c>
      <c r="Q140" s="161"/>
      <c r="R140" s="161"/>
      <c r="S140" s="161"/>
    </row>
    <row r="141" spans="1:19" ht="17.25" thickBot="1">
      <c r="A141" s="109" t="s">
        <v>143</v>
      </c>
      <c r="B141" s="110">
        <v>3.58</v>
      </c>
      <c r="C141" s="70">
        <v>-3.5040431300000001E-2</v>
      </c>
      <c r="D141" s="15">
        <v>3.55</v>
      </c>
      <c r="E141" s="32">
        <f t="shared" ref="E141:E144" si="74">IF(ISNUMBER(D141), (D141 - $B141) / $B141, "")</f>
        <v>-8.3798882681564938E-3</v>
      </c>
      <c r="F141" s="18">
        <f>IF(ISNUMBER(D141), $B145 * E141, "")</f>
        <v>-1256.983240223474</v>
      </c>
      <c r="G141" s="31"/>
      <c r="H141" s="32" t="str">
        <f t="shared" ref="H141:H144" si="75">IF(ISNUMBER(G141), (G141 - $B141) / $B141, "")</f>
        <v/>
      </c>
      <c r="I141" s="9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61"/>
      <c r="R141" s="161"/>
      <c r="S141" s="161"/>
    </row>
    <row r="142" spans="1:19" ht="17.25" thickBot="1">
      <c r="A142" s="109" t="s">
        <v>230</v>
      </c>
      <c r="B142" s="110">
        <v>36.799999999999997</v>
      </c>
      <c r="C142" s="70">
        <v>-3.9164490900000001E-2</v>
      </c>
      <c r="D142" s="15">
        <v>36.799999999999997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9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61"/>
      <c r="R142" s="161"/>
      <c r="S142" s="161"/>
    </row>
    <row r="143" spans="1:19">
      <c r="A143" s="109" t="s">
        <v>107</v>
      </c>
      <c r="B143" s="110">
        <v>36.700000000000003</v>
      </c>
      <c r="C143" s="70">
        <v>-4.1775456900000001E-2</v>
      </c>
      <c r="D143" s="15">
        <v>35.799999999999997</v>
      </c>
      <c r="E143" s="32">
        <f t="shared" si="74"/>
        <v>-2.4523160762942933E-2</v>
      </c>
      <c r="F143" s="18">
        <f>IF(ISNUMBER(D143), $B145 * E143, "")</f>
        <v>-3678.4741144414402</v>
      </c>
      <c r="G143" s="31"/>
      <c r="H143" s="32" t="str">
        <f t="shared" si="75"/>
        <v/>
      </c>
      <c r="I143" s="9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3"/>
      <c r="R143" s="184"/>
      <c r="S143" s="185"/>
    </row>
    <row r="144" spans="1:19" ht="17.25" thickBot="1">
      <c r="A144" s="114" t="s">
        <v>208</v>
      </c>
      <c r="B144" s="115">
        <v>96.6</v>
      </c>
      <c r="C144" s="72">
        <v>-5.2941176499999999E-2</v>
      </c>
      <c r="D144" s="24">
        <v>99.7</v>
      </c>
      <c r="E144" s="25">
        <f t="shared" si="74"/>
        <v>3.2091097308488706E-2</v>
      </c>
      <c r="F144" s="94">
        <f>IF(ISNUMBER(D144), $B145 * E144, "")</f>
        <v>4813.6645962733055</v>
      </c>
      <c r="G144" s="92"/>
      <c r="H144" s="25" t="str">
        <f t="shared" si="75"/>
        <v/>
      </c>
      <c r="I144" s="93" t="str">
        <f>IF(ISNUMBER(G144), $B145 * H144, "")</f>
        <v/>
      </c>
      <c r="J144" s="24"/>
      <c r="K144" s="25" t="str">
        <f t="shared" si="76"/>
        <v/>
      </c>
      <c r="L144" s="94" t="str">
        <f>IF(ISNUMBER(J144), $B145 * K144, "")</f>
        <v/>
      </c>
      <c r="M144" s="92"/>
      <c r="N144" s="25" t="str">
        <f t="shared" si="77"/>
        <v/>
      </c>
      <c r="O144" s="94" t="str">
        <f>IF(ISNUMBER(M144), $B145 * N144, "")</f>
        <v/>
      </c>
      <c r="Q144" s="186"/>
      <c r="R144" s="187"/>
      <c r="S144" s="188"/>
    </row>
    <row r="145" spans="1:19" ht="17.25" thickBot="1">
      <c r="A145" s="116" t="s">
        <v>260</v>
      </c>
      <c r="B145" s="194">
        <f>$B$37</f>
        <v>150000</v>
      </c>
      <c r="C145" s="195"/>
      <c r="D145" s="26" t="s">
        <v>261</v>
      </c>
      <c r="E145" s="27">
        <f>IF(COUNT(E125:E144), SUM(E125:E144) / COUNT(E125:E144), 0)</f>
        <v>-9.0156199220881392E-3</v>
      </c>
      <c r="F145" s="28">
        <f>SUM(F125:F144)</f>
        <v>-27046.859766264417</v>
      </c>
      <c r="G145" s="26" t="s">
        <v>261</v>
      </c>
      <c r="H145" s="27">
        <f>IF(COUNT(H125:H144), SUM(H125:H144) / COUNT(H125:H144), 0)</f>
        <v>0</v>
      </c>
      <c r="I145" s="28">
        <f>SUM(I125:I144)</f>
        <v>0</v>
      </c>
      <c r="J145" s="26" t="s">
        <v>261</v>
      </c>
      <c r="K145" s="27">
        <f>IF(COUNT(K125:K144), SUM(K125:K144) / COUNT(K125:K144), 0)</f>
        <v>0</v>
      </c>
      <c r="L145" s="28">
        <f>SUM(L125:L144)</f>
        <v>0</v>
      </c>
      <c r="M145" s="26" t="s">
        <v>261</v>
      </c>
      <c r="N145" s="27">
        <f>IF(COUNT(N125:N144), SUM(N125:N144) / COUNT(N125:N144), 0)</f>
        <v>0</v>
      </c>
      <c r="O145" s="28">
        <f>SUM(O125:O144)</f>
        <v>0</v>
      </c>
      <c r="Q145" s="189"/>
      <c r="R145" s="190"/>
      <c r="S145" s="191"/>
    </row>
    <row r="147" spans="1:19" ht="17.25" thickBot="1"/>
    <row r="148" spans="1:19" ht="17.25" thickBot="1">
      <c r="A148" s="135" t="s">
        <v>249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7"/>
      <c r="Q148" s="156"/>
      <c r="R148" s="156"/>
      <c r="S148" s="156"/>
    </row>
    <row r="149" spans="1:19" ht="17.25" thickBot="1">
      <c r="A149" s="9" t="s">
        <v>257</v>
      </c>
      <c r="B149" s="135" t="s">
        <v>49</v>
      </c>
      <c r="C149" s="137"/>
      <c r="D149" s="135" t="s">
        <v>57</v>
      </c>
      <c r="E149" s="136"/>
      <c r="F149" s="137"/>
      <c r="G149" s="162">
        <f>_xlfn.IFNA(VLOOKUP(B149, 현재가테이블!$B$2:$D$200, 2, FALSE), "-")</f>
        <v>21754000</v>
      </c>
      <c r="H149" s="163"/>
      <c r="I149" s="164"/>
      <c r="J149" s="135" t="s">
        <v>58</v>
      </c>
      <c r="K149" s="136"/>
      <c r="L149" s="137"/>
      <c r="M149" s="165">
        <f>_xlfn.IFNA(VLOOKUP(B149, 현재가테이블!$B$2:$D$200, 3, FALSE), "-")</f>
        <v>-4.3024533E-3</v>
      </c>
      <c r="N149" s="166"/>
      <c r="O149" s="167"/>
      <c r="Q149" s="156"/>
      <c r="R149" s="156"/>
      <c r="S149" s="156"/>
    </row>
    <row r="150" spans="1:19" ht="17.25" thickBot="1">
      <c r="A150" s="196" t="s">
        <v>54</v>
      </c>
      <c r="B150" s="198" t="str">
        <f>TEXT($G$1, "[$-ko-KR]yyyy-mm-dd(ddd) ") &amp; "오전 00:00"</f>
        <v>2022-12-26(월) 오전 00:00</v>
      </c>
      <c r="C150" s="199"/>
      <c r="D150" s="158" t="str">
        <f>TEXT($G$1, "[$-ko-KR]yyyy-mm-dd(ddd) ") &amp; "오후 14:00"</f>
        <v>2022-12-26(월) 오후 14:00</v>
      </c>
      <c r="E150" s="159"/>
      <c r="F150" s="160"/>
      <c r="G150" s="158" t="str">
        <f>TEXT($G$1, "[$-ko-KR]yyyy-mm-dd(ddd) ") &amp; "오후 19:00"</f>
        <v>2022-12-26(월) 오후 19:00</v>
      </c>
      <c r="H150" s="159"/>
      <c r="I150" s="160"/>
      <c r="J150" s="158" t="str">
        <f>TEXT($G$1, "[$-ko-KR]yyyy-mm-dd(ddd) ") &amp; "오후 21:00"</f>
        <v>2022-12-26(월) 오후 21:00</v>
      </c>
      <c r="K150" s="159"/>
      <c r="L150" s="160"/>
      <c r="M150" s="158" t="str">
        <f>TEXT($G$1+1, "[$-ko-KR]yyyy-mm-dd(ddd) ") &amp; "오전 00:00"</f>
        <v>2022-12-27(화) 오전 00:00</v>
      </c>
      <c r="N150" s="159"/>
      <c r="O150" s="160"/>
      <c r="Q150" s="156"/>
      <c r="R150" s="156"/>
      <c r="S150" s="156"/>
    </row>
    <row r="151" spans="1:19" ht="17.25" thickBot="1">
      <c r="A151" s="197"/>
      <c r="B151" s="105" t="s">
        <v>57</v>
      </c>
      <c r="C151" s="106" t="s">
        <v>58</v>
      </c>
      <c r="D151" s="2" t="s">
        <v>57</v>
      </c>
      <c r="E151" s="10" t="s">
        <v>258</v>
      </c>
      <c r="F151" s="11" t="s">
        <v>259</v>
      </c>
      <c r="G151" s="57" t="s">
        <v>57</v>
      </c>
      <c r="H151" s="58" t="s">
        <v>258</v>
      </c>
      <c r="I151" s="59" t="s">
        <v>259</v>
      </c>
      <c r="J151" s="10" t="s">
        <v>57</v>
      </c>
      <c r="K151" s="10" t="s">
        <v>258</v>
      </c>
      <c r="L151" s="60" t="s">
        <v>259</v>
      </c>
      <c r="M151" s="2" t="s">
        <v>57</v>
      </c>
      <c r="N151" s="10" t="s">
        <v>258</v>
      </c>
      <c r="O151" s="62" t="s">
        <v>259</v>
      </c>
      <c r="Q151" s="161"/>
      <c r="R151" s="161"/>
      <c r="S151" s="161"/>
    </row>
    <row r="152" spans="1:19" ht="17.25" thickBot="1">
      <c r="A152" s="107" t="s">
        <v>159</v>
      </c>
      <c r="B152" s="108">
        <v>155</v>
      </c>
      <c r="C152" s="69">
        <v>-2.5157232700000001E-2</v>
      </c>
      <c r="D152" s="13">
        <v>154</v>
      </c>
      <c r="E152" s="14">
        <f>IF(ISNUMBER(D152), (D152 - $B152) / $B152, "")</f>
        <v>-6.4516129032258064E-3</v>
      </c>
      <c r="F152" s="16">
        <f>IF(ISNUMBER(D152), $B172 * E152, "")</f>
        <v>-967.74193548387098</v>
      </c>
      <c r="G152" s="29"/>
      <c r="H152" s="14" t="str">
        <f>IF(ISNUMBER(G152), (G152 - $B152) / $B152, "")</f>
        <v/>
      </c>
      <c r="I152" s="9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56"/>
      <c r="R152" s="156"/>
      <c r="S152" s="156"/>
    </row>
    <row r="153" spans="1:19" ht="17.25" thickBot="1">
      <c r="A153" s="109" t="s">
        <v>111</v>
      </c>
      <c r="B153" s="110">
        <v>571</v>
      </c>
      <c r="C153" s="70">
        <v>-2.55972696E-2</v>
      </c>
      <c r="D153" s="15">
        <v>572</v>
      </c>
      <c r="E153" s="32">
        <f t="shared" ref="E153:E156" si="78">IF(ISNUMBER(D153), (D153 - $B153) / $B153, "")</f>
        <v>1.7513134851138354E-3</v>
      </c>
      <c r="F153" s="18">
        <f>IF(ISNUMBER(D153), $B172 * E153, "")</f>
        <v>262.69702276707528</v>
      </c>
      <c r="G153" s="31"/>
      <c r="H153" s="32" t="str">
        <f t="shared" ref="H153:H156" si="79">IF(ISNUMBER(G153), (G153 - $B153) / $B153, "")</f>
        <v/>
      </c>
      <c r="I153" s="9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56"/>
      <c r="R153" s="156"/>
      <c r="S153" s="156"/>
    </row>
    <row r="154" spans="1:19" ht="17.25" thickBot="1">
      <c r="A154" s="109" t="s">
        <v>161</v>
      </c>
      <c r="B154" s="110">
        <v>300</v>
      </c>
      <c r="C154" s="70">
        <v>-2.5974026000000001E-2</v>
      </c>
      <c r="D154" s="15">
        <v>292</v>
      </c>
      <c r="E154" s="32">
        <f t="shared" si="78"/>
        <v>-2.6666666666666668E-2</v>
      </c>
      <c r="F154" s="18">
        <f>IF(ISNUMBER(D154), $B172 * E154, "")</f>
        <v>-4000.0000000000005</v>
      </c>
      <c r="G154" s="31"/>
      <c r="H154" s="32" t="str">
        <f t="shared" si="79"/>
        <v/>
      </c>
      <c r="I154" s="9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61"/>
      <c r="R154" s="161"/>
      <c r="S154" s="161"/>
    </row>
    <row r="155" spans="1:19" ht="17.25" thickBot="1">
      <c r="A155" s="109" t="s">
        <v>120</v>
      </c>
      <c r="B155" s="110">
        <v>109</v>
      </c>
      <c r="C155" s="70">
        <v>-2.6785714299999999E-2</v>
      </c>
      <c r="D155" s="15">
        <v>108</v>
      </c>
      <c r="E155" s="32">
        <f t="shared" si="78"/>
        <v>-9.1743119266055051E-3</v>
      </c>
      <c r="F155" s="18">
        <f>IF(ISNUMBER(D155), $B172 * E155, "")</f>
        <v>-1376.1467889908258</v>
      </c>
      <c r="G155" s="31"/>
      <c r="H155" s="32" t="str">
        <f t="shared" si="79"/>
        <v/>
      </c>
      <c r="I155" s="9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61"/>
      <c r="R155" s="161"/>
      <c r="S155" s="161"/>
    </row>
    <row r="156" spans="1:19" ht="17.25" thickBot="1">
      <c r="A156" s="111" t="s">
        <v>352</v>
      </c>
      <c r="B156" s="112">
        <v>180</v>
      </c>
      <c r="C156" s="71">
        <v>-2.7027026999999999E-2</v>
      </c>
      <c r="D156" s="20">
        <v>176</v>
      </c>
      <c r="E156" s="21">
        <f t="shared" si="78"/>
        <v>-2.2222222222222223E-2</v>
      </c>
      <c r="F156" s="22">
        <f>IF(ISNUMBER(D156), $B172 * E156, "")</f>
        <v>-3333.3333333333335</v>
      </c>
      <c r="G156" s="30"/>
      <c r="H156" s="21" t="str">
        <f t="shared" si="79"/>
        <v/>
      </c>
      <c r="I156" s="9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61"/>
      <c r="R156" s="161"/>
      <c r="S156" s="161"/>
    </row>
    <row r="157" spans="1:19" ht="17.25" thickBot="1">
      <c r="A157" s="109" t="s">
        <v>242</v>
      </c>
      <c r="B157" s="113">
        <v>425</v>
      </c>
      <c r="C157" s="73">
        <v>-2.7459954200000001E-2</v>
      </c>
      <c r="D157" s="96">
        <v>420</v>
      </c>
      <c r="E157" s="97">
        <f>IF(ISNUMBER(D157), (D157 - $B157) / $B157, "")</f>
        <v>-1.1764705882352941E-2</v>
      </c>
      <c r="F157" s="98">
        <f>IF(ISNUMBER(D157), $B172 * E157, "")</f>
        <v>-1764.7058823529412</v>
      </c>
      <c r="G157" s="99"/>
      <c r="H157" s="97" t="str">
        <f>IF(ISNUMBER(G157), (G157 - $B157) / $B157, "")</f>
        <v/>
      </c>
      <c r="I157" s="100" t="str">
        <f>IF(ISNUMBER(G157), $B172 * H157, "")</f>
        <v/>
      </c>
      <c r="J157" s="96"/>
      <c r="K157" s="97" t="str">
        <f>IF(ISNUMBER(J157), (J157 - $B157) / $B157, "")</f>
        <v/>
      </c>
      <c r="L157" s="98" t="str">
        <f>IF(ISNUMBER(J157), $B172 * K157, "")</f>
        <v/>
      </c>
      <c r="M157" s="99"/>
      <c r="N157" s="97" t="str">
        <f>IF(ISNUMBER(M157), (M157 - $B157) / $B157, "")</f>
        <v/>
      </c>
      <c r="O157" s="98" t="str">
        <f>IF(ISNUMBER(M157), $B172 * N157, "")</f>
        <v/>
      </c>
      <c r="Q157" s="161"/>
      <c r="R157" s="161"/>
      <c r="S157" s="161"/>
    </row>
    <row r="158" spans="1:19" ht="17.25" thickBot="1">
      <c r="A158" s="109" t="s">
        <v>66</v>
      </c>
      <c r="B158" s="110">
        <v>654</v>
      </c>
      <c r="C158" s="70">
        <v>-2.8231797900000001E-2</v>
      </c>
      <c r="D158" s="15">
        <v>651</v>
      </c>
      <c r="E158" s="32">
        <f t="shared" ref="E158:E161" si="82">IF(ISNUMBER(D158), (D158 - $B158) / $B158, "")</f>
        <v>-4.5871559633027525E-3</v>
      </c>
      <c r="F158" s="18">
        <f>IF(ISNUMBER(D158), $B172 * E158, "")</f>
        <v>-688.07339449541291</v>
      </c>
      <c r="G158" s="31"/>
      <c r="H158" s="32" t="str">
        <f t="shared" ref="H158:H161" si="83">IF(ISNUMBER(G158), (G158 - $B158) / $B158, "")</f>
        <v/>
      </c>
      <c r="I158" s="9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61"/>
      <c r="R158" s="161"/>
      <c r="S158" s="161"/>
    </row>
    <row r="159" spans="1:19" ht="17.25" thickBot="1">
      <c r="A159" s="109" t="s">
        <v>153</v>
      </c>
      <c r="B159" s="110">
        <v>341</v>
      </c>
      <c r="C159" s="70">
        <v>-2.84900285E-2</v>
      </c>
      <c r="D159" s="15">
        <v>338</v>
      </c>
      <c r="E159" s="32">
        <f t="shared" si="82"/>
        <v>-8.7976539589442824E-3</v>
      </c>
      <c r="F159" s="18">
        <f>IF(ISNUMBER(D159), $B172 * E159, "")</f>
        <v>-1319.6480938416423</v>
      </c>
      <c r="G159" s="31"/>
      <c r="H159" s="32" t="str">
        <f t="shared" si="83"/>
        <v/>
      </c>
      <c r="I159" s="9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61"/>
      <c r="R159" s="161"/>
      <c r="S159" s="161"/>
    </row>
    <row r="160" spans="1:19" ht="17.25" thickBot="1">
      <c r="A160" s="109" t="s">
        <v>202</v>
      </c>
      <c r="B160" s="110">
        <v>303</v>
      </c>
      <c r="C160" s="70">
        <v>-2.88461538E-2</v>
      </c>
      <c r="D160" s="15">
        <v>297</v>
      </c>
      <c r="E160" s="32">
        <f t="shared" si="82"/>
        <v>-1.9801980198019802E-2</v>
      </c>
      <c r="F160" s="18">
        <f>IF(ISNUMBER(D160), $B172 * E160, "")</f>
        <v>-2970.2970297029701</v>
      </c>
      <c r="G160" s="31"/>
      <c r="H160" s="32" t="str">
        <f t="shared" si="83"/>
        <v/>
      </c>
      <c r="I160" s="9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14" t="s">
        <v>232</v>
      </c>
      <c r="B161" s="115">
        <v>255</v>
      </c>
      <c r="C161" s="72">
        <v>-3.0418251E-2</v>
      </c>
      <c r="D161" s="24">
        <v>250</v>
      </c>
      <c r="E161" s="25">
        <f t="shared" si="82"/>
        <v>-1.9607843137254902E-2</v>
      </c>
      <c r="F161" s="94">
        <f>IF(ISNUMBER(D161), $B172 * E161, "")</f>
        <v>-2941.1764705882351</v>
      </c>
      <c r="G161" s="92"/>
      <c r="H161" s="25" t="str">
        <f t="shared" si="83"/>
        <v/>
      </c>
      <c r="I161" s="93" t="str">
        <f>IF(ISNUMBER(G161), $B172 * H161, "")</f>
        <v/>
      </c>
      <c r="J161" s="24"/>
      <c r="K161" s="25" t="str">
        <f t="shared" si="84"/>
        <v/>
      </c>
      <c r="L161" s="94" t="str">
        <f>IF(ISNUMBER(J161), $B172 * K161, "")</f>
        <v/>
      </c>
      <c r="M161" s="92"/>
      <c r="N161" s="25" t="str">
        <f t="shared" si="85"/>
        <v/>
      </c>
      <c r="O161" s="94" t="str">
        <f>IF(ISNUMBER(M161), $B172 * N161, "")</f>
        <v/>
      </c>
      <c r="Q161" s="170"/>
      <c r="R161" s="171"/>
      <c r="S161" s="172"/>
    </row>
    <row r="162" spans="1:19">
      <c r="A162" s="107" t="s">
        <v>116</v>
      </c>
      <c r="B162" s="108">
        <v>953</v>
      </c>
      <c r="C162" s="69">
        <v>-3.0518819900000001E-2</v>
      </c>
      <c r="D162" s="13">
        <v>967</v>
      </c>
      <c r="E162" s="14">
        <f>IF(ISNUMBER(D162), (D162 - $B162) / $B162, "")</f>
        <v>1.4690451206715634E-2</v>
      </c>
      <c r="F162" s="16">
        <f>IF(ISNUMBER(D162), $B172 * E162, "")</f>
        <v>2203.5676810073451</v>
      </c>
      <c r="G162" s="29"/>
      <c r="H162" s="14" t="str">
        <f>IF(ISNUMBER(G162), (G162 - $B162) / $B162, "")</f>
        <v/>
      </c>
      <c r="I162" s="9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3"/>
      <c r="R162" s="174"/>
      <c r="S162" s="175"/>
    </row>
    <row r="163" spans="1:19" ht="17.25" thickBot="1">
      <c r="A163" s="109" t="s">
        <v>183</v>
      </c>
      <c r="B163" s="110">
        <v>126</v>
      </c>
      <c r="C163" s="70">
        <v>-3.0769230799999998E-2</v>
      </c>
      <c r="D163" s="15">
        <v>126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/>
      <c r="H163" s="32" t="str">
        <f t="shared" ref="H163:H166" si="87">IF(ISNUMBER(G163), (G163 - $B163) / $B163, "")</f>
        <v/>
      </c>
      <c r="I163" s="9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6"/>
      <c r="R163" s="177"/>
      <c r="S163" s="178"/>
    </row>
    <row r="164" spans="1:19" ht="17.25" thickBot="1">
      <c r="A164" s="109" t="s">
        <v>103</v>
      </c>
      <c r="B164" s="110">
        <v>213</v>
      </c>
      <c r="C164" s="70">
        <v>-3.1818181799999998E-2</v>
      </c>
      <c r="D164" s="15">
        <v>213</v>
      </c>
      <c r="E164" s="32">
        <f t="shared" si="86"/>
        <v>0</v>
      </c>
      <c r="F164" s="18">
        <f>IF(ISNUMBER(D164), $B172 * E164, "")</f>
        <v>0</v>
      </c>
      <c r="G164" s="31"/>
      <c r="H164" s="32" t="str">
        <f t="shared" si="87"/>
        <v/>
      </c>
      <c r="I164" s="9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61"/>
      <c r="R164" s="161"/>
      <c r="S164" s="161"/>
    </row>
    <row r="165" spans="1:19" ht="17.25" thickBot="1">
      <c r="A165" s="109" t="s">
        <v>216</v>
      </c>
      <c r="B165" s="110">
        <v>453</v>
      </c>
      <c r="C165" s="70">
        <v>-3.6170212799999997E-2</v>
      </c>
      <c r="D165" s="15">
        <v>448</v>
      </c>
      <c r="E165" s="32">
        <f t="shared" si="86"/>
        <v>-1.1037527593818985E-2</v>
      </c>
      <c r="F165" s="18">
        <f>IF(ISNUMBER(D165), $B172 * E165, "")</f>
        <v>-1655.6291390728479</v>
      </c>
      <c r="G165" s="31"/>
      <c r="H165" s="32" t="str">
        <f t="shared" si="87"/>
        <v/>
      </c>
      <c r="I165" s="9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56"/>
      <c r="R165" s="156"/>
      <c r="S165" s="156"/>
    </row>
    <row r="166" spans="1:19" ht="17.25" thickBot="1">
      <c r="A166" s="111" t="s">
        <v>226</v>
      </c>
      <c r="B166" s="112">
        <v>207</v>
      </c>
      <c r="C166" s="71">
        <v>-3.7209302299999997E-2</v>
      </c>
      <c r="D166" s="20">
        <v>205</v>
      </c>
      <c r="E166" s="21">
        <f t="shared" si="86"/>
        <v>-9.6618357487922701E-3</v>
      </c>
      <c r="F166" s="22">
        <f>IF(ISNUMBER(D166), $B172 * E166, "")</f>
        <v>-1449.2753623188405</v>
      </c>
      <c r="G166" s="30"/>
      <c r="H166" s="21" t="str">
        <f t="shared" si="87"/>
        <v/>
      </c>
      <c r="I166" s="9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56"/>
      <c r="R166" s="156"/>
      <c r="S166" s="156"/>
    </row>
    <row r="167" spans="1:19" ht="17.25" thickBot="1">
      <c r="A167" s="109" t="s">
        <v>218</v>
      </c>
      <c r="B167" s="113">
        <v>308</v>
      </c>
      <c r="C167" s="73">
        <v>-3.7499999999999999E-2</v>
      </c>
      <c r="D167" s="96">
        <v>306</v>
      </c>
      <c r="E167" s="97">
        <f>IF(ISNUMBER(D167), (D167 - $B167) / $B167, "")</f>
        <v>-6.4935064935064939E-3</v>
      </c>
      <c r="F167" s="98">
        <f>IF(ISNUMBER(D167), $B172 * E167, "")</f>
        <v>-974.02597402597405</v>
      </c>
      <c r="G167" s="99"/>
      <c r="H167" s="97" t="str">
        <f>IF(ISNUMBER(G167), (G167 - $B167) / $B167, "")</f>
        <v/>
      </c>
      <c r="I167" s="100" t="str">
        <f>IF(ISNUMBER(G167), $B172 * H167, "")</f>
        <v/>
      </c>
      <c r="J167" s="96"/>
      <c r="K167" s="97" t="str">
        <f>IF(ISNUMBER(J167), (J167 - $B167) / $B167, "")</f>
        <v/>
      </c>
      <c r="L167" s="98" t="str">
        <f>IF(ISNUMBER(J167), $B172 * K167, "")</f>
        <v/>
      </c>
      <c r="M167" s="99"/>
      <c r="N167" s="97" t="str">
        <f>IF(ISNUMBER(M167), (M167 - $B167) / $B167, "")</f>
        <v/>
      </c>
      <c r="O167" s="98" t="str">
        <f>IF(ISNUMBER(M167), $B172 * N167, "")</f>
        <v/>
      </c>
      <c r="Q167" s="161"/>
      <c r="R167" s="161"/>
      <c r="S167" s="161"/>
    </row>
    <row r="168" spans="1:19" ht="17.25" thickBot="1">
      <c r="A168" s="109" t="s">
        <v>204</v>
      </c>
      <c r="B168" s="110">
        <v>202</v>
      </c>
      <c r="C168" s="70">
        <v>-3.8095238099999998E-2</v>
      </c>
      <c r="D168" s="15">
        <v>199</v>
      </c>
      <c r="E168" s="32">
        <f t="shared" ref="E168:E171" si="90">IF(ISNUMBER(D168), (D168 - $B168) / $B168, "")</f>
        <v>-1.4851485148514851E-2</v>
      </c>
      <c r="F168" s="18">
        <f>IF(ISNUMBER(D168), $B172 * E168, "")</f>
        <v>-2227.7227722772277</v>
      </c>
      <c r="G168" s="31"/>
      <c r="H168" s="32" t="str">
        <f t="shared" ref="H168:H171" si="91">IF(ISNUMBER(G168), (G168 - $B168) / $B168, "")</f>
        <v/>
      </c>
      <c r="I168" s="9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61"/>
      <c r="R168" s="161"/>
      <c r="S168" s="161"/>
    </row>
    <row r="169" spans="1:19" ht="17.25" thickBot="1">
      <c r="A169" s="109" t="s">
        <v>234</v>
      </c>
      <c r="B169" s="110">
        <v>340</v>
      </c>
      <c r="C169" s="70">
        <v>-3.9548022600000003E-2</v>
      </c>
      <c r="D169" s="15">
        <v>332</v>
      </c>
      <c r="E169" s="32">
        <f t="shared" si="90"/>
        <v>-2.3529411764705882E-2</v>
      </c>
      <c r="F169" s="18">
        <f>IF(ISNUMBER(D169), $B172 * E169, "")</f>
        <v>-3529.4117647058824</v>
      </c>
      <c r="G169" s="31"/>
      <c r="H169" s="32" t="str">
        <f t="shared" si="91"/>
        <v/>
      </c>
      <c r="I169" s="9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61"/>
      <c r="R169" s="161"/>
      <c r="S169" s="161"/>
    </row>
    <row r="170" spans="1:19">
      <c r="A170" s="109" t="s">
        <v>222</v>
      </c>
      <c r="B170" s="110">
        <v>389</v>
      </c>
      <c r="C170" s="70">
        <v>-4.6568627500000001E-2</v>
      </c>
      <c r="D170" s="15">
        <v>379</v>
      </c>
      <c r="E170" s="32">
        <f t="shared" si="90"/>
        <v>-2.570694087403599E-2</v>
      </c>
      <c r="F170" s="18">
        <f>IF(ISNUMBER(D170), $B172 * E170, "")</f>
        <v>-3856.0411311053986</v>
      </c>
      <c r="G170" s="31"/>
      <c r="H170" s="32" t="str">
        <f t="shared" si="91"/>
        <v/>
      </c>
      <c r="I170" s="9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3"/>
      <c r="R170" s="184"/>
      <c r="S170" s="185"/>
    </row>
    <row r="171" spans="1:19" ht="17.25" thickBot="1">
      <c r="A171" s="114" t="s">
        <v>176</v>
      </c>
      <c r="B171" s="115">
        <v>303</v>
      </c>
      <c r="C171" s="72">
        <v>-5.0156739800000003E-2</v>
      </c>
      <c r="D171" s="24">
        <v>297</v>
      </c>
      <c r="E171" s="25">
        <f t="shared" si="90"/>
        <v>-1.9801980198019802E-2</v>
      </c>
      <c r="F171" s="94">
        <f>IF(ISNUMBER(D171), $B172 * E171, "")</f>
        <v>-2970.2970297029701</v>
      </c>
      <c r="G171" s="92"/>
      <c r="H171" s="25" t="str">
        <f t="shared" si="91"/>
        <v/>
      </c>
      <c r="I171" s="93" t="str">
        <f>IF(ISNUMBER(G171), $B172 * H171, "")</f>
        <v/>
      </c>
      <c r="J171" s="24"/>
      <c r="K171" s="25" t="str">
        <f t="shared" si="92"/>
        <v/>
      </c>
      <c r="L171" s="94" t="str">
        <f>IF(ISNUMBER(J171), $B172 * K171, "")</f>
        <v/>
      </c>
      <c r="M171" s="92"/>
      <c r="N171" s="25" t="str">
        <f t="shared" si="93"/>
        <v/>
      </c>
      <c r="O171" s="94" t="str">
        <f>IF(ISNUMBER(M171), $B172 * N171, "")</f>
        <v/>
      </c>
      <c r="Q171" s="186"/>
      <c r="R171" s="187"/>
      <c r="S171" s="188"/>
    </row>
    <row r="172" spans="1:19" ht="17.25" thickBot="1">
      <c r="A172" s="116" t="s">
        <v>260</v>
      </c>
      <c r="B172" s="194">
        <f>$B$37</f>
        <v>150000</v>
      </c>
      <c r="C172" s="195"/>
      <c r="D172" s="26" t="s">
        <v>261</v>
      </c>
      <c r="E172" s="27">
        <f>IF(COUNT(E152:E171), SUM(E152:E171) / COUNT(E152:E171), 0)</f>
        <v>-1.1185753799407984E-2</v>
      </c>
      <c r="F172" s="28">
        <f>SUM(F152:F171)</f>
        <v>-33557.261398223949</v>
      </c>
      <c r="G172" s="26" t="s">
        <v>261</v>
      </c>
      <c r="H172" s="27">
        <f>IF(COUNT(H152:H171), SUM(H152:H171) / COUNT(H152:H171), 0)</f>
        <v>0</v>
      </c>
      <c r="I172" s="28">
        <f>SUM(I152:I171)</f>
        <v>0</v>
      </c>
      <c r="J172" s="26" t="s">
        <v>261</v>
      </c>
      <c r="K172" s="27">
        <f>IF(COUNT(K152:K171), SUM(K152:K171) / COUNT(K152:K171), 0)</f>
        <v>0</v>
      </c>
      <c r="L172" s="28">
        <f>SUM(L152:L171)</f>
        <v>0</v>
      </c>
      <c r="M172" s="26" t="s">
        <v>261</v>
      </c>
      <c r="N172" s="27">
        <f>IF(COUNT(N152:N171), SUM(N152:N171) / COUNT(N152:N171), 0)</f>
        <v>0</v>
      </c>
      <c r="O172" s="28">
        <f>SUM(O152:O171)</f>
        <v>0</v>
      </c>
      <c r="Q172" s="189"/>
      <c r="R172" s="190"/>
      <c r="S172" s="191"/>
    </row>
    <row r="174" spans="1:19" ht="17.25" thickBot="1"/>
    <row r="175" spans="1:19" ht="17.25" thickBot="1">
      <c r="A175" s="135" t="s">
        <v>245</v>
      </c>
      <c r="B175" s="136"/>
      <c r="C175" s="136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7"/>
      <c r="Q175" s="156"/>
      <c r="R175" s="156"/>
      <c r="S175" s="156"/>
    </row>
    <row r="176" spans="1:19" ht="17.25" thickBot="1">
      <c r="A176" s="9" t="s">
        <v>257</v>
      </c>
      <c r="B176" s="135" t="s">
        <v>49</v>
      </c>
      <c r="C176" s="137"/>
      <c r="D176" s="135" t="s">
        <v>57</v>
      </c>
      <c r="E176" s="136"/>
      <c r="F176" s="137"/>
      <c r="G176" s="162">
        <f>_xlfn.IFNA(VLOOKUP(B176, 현재가테이블!$B$2:$D$200, 2, FALSE), "-")</f>
        <v>21754000</v>
      </c>
      <c r="H176" s="163"/>
      <c r="I176" s="164"/>
      <c r="J176" s="135" t="s">
        <v>58</v>
      </c>
      <c r="K176" s="136"/>
      <c r="L176" s="137"/>
      <c r="M176" s="165">
        <f>_xlfn.IFNA(VLOOKUP(B176, 현재가테이블!$B$2:$D$200, 3, FALSE), "-")</f>
        <v>-4.3024533E-3</v>
      </c>
      <c r="N176" s="166"/>
      <c r="O176" s="167"/>
      <c r="Q176" s="156"/>
      <c r="R176" s="156"/>
      <c r="S176" s="156"/>
    </row>
    <row r="177" spans="1:19" ht="17.25" thickBot="1">
      <c r="A177" s="196" t="s">
        <v>54</v>
      </c>
      <c r="B177" s="198" t="str">
        <f>TEXT($G$1, "[$-ko-KR]yyyy-mm-dd(ddd) ") &amp; "오전 00:00"</f>
        <v>2022-12-26(월) 오전 00:00</v>
      </c>
      <c r="C177" s="199"/>
      <c r="D177" s="158" t="str">
        <f>TEXT($G$1, "[$-ko-KR]yyyy-mm-dd(ddd) ") &amp; "오후 14:00"</f>
        <v>2022-12-26(월) 오후 14:00</v>
      </c>
      <c r="E177" s="159"/>
      <c r="F177" s="160"/>
      <c r="G177" s="158" t="str">
        <f>TEXT($G$1, "[$-ko-KR]yyyy-mm-dd(ddd) ") &amp; "오후 19:00"</f>
        <v>2022-12-26(월) 오후 19:00</v>
      </c>
      <c r="H177" s="159"/>
      <c r="I177" s="160"/>
      <c r="J177" s="158" t="str">
        <f>TEXT($G$1, "[$-ko-KR]yyyy-mm-dd(ddd) ") &amp; "오후 21:00"</f>
        <v>2022-12-26(월) 오후 21:00</v>
      </c>
      <c r="K177" s="159"/>
      <c r="L177" s="160"/>
      <c r="M177" s="158" t="str">
        <f>TEXT($G$1+1, "[$-ko-KR]yyyy-mm-dd(ddd) ") &amp; "오전 00:00"</f>
        <v>2022-12-27(화) 오전 00:00</v>
      </c>
      <c r="N177" s="159"/>
      <c r="O177" s="160"/>
      <c r="Q177" s="156"/>
      <c r="R177" s="156"/>
      <c r="S177" s="156"/>
    </row>
    <row r="178" spans="1:19" ht="17.25" thickBot="1">
      <c r="A178" s="197"/>
      <c r="B178" s="105" t="s">
        <v>57</v>
      </c>
      <c r="C178" s="106" t="s">
        <v>58</v>
      </c>
      <c r="D178" s="2" t="s">
        <v>57</v>
      </c>
      <c r="E178" s="10" t="s">
        <v>258</v>
      </c>
      <c r="F178" s="11" t="s">
        <v>259</v>
      </c>
      <c r="G178" s="57" t="s">
        <v>57</v>
      </c>
      <c r="H178" s="58" t="s">
        <v>258</v>
      </c>
      <c r="I178" s="59" t="s">
        <v>259</v>
      </c>
      <c r="J178" s="10" t="s">
        <v>57</v>
      </c>
      <c r="K178" s="10" t="s">
        <v>258</v>
      </c>
      <c r="L178" s="60" t="s">
        <v>259</v>
      </c>
      <c r="M178" s="2" t="s">
        <v>57</v>
      </c>
      <c r="N178" s="10" t="s">
        <v>258</v>
      </c>
      <c r="O178" s="62" t="s">
        <v>259</v>
      </c>
      <c r="Q178" s="161"/>
      <c r="R178" s="161"/>
      <c r="S178" s="161"/>
    </row>
    <row r="179" spans="1:19" ht="17.25" thickBot="1">
      <c r="A179" s="107" t="s">
        <v>183</v>
      </c>
      <c r="B179" s="108">
        <v>126</v>
      </c>
      <c r="C179" s="69">
        <v>-3.0769230799999998E-2</v>
      </c>
      <c r="D179" s="13">
        <v>126</v>
      </c>
      <c r="E179" s="14">
        <f>IF(ISNUMBER(D179), (D179 - $B179) / $B179, "")</f>
        <v>0</v>
      </c>
      <c r="F179" s="16">
        <f>IF(ISNUMBER(D179), $B199 * E179, "")</f>
        <v>0</v>
      </c>
      <c r="G179" s="29"/>
      <c r="H179" s="14" t="str">
        <f>IF(ISNUMBER(G179), (G179 - $B179) / $B179, "")</f>
        <v/>
      </c>
      <c r="I179" s="9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56"/>
      <c r="R179" s="156"/>
      <c r="S179" s="156"/>
    </row>
    <row r="180" spans="1:19" ht="17.25" thickBot="1">
      <c r="A180" s="109" t="s">
        <v>350</v>
      </c>
      <c r="B180" s="110">
        <v>6.1</v>
      </c>
      <c r="C180" s="70">
        <v>-3.1746031700000003E-2</v>
      </c>
      <c r="D180" s="15">
        <v>5.97</v>
      </c>
      <c r="E180" s="32">
        <f t="shared" ref="E180:E183" si="94">IF(ISNUMBER(D180), (D180 - $B180) / $B180, "")</f>
        <v>-2.131147540983605E-2</v>
      </c>
      <c r="F180" s="18">
        <f>IF(ISNUMBER(D180), $B199 * E180, "")</f>
        <v>-3196.7213114754077</v>
      </c>
      <c r="G180" s="31"/>
      <c r="H180" s="32" t="str">
        <f t="shared" ref="H180:H183" si="95">IF(ISNUMBER(G180), (G180 - $B180) / $B180, "")</f>
        <v/>
      </c>
      <c r="I180" s="9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56"/>
      <c r="R180" s="156"/>
      <c r="S180" s="156"/>
    </row>
    <row r="181" spans="1:19" ht="17.25" thickBot="1">
      <c r="A181" s="109" t="s">
        <v>103</v>
      </c>
      <c r="B181" s="110">
        <v>213</v>
      </c>
      <c r="C181" s="70">
        <v>-3.1818181799999998E-2</v>
      </c>
      <c r="D181" s="15">
        <v>213</v>
      </c>
      <c r="E181" s="32">
        <f t="shared" si="94"/>
        <v>0</v>
      </c>
      <c r="F181" s="18">
        <f>IF(ISNUMBER(D181), $B199 * E181, "")</f>
        <v>0</v>
      </c>
      <c r="G181" s="31"/>
      <c r="H181" s="32" t="str">
        <f t="shared" si="95"/>
        <v/>
      </c>
      <c r="I181" s="9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61"/>
      <c r="R181" s="161"/>
      <c r="S181" s="161"/>
    </row>
    <row r="182" spans="1:19" ht="17.25" thickBot="1">
      <c r="A182" s="109" t="s">
        <v>326</v>
      </c>
      <c r="B182" s="110">
        <v>20.8</v>
      </c>
      <c r="C182" s="70">
        <v>-3.25581395E-2</v>
      </c>
      <c r="D182" s="15">
        <v>20.5</v>
      </c>
      <c r="E182" s="32">
        <f t="shared" si="94"/>
        <v>-1.4423076923076957E-2</v>
      </c>
      <c r="F182" s="18">
        <f>IF(ISNUMBER(D182), $B199 * E182, "")</f>
        <v>-2163.4615384615436</v>
      </c>
      <c r="G182" s="31"/>
      <c r="H182" s="32" t="str">
        <f t="shared" si="95"/>
        <v/>
      </c>
      <c r="I182" s="9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61"/>
      <c r="R182" s="161"/>
      <c r="S182" s="161"/>
    </row>
    <row r="183" spans="1:19" ht="17.25" thickBot="1">
      <c r="A183" s="111" t="s">
        <v>113</v>
      </c>
      <c r="B183" s="112">
        <v>1320</v>
      </c>
      <c r="C183" s="71">
        <v>-3.2967033E-2</v>
      </c>
      <c r="D183" s="20">
        <v>1270</v>
      </c>
      <c r="E183" s="21">
        <f t="shared" si="94"/>
        <v>-3.787878787878788E-2</v>
      </c>
      <c r="F183" s="22">
        <f>IF(ISNUMBER(D183), $B199 * E183, "")</f>
        <v>-5681.818181818182</v>
      </c>
      <c r="G183" s="30"/>
      <c r="H183" s="21" t="str">
        <f t="shared" si="95"/>
        <v/>
      </c>
      <c r="I183" s="9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61"/>
      <c r="R183" s="161"/>
      <c r="S183" s="161"/>
    </row>
    <row r="184" spans="1:19" ht="17.25" thickBot="1">
      <c r="A184" s="109" t="s">
        <v>185</v>
      </c>
      <c r="B184" s="113">
        <v>26.4</v>
      </c>
      <c r="C184" s="73">
        <v>-3.2967033E-2</v>
      </c>
      <c r="D184" s="96">
        <v>26.4</v>
      </c>
      <c r="E184" s="97">
        <f>IF(ISNUMBER(D184), (D184 - $B184) / $B184, "")</f>
        <v>0</v>
      </c>
      <c r="F184" s="98">
        <f>IF(ISNUMBER(D184), $B199 * E184, "")</f>
        <v>0</v>
      </c>
      <c r="G184" s="99"/>
      <c r="H184" s="97" t="str">
        <f>IF(ISNUMBER(G184), (G184 - $B184) / $B184, "")</f>
        <v/>
      </c>
      <c r="I184" s="100" t="str">
        <f>IF(ISNUMBER(G184), $B199 * H184, "")</f>
        <v/>
      </c>
      <c r="J184" s="96"/>
      <c r="K184" s="97" t="str">
        <f>IF(ISNUMBER(J184), (J184 - $B184) / $B184, "")</f>
        <v/>
      </c>
      <c r="L184" s="98" t="str">
        <f>IF(ISNUMBER(J184), $B199 * K184, "")</f>
        <v/>
      </c>
      <c r="M184" s="99"/>
      <c r="N184" s="97" t="str">
        <f>IF(ISNUMBER(M184), (M184 - $B184) / $B184, "")</f>
        <v/>
      </c>
      <c r="O184" s="98" t="str">
        <f>IF(ISNUMBER(M184), $B199 * N184, "")</f>
        <v/>
      </c>
      <c r="Q184" s="161"/>
      <c r="R184" s="161"/>
      <c r="S184" s="161"/>
    </row>
    <row r="185" spans="1:19" ht="17.25" thickBot="1">
      <c r="A185" s="109" t="s">
        <v>132</v>
      </c>
      <c r="B185" s="110">
        <v>46.9</v>
      </c>
      <c r="C185" s="70">
        <v>-3.2989690699999998E-2</v>
      </c>
      <c r="D185" s="15">
        <v>45.8</v>
      </c>
      <c r="E185" s="32">
        <f t="shared" ref="E185:E188" si="98">IF(ISNUMBER(D185), (D185 - $B185) / $B185, "")</f>
        <v>-2.3454157782516024E-2</v>
      </c>
      <c r="F185" s="18">
        <f>IF(ISNUMBER(D185), $B199 * E185, "")</f>
        <v>-3518.1236673774038</v>
      </c>
      <c r="G185" s="31"/>
      <c r="H185" s="32" t="str">
        <f t="shared" ref="H185:H188" si="99">IF(ISNUMBER(G185), (G185 - $B185) / $B185, "")</f>
        <v/>
      </c>
      <c r="I185" s="9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61"/>
      <c r="R185" s="161"/>
      <c r="S185" s="161"/>
    </row>
    <row r="186" spans="1:19" ht="17.25" thickBot="1">
      <c r="A186" s="109" t="s">
        <v>143</v>
      </c>
      <c r="B186" s="110">
        <v>3.58</v>
      </c>
      <c r="C186" s="70">
        <v>-3.5040431300000001E-2</v>
      </c>
      <c r="D186" s="15">
        <v>3.55</v>
      </c>
      <c r="E186" s="32">
        <f t="shared" si="98"/>
        <v>-8.3798882681564938E-3</v>
      </c>
      <c r="F186" s="18">
        <f>IF(ISNUMBER(D186), $B199 * E186, "")</f>
        <v>-1256.983240223474</v>
      </c>
      <c r="G186" s="31"/>
      <c r="H186" s="32" t="str">
        <f t="shared" si="99"/>
        <v/>
      </c>
      <c r="I186" s="9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61"/>
      <c r="R186" s="161"/>
      <c r="S186" s="161"/>
    </row>
    <row r="187" spans="1:19" ht="17.25" thickBot="1">
      <c r="A187" s="109" t="s">
        <v>216</v>
      </c>
      <c r="B187" s="110">
        <v>453</v>
      </c>
      <c r="C187" s="70">
        <v>-3.6170212799999997E-2</v>
      </c>
      <c r="D187" s="15">
        <v>448</v>
      </c>
      <c r="E187" s="32">
        <f t="shared" si="98"/>
        <v>-1.1037527593818985E-2</v>
      </c>
      <c r="F187" s="18">
        <f>IF(ISNUMBER(D187), $B199 * E187, "")</f>
        <v>-1655.6291390728479</v>
      </c>
      <c r="G187" s="31"/>
      <c r="H187" s="32" t="str">
        <f t="shared" si="99"/>
        <v/>
      </c>
      <c r="I187" s="9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14" t="s">
        <v>344</v>
      </c>
      <c r="B188" s="115">
        <v>4645</v>
      </c>
      <c r="C188" s="72">
        <v>-3.6307053899999997E-2</v>
      </c>
      <c r="D188" s="24">
        <v>4655</v>
      </c>
      <c r="E188" s="25">
        <f t="shared" si="98"/>
        <v>2.1528525296017221E-3</v>
      </c>
      <c r="F188" s="94">
        <f>IF(ISNUMBER(D188), $B199 * E188, "")</f>
        <v>322.92787944025832</v>
      </c>
      <c r="G188" s="92"/>
      <c r="H188" s="25" t="str">
        <f t="shared" si="99"/>
        <v/>
      </c>
      <c r="I188" s="93" t="str">
        <f>IF(ISNUMBER(G188), $B199 * H188, "")</f>
        <v/>
      </c>
      <c r="J188" s="24"/>
      <c r="K188" s="25" t="str">
        <f t="shared" si="100"/>
        <v/>
      </c>
      <c r="L188" s="94" t="str">
        <f>IF(ISNUMBER(J188), $B199 * K188, "")</f>
        <v/>
      </c>
      <c r="M188" s="92"/>
      <c r="N188" s="25" t="str">
        <f t="shared" si="101"/>
        <v/>
      </c>
      <c r="O188" s="94" t="str">
        <f>IF(ISNUMBER(M188), $B199 * N188, "")</f>
        <v/>
      </c>
      <c r="Q188" s="170"/>
      <c r="R188" s="171"/>
      <c r="S188" s="172"/>
    </row>
    <row r="189" spans="1:19">
      <c r="A189" s="107" t="s">
        <v>226</v>
      </c>
      <c r="B189" s="108">
        <v>207</v>
      </c>
      <c r="C189" s="69">
        <v>-3.7209302299999997E-2</v>
      </c>
      <c r="D189" s="13">
        <v>205</v>
      </c>
      <c r="E189" s="14">
        <f>IF(ISNUMBER(D189), (D189 - $B189) / $B189, "")</f>
        <v>-9.6618357487922701E-3</v>
      </c>
      <c r="F189" s="16">
        <f>IF(ISNUMBER(D189), $B199 * E189, "")</f>
        <v>-1449.2753623188405</v>
      </c>
      <c r="G189" s="29"/>
      <c r="H189" s="14" t="str">
        <f>IF(ISNUMBER(G189), (G189 - $B189) / $B189, "")</f>
        <v/>
      </c>
      <c r="I189" s="9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3"/>
      <c r="R189" s="174"/>
      <c r="S189" s="175"/>
    </row>
    <row r="190" spans="1:19" ht="17.25" thickBot="1">
      <c r="A190" s="109" t="s">
        <v>218</v>
      </c>
      <c r="B190" s="110">
        <v>308</v>
      </c>
      <c r="C190" s="70">
        <v>-3.7499999999999999E-2</v>
      </c>
      <c r="D190" s="15">
        <v>306</v>
      </c>
      <c r="E190" s="32">
        <f t="shared" ref="E190:E193" si="102">IF(ISNUMBER(D190), (D190 - $B190) / $B190, "")</f>
        <v>-6.4935064935064939E-3</v>
      </c>
      <c r="F190" s="18">
        <f>IF(ISNUMBER(D190), $B199 * E190, "")</f>
        <v>-974.02597402597405</v>
      </c>
      <c r="G190" s="31"/>
      <c r="H190" s="32" t="str">
        <f t="shared" ref="H190:H193" si="103">IF(ISNUMBER(G190), (G190 - $B190) / $B190, "")</f>
        <v/>
      </c>
      <c r="I190" s="9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6"/>
      <c r="R190" s="177"/>
      <c r="S190" s="178"/>
    </row>
    <row r="191" spans="1:19" ht="17.25" thickBot="1">
      <c r="A191" s="109" t="s">
        <v>204</v>
      </c>
      <c r="B191" s="110">
        <v>202</v>
      </c>
      <c r="C191" s="70">
        <v>-3.8095238099999998E-2</v>
      </c>
      <c r="D191" s="15">
        <v>199</v>
      </c>
      <c r="E191" s="32">
        <f t="shared" si="102"/>
        <v>-1.4851485148514851E-2</v>
      </c>
      <c r="F191" s="18">
        <f>IF(ISNUMBER(D191), $B199 * E191, "")</f>
        <v>-2227.7227722772277</v>
      </c>
      <c r="G191" s="31"/>
      <c r="H191" s="32" t="str">
        <f t="shared" si="103"/>
        <v/>
      </c>
      <c r="I191" s="9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61"/>
      <c r="R191" s="161"/>
      <c r="S191" s="161"/>
    </row>
    <row r="192" spans="1:19" ht="17.25" thickBot="1">
      <c r="A192" s="109" t="s">
        <v>230</v>
      </c>
      <c r="B192" s="110">
        <v>36.799999999999997</v>
      </c>
      <c r="C192" s="70">
        <v>-3.9164490900000001E-2</v>
      </c>
      <c r="D192" s="15">
        <v>36.799999999999997</v>
      </c>
      <c r="E192" s="32">
        <f t="shared" si="102"/>
        <v>0</v>
      </c>
      <c r="F192" s="18">
        <f>IF(ISNUMBER(D192), $B199 * E192, "")</f>
        <v>0</v>
      </c>
      <c r="G192" s="31"/>
      <c r="H192" s="32" t="str">
        <f t="shared" si="103"/>
        <v/>
      </c>
      <c r="I192" s="9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56"/>
      <c r="R192" s="156"/>
      <c r="S192" s="156"/>
    </row>
    <row r="193" spans="1:19" ht="17.25" thickBot="1">
      <c r="A193" s="111" t="s">
        <v>234</v>
      </c>
      <c r="B193" s="112">
        <v>340</v>
      </c>
      <c r="C193" s="71">
        <v>-3.9548022600000003E-2</v>
      </c>
      <c r="D193" s="20">
        <v>332</v>
      </c>
      <c r="E193" s="21">
        <f t="shared" si="102"/>
        <v>-2.3529411764705882E-2</v>
      </c>
      <c r="F193" s="22">
        <f>IF(ISNUMBER(D193), $B199 * E193, "")</f>
        <v>-3529.4117647058824</v>
      </c>
      <c r="G193" s="30"/>
      <c r="H193" s="21" t="str">
        <f t="shared" si="103"/>
        <v/>
      </c>
      <c r="I193" s="9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56"/>
      <c r="R193" s="156"/>
      <c r="S193" s="156"/>
    </row>
    <row r="194" spans="1:19" ht="17.25" thickBot="1">
      <c r="A194" s="109" t="s">
        <v>151</v>
      </c>
      <c r="B194" s="113">
        <v>2050</v>
      </c>
      <c r="C194" s="73">
        <v>-3.9812646399999999E-2</v>
      </c>
      <c r="D194" s="96">
        <v>2030</v>
      </c>
      <c r="E194" s="97">
        <f>IF(ISNUMBER(D194), (D194 - $B194) / $B194, "")</f>
        <v>-9.7560975609756097E-3</v>
      </c>
      <c r="F194" s="98">
        <f>IF(ISNUMBER(D194), $B199 * E194, "")</f>
        <v>-1463.4146341463415</v>
      </c>
      <c r="G194" s="99"/>
      <c r="H194" s="97" t="str">
        <f>IF(ISNUMBER(G194), (G194 - $B194) / $B194, "")</f>
        <v/>
      </c>
      <c r="I194" s="100" t="str">
        <f>IF(ISNUMBER(G194), $B199 * H194, "")</f>
        <v/>
      </c>
      <c r="J194" s="96"/>
      <c r="K194" s="97" t="str">
        <f>IF(ISNUMBER(J194), (J194 - $B194) / $B194, "")</f>
        <v/>
      </c>
      <c r="L194" s="98" t="str">
        <f>IF(ISNUMBER(J194), $B199 * K194, "")</f>
        <v/>
      </c>
      <c r="M194" s="99"/>
      <c r="N194" s="97" t="str">
        <f>IF(ISNUMBER(M194), (M194 - $B194) / $B194, "")</f>
        <v/>
      </c>
      <c r="O194" s="98" t="str">
        <f>IF(ISNUMBER(M194), $B199 * N194, "")</f>
        <v/>
      </c>
      <c r="Q194" s="161"/>
      <c r="R194" s="161"/>
      <c r="S194" s="161"/>
    </row>
    <row r="195" spans="1:19" ht="17.25" thickBot="1">
      <c r="A195" s="109" t="s">
        <v>107</v>
      </c>
      <c r="B195" s="110">
        <v>36.700000000000003</v>
      </c>
      <c r="C195" s="70">
        <v>-4.1775456900000001E-2</v>
      </c>
      <c r="D195" s="15">
        <v>35.799999999999997</v>
      </c>
      <c r="E195" s="32">
        <f t="shared" ref="E195:E198" si="106">IF(ISNUMBER(D195), (D195 - $B195) / $B195, "")</f>
        <v>-2.4523160762942933E-2</v>
      </c>
      <c r="F195" s="18">
        <f>IF(ISNUMBER(D195), $B199 * E195, "")</f>
        <v>-3678.4741144414402</v>
      </c>
      <c r="G195" s="31"/>
      <c r="H195" s="32" t="str">
        <f t="shared" ref="H195:H198" si="107">IF(ISNUMBER(G195), (G195 - $B195) / $B195, "")</f>
        <v/>
      </c>
      <c r="I195" s="9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61"/>
      <c r="R195" s="161"/>
      <c r="S195" s="161"/>
    </row>
    <row r="196" spans="1:19" ht="17.25" thickBot="1">
      <c r="A196" s="109" t="s">
        <v>222</v>
      </c>
      <c r="B196" s="110">
        <v>389</v>
      </c>
      <c r="C196" s="70">
        <v>-4.6568627500000001E-2</v>
      </c>
      <c r="D196" s="15">
        <v>379</v>
      </c>
      <c r="E196" s="32">
        <f t="shared" si="106"/>
        <v>-2.570694087403599E-2</v>
      </c>
      <c r="F196" s="18">
        <f>IF(ISNUMBER(D196), $B199 * E196, "")</f>
        <v>-3856.0411311053986</v>
      </c>
      <c r="G196" s="31"/>
      <c r="H196" s="32" t="str">
        <f t="shared" si="107"/>
        <v/>
      </c>
      <c r="I196" s="9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61"/>
      <c r="R196" s="161"/>
      <c r="S196" s="161"/>
    </row>
    <row r="197" spans="1:19">
      <c r="A197" s="109" t="s">
        <v>176</v>
      </c>
      <c r="B197" s="110">
        <v>303</v>
      </c>
      <c r="C197" s="70">
        <v>-5.0156739800000003E-2</v>
      </c>
      <c r="D197" s="15">
        <v>297</v>
      </c>
      <c r="E197" s="32">
        <f t="shared" si="106"/>
        <v>-1.9801980198019802E-2</v>
      </c>
      <c r="F197" s="18">
        <f>IF(ISNUMBER(D197), $B199 * E197, "")</f>
        <v>-2970.2970297029701</v>
      </c>
      <c r="G197" s="31"/>
      <c r="H197" s="32" t="str">
        <f t="shared" si="107"/>
        <v/>
      </c>
      <c r="I197" s="9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3"/>
      <c r="R197" s="184"/>
      <c r="S197" s="185"/>
    </row>
    <row r="198" spans="1:19" ht="17.25" thickBot="1">
      <c r="A198" s="114" t="s">
        <v>208</v>
      </c>
      <c r="B198" s="115">
        <v>96.6</v>
      </c>
      <c r="C198" s="72">
        <v>-5.2941176499999999E-2</v>
      </c>
      <c r="D198" s="24">
        <v>99.7</v>
      </c>
      <c r="E198" s="25">
        <f t="shared" si="106"/>
        <v>3.2091097308488706E-2</v>
      </c>
      <c r="F198" s="94">
        <f>IF(ISNUMBER(D198), $B199 * E198, "")</f>
        <v>4813.6645962733055</v>
      </c>
      <c r="G198" s="92"/>
      <c r="H198" s="25" t="str">
        <f t="shared" si="107"/>
        <v/>
      </c>
      <c r="I198" s="93" t="str">
        <f>IF(ISNUMBER(G198), $B199 * H198, "")</f>
        <v/>
      </c>
      <c r="J198" s="24"/>
      <c r="K198" s="25" t="str">
        <f t="shared" si="108"/>
        <v/>
      </c>
      <c r="L198" s="94" t="str">
        <f>IF(ISNUMBER(J198), $B199 * K198, "")</f>
        <v/>
      </c>
      <c r="M198" s="92"/>
      <c r="N198" s="25" t="str">
        <f t="shared" si="109"/>
        <v/>
      </c>
      <c r="O198" s="94" t="str">
        <f>IF(ISNUMBER(M198), $B199 * N198, "")</f>
        <v/>
      </c>
      <c r="Q198" s="186"/>
      <c r="R198" s="187"/>
      <c r="S198" s="188"/>
    </row>
    <row r="199" spans="1:19" ht="17.25" thickBot="1">
      <c r="A199" s="116" t="s">
        <v>260</v>
      </c>
      <c r="B199" s="194">
        <f>$B$37</f>
        <v>150000</v>
      </c>
      <c r="C199" s="195"/>
      <c r="D199" s="26" t="s">
        <v>261</v>
      </c>
      <c r="E199" s="27">
        <f>IF(COUNT(E179:E198), SUM(E179:E198) / COUNT(E179:E198), 0)</f>
        <v>-1.0828269128479793E-2</v>
      </c>
      <c r="F199" s="28">
        <f>SUM(F179:F198)</f>
        <v>-32484.80738543937</v>
      </c>
      <c r="G199" s="26" t="s">
        <v>261</v>
      </c>
      <c r="H199" s="27">
        <f>IF(COUNT(H179:H198), SUM(H179:H198) / COUNT(H179:H198), 0)</f>
        <v>0</v>
      </c>
      <c r="I199" s="28">
        <f>SUM(I179:I198)</f>
        <v>0</v>
      </c>
      <c r="J199" s="26" t="s">
        <v>261</v>
      </c>
      <c r="K199" s="27">
        <f>IF(COUNT(K179:K198), SUM(K179:K198) / COUNT(K179:K198), 0)</f>
        <v>0</v>
      </c>
      <c r="L199" s="28">
        <f>SUM(L179:L198)</f>
        <v>0</v>
      </c>
      <c r="M199" s="26" t="s">
        <v>261</v>
      </c>
      <c r="N199" s="27">
        <f>IF(COUNT(N179:N198), SUM(N179:N198) / COUNT(N179:N198), 0)</f>
        <v>0</v>
      </c>
      <c r="O199" s="28">
        <f>SUM(O179:O198)</f>
        <v>0</v>
      </c>
      <c r="Q199" s="189"/>
      <c r="R199" s="190"/>
      <c r="S199" s="19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2022.12.01</vt:lpstr>
      <vt:lpstr>2022.12.02</vt:lpstr>
      <vt:lpstr>2022.12.03</vt:lpstr>
      <vt:lpstr>2022.12.04</vt:lpstr>
      <vt:lpstr>2022.12.05</vt:lpstr>
      <vt:lpstr>2022.12.06</vt:lpstr>
      <vt:lpstr>2022.12.07</vt:lpstr>
      <vt:lpstr>2022.12.08</vt:lpstr>
      <vt:lpstr>2022.12.09</vt:lpstr>
      <vt:lpstr>2022.12.10</vt:lpstr>
      <vt:lpstr>2022.12.11</vt:lpstr>
      <vt:lpstr>2022.12.12</vt:lpstr>
      <vt:lpstr>2022.12.13</vt:lpstr>
      <vt:lpstr>2022.12.14</vt:lpstr>
      <vt:lpstr>2022.12.15</vt:lpstr>
      <vt:lpstr>2022.12.16</vt:lpstr>
      <vt:lpstr>2022.12.17</vt:lpstr>
      <vt:lpstr>2022.12.18</vt:lpstr>
      <vt:lpstr>2022.12.19</vt:lpstr>
      <vt:lpstr>2022.12.20</vt:lpstr>
      <vt:lpstr>2022.12.21</vt:lpstr>
      <vt:lpstr>2022.12.22</vt:lpstr>
      <vt:lpstr>2022.12.23</vt:lpstr>
      <vt:lpstr>2022.12.24</vt:lpstr>
      <vt:lpstr>2022.12.25</vt:lpstr>
      <vt:lpstr>2022.12.26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2022-12-26T06:51:06Z</dcterms:modified>
</cp:coreProperties>
</file>