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9B432E82-7367-4BCD-B3BB-17D50A9F572A}" xr6:coauthVersionLast="47" xr6:coauthVersionMax="47" xr10:uidLastSave="{00000000-0000-0000-0000-000000000000}"/>
  <bookViews>
    <workbookView xWindow="28680" yWindow="-120" windowWidth="29040" windowHeight="15840" firstSheet="9" activeTab="1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  <sheet name="2021.08.10" sheetId="33" r:id="rId15"/>
    <sheet name="2021.08.11" sheetId="34" r:id="rId16"/>
    <sheet name="2021.08.12" sheetId="35" r:id="rId17"/>
    <sheet name="2021.08.13" sheetId="36" r:id="rId18"/>
    <sheet name="2021.08.14" sheetId="37" r:id="rId19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14" hidden="1">'2021.08.10'!#REF!</definedName>
    <definedName name="_xlnm._FilterDatabase" localSheetId="15" hidden="1">'2021.08.11'!#REF!</definedName>
    <definedName name="_xlnm._FilterDatabase" localSheetId="16" hidden="1">'2021.08.12'!#REF!</definedName>
    <definedName name="_xlnm._FilterDatabase" localSheetId="17" hidden="1">'2021.08.13'!#REF!</definedName>
    <definedName name="_xlnm._FilterDatabase" localSheetId="18" hidden="1">'2021.08.14'!#REF!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7" l="1"/>
  <c r="O198" i="37"/>
  <c r="N198" i="37"/>
  <c r="L198" i="37"/>
  <c r="K198" i="37"/>
  <c r="H198" i="37"/>
  <c r="I198" i="37" s="1"/>
  <c r="F198" i="37"/>
  <c r="E198" i="37"/>
  <c r="O197" i="37"/>
  <c r="N197" i="37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K193" i="37"/>
  <c r="L193" i="37" s="1"/>
  <c r="H193" i="37"/>
  <c r="I193" i="37" s="1"/>
  <c r="F193" i="37"/>
  <c r="E193" i="37"/>
  <c r="O192" i="37"/>
  <c r="N192" i="37"/>
  <c r="K192" i="37"/>
  <c r="L192" i="37" s="1"/>
  <c r="H192" i="37"/>
  <c r="I192" i="37" s="1"/>
  <c r="F192" i="37"/>
  <c r="E192" i="37"/>
  <c r="O191" i="37"/>
  <c r="N191" i="37"/>
  <c r="K191" i="37"/>
  <c r="L191" i="37" s="1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K181" i="37"/>
  <c r="L181" i="37" s="1"/>
  <c r="H181" i="37"/>
  <c r="I181" i="37" s="1"/>
  <c r="F181" i="37"/>
  <c r="E181" i="37"/>
  <c r="O180" i="37"/>
  <c r="N180" i="37"/>
  <c r="K180" i="37"/>
  <c r="L180" i="37" s="1"/>
  <c r="H180" i="37"/>
  <c r="I180" i="37" s="1"/>
  <c r="F180" i="37"/>
  <c r="E180" i="37"/>
  <c r="O179" i="37"/>
  <c r="O199" i="37" s="1"/>
  <c r="N179" i="37"/>
  <c r="N199" i="37" s="1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O164" i="37"/>
  <c r="N164" i="37"/>
  <c r="K164" i="37"/>
  <c r="L164" i="37" s="1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O161" i="37"/>
  <c r="N161" i="37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O152" i="37"/>
  <c r="O172" i="37" s="1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H141" i="37"/>
  <c r="I141" i="37" s="1"/>
  <c r="E141" i="37"/>
  <c r="F141" i="37" s="1"/>
  <c r="O140" i="37"/>
  <c r="N140" i="37"/>
  <c r="K140" i="37"/>
  <c r="L140" i="37" s="1"/>
  <c r="H140" i="37"/>
  <c r="I140" i="37" s="1"/>
  <c r="E140" i="37"/>
  <c r="F140" i="37" s="1"/>
  <c r="O139" i="37"/>
  <c r="N139" i="37"/>
  <c r="L139" i="37"/>
  <c r="K139" i="37"/>
  <c r="I139" i="37"/>
  <c r="H139" i="37"/>
  <c r="E139" i="37"/>
  <c r="F139" i="37" s="1"/>
  <c r="O138" i="37"/>
  <c r="N138" i="37"/>
  <c r="L138" i="37"/>
  <c r="K138" i="37"/>
  <c r="I138" i="37"/>
  <c r="H138" i="37"/>
  <c r="E138" i="37"/>
  <c r="F138" i="37" s="1"/>
  <c r="O137" i="37"/>
  <c r="N137" i="37"/>
  <c r="K137" i="37"/>
  <c r="L137" i="37" s="1"/>
  <c r="H137" i="37"/>
  <c r="I137" i="37" s="1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K135" i="37"/>
  <c r="L135" i="37" s="1"/>
  <c r="I135" i="37"/>
  <c r="H135" i="37"/>
  <c r="E135" i="37"/>
  <c r="F135" i="37" s="1"/>
  <c r="O134" i="37"/>
  <c r="N134" i="37"/>
  <c r="L134" i="37"/>
  <c r="K134" i="37"/>
  <c r="I134" i="37"/>
  <c r="H134" i="37"/>
  <c r="E134" i="37"/>
  <c r="F134" i="37" s="1"/>
  <c r="O133" i="37"/>
  <c r="N133" i="37"/>
  <c r="L133" i="37"/>
  <c r="K133" i="37"/>
  <c r="H133" i="37"/>
  <c r="I133" i="37" s="1"/>
  <c r="E133" i="37"/>
  <c r="F133" i="37" s="1"/>
  <c r="O132" i="37"/>
  <c r="N132" i="37"/>
  <c r="K132" i="37"/>
  <c r="L132" i="37" s="1"/>
  <c r="H132" i="37"/>
  <c r="I132" i="37" s="1"/>
  <c r="E132" i="37"/>
  <c r="F132" i="37" s="1"/>
  <c r="O131" i="37"/>
  <c r="N131" i="37"/>
  <c r="L131" i="37"/>
  <c r="K131" i="37"/>
  <c r="I131" i="37"/>
  <c r="H131" i="37"/>
  <c r="E131" i="37"/>
  <c r="F131" i="37" s="1"/>
  <c r="O130" i="37"/>
  <c r="N130" i="37"/>
  <c r="L130" i="37"/>
  <c r="K130" i="37"/>
  <c r="I130" i="37"/>
  <c r="H130" i="37"/>
  <c r="E130" i="37"/>
  <c r="F130" i="37" s="1"/>
  <c r="O129" i="37"/>
  <c r="N129" i="37"/>
  <c r="K129" i="37"/>
  <c r="L129" i="37" s="1"/>
  <c r="H129" i="37"/>
  <c r="I129" i="37" s="1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K127" i="37"/>
  <c r="L127" i="37" s="1"/>
  <c r="I127" i="37"/>
  <c r="H127" i="37"/>
  <c r="E127" i="37"/>
  <c r="F127" i="37" s="1"/>
  <c r="O126" i="37"/>
  <c r="N126" i="37"/>
  <c r="L126" i="37"/>
  <c r="K126" i="37"/>
  <c r="I126" i="37"/>
  <c r="H126" i="37"/>
  <c r="E126" i="37"/>
  <c r="F126" i="37" s="1"/>
  <c r="O125" i="37"/>
  <c r="N125" i="37"/>
  <c r="N145" i="37" s="1"/>
  <c r="L125" i="37"/>
  <c r="K125" i="37"/>
  <c r="K145" i="37" s="1"/>
  <c r="H125" i="37"/>
  <c r="H145" i="37" s="1"/>
  <c r="E125" i="37"/>
  <c r="M123" i="37"/>
  <c r="J123" i="37"/>
  <c r="G123" i="37"/>
  <c r="D123" i="37"/>
  <c r="B123" i="37"/>
  <c r="M122" i="37"/>
  <c r="G122" i="37"/>
  <c r="B118" i="37"/>
  <c r="O117" i="37"/>
  <c r="N117" i="37"/>
  <c r="K117" i="37"/>
  <c r="L117" i="37" s="1"/>
  <c r="H117" i="37"/>
  <c r="I117" i="37" s="1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K115" i="37"/>
  <c r="L115" i="37" s="1"/>
  <c r="I115" i="37"/>
  <c r="H115" i="37"/>
  <c r="E115" i="37"/>
  <c r="F115" i="37" s="1"/>
  <c r="O114" i="37"/>
  <c r="N114" i="37"/>
  <c r="K114" i="37"/>
  <c r="L114" i="37" s="1"/>
  <c r="H114" i="37"/>
  <c r="I114" i="37" s="1"/>
  <c r="E114" i="37"/>
  <c r="F114" i="37" s="1"/>
  <c r="O113" i="37"/>
  <c r="N113" i="37"/>
  <c r="L113" i="37"/>
  <c r="K113" i="37"/>
  <c r="H113" i="37"/>
  <c r="I113" i="37" s="1"/>
  <c r="E113" i="37"/>
  <c r="F113" i="37" s="1"/>
  <c r="O112" i="37"/>
  <c r="N112" i="37"/>
  <c r="K112" i="37"/>
  <c r="L112" i="37" s="1"/>
  <c r="H112" i="37"/>
  <c r="I112" i="37" s="1"/>
  <c r="E112" i="37"/>
  <c r="F112" i="37" s="1"/>
  <c r="O111" i="37"/>
  <c r="N111" i="37"/>
  <c r="L111" i="37"/>
  <c r="K111" i="37"/>
  <c r="I111" i="37"/>
  <c r="H111" i="37"/>
  <c r="E111" i="37"/>
  <c r="F111" i="37" s="1"/>
  <c r="O110" i="37"/>
  <c r="N110" i="37"/>
  <c r="K110" i="37"/>
  <c r="L110" i="37" s="1"/>
  <c r="H110" i="37"/>
  <c r="I110" i="37" s="1"/>
  <c r="E110" i="37"/>
  <c r="F110" i="37" s="1"/>
  <c r="O109" i="37"/>
  <c r="N109" i="37"/>
  <c r="L109" i="37"/>
  <c r="K109" i="37"/>
  <c r="H109" i="37"/>
  <c r="I109" i="37" s="1"/>
  <c r="E109" i="37"/>
  <c r="F109" i="37" s="1"/>
  <c r="O108" i="37"/>
  <c r="N108" i="37"/>
  <c r="K108" i="37"/>
  <c r="L108" i="37" s="1"/>
  <c r="H108" i="37"/>
  <c r="I108" i="37" s="1"/>
  <c r="E108" i="37"/>
  <c r="F108" i="37" s="1"/>
  <c r="O107" i="37"/>
  <c r="N107" i="37"/>
  <c r="L107" i="37"/>
  <c r="K107" i="37"/>
  <c r="I107" i="37"/>
  <c r="H107" i="37"/>
  <c r="E107" i="37"/>
  <c r="F107" i="37" s="1"/>
  <c r="O106" i="37"/>
  <c r="N106" i="37"/>
  <c r="L106" i="37"/>
  <c r="K106" i="37"/>
  <c r="H106" i="37"/>
  <c r="I106" i="37" s="1"/>
  <c r="E106" i="37"/>
  <c r="F106" i="37" s="1"/>
  <c r="O105" i="37"/>
  <c r="N105" i="37"/>
  <c r="K105" i="37"/>
  <c r="L105" i="37" s="1"/>
  <c r="H105" i="37"/>
  <c r="I105" i="37" s="1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K103" i="37"/>
  <c r="L103" i="37" s="1"/>
  <c r="I103" i="37"/>
  <c r="H103" i="37"/>
  <c r="E103" i="37"/>
  <c r="F103" i="37" s="1"/>
  <c r="O102" i="37"/>
  <c r="N102" i="37"/>
  <c r="L102" i="37"/>
  <c r="K102" i="37"/>
  <c r="H102" i="37"/>
  <c r="I102" i="37" s="1"/>
  <c r="E102" i="37"/>
  <c r="F102" i="37" s="1"/>
  <c r="O101" i="37"/>
  <c r="N101" i="37"/>
  <c r="K101" i="37"/>
  <c r="L101" i="37" s="1"/>
  <c r="H101" i="37"/>
  <c r="I101" i="37" s="1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K99" i="37"/>
  <c r="L99" i="37" s="1"/>
  <c r="I99" i="37"/>
  <c r="H99" i="37"/>
  <c r="E99" i="37"/>
  <c r="F99" i="37" s="1"/>
  <c r="O98" i="37"/>
  <c r="N98" i="37"/>
  <c r="K98" i="37"/>
  <c r="H98" i="37"/>
  <c r="H118" i="37" s="1"/>
  <c r="E98" i="37"/>
  <c r="M96" i="37"/>
  <c r="J96" i="37"/>
  <c r="G96" i="37"/>
  <c r="D96" i="37"/>
  <c r="B96" i="37"/>
  <c r="M95" i="37"/>
  <c r="G95" i="37"/>
  <c r="B91" i="37"/>
  <c r="O90" i="37"/>
  <c r="N90" i="37"/>
  <c r="L90" i="37"/>
  <c r="K90" i="37"/>
  <c r="H90" i="37"/>
  <c r="I90" i="37" s="1"/>
  <c r="E90" i="37"/>
  <c r="F90" i="37" s="1"/>
  <c r="O89" i="37"/>
  <c r="N89" i="37"/>
  <c r="K89" i="37"/>
  <c r="L89" i="37" s="1"/>
  <c r="H89" i="37"/>
  <c r="I89" i="37" s="1"/>
  <c r="E89" i="37"/>
  <c r="F89" i="37" s="1"/>
  <c r="O88" i="37"/>
  <c r="N88" i="37"/>
  <c r="L88" i="37"/>
  <c r="K88" i="37"/>
  <c r="H88" i="37"/>
  <c r="I88" i="37" s="1"/>
  <c r="E88" i="37"/>
  <c r="F88" i="37" s="1"/>
  <c r="O87" i="37"/>
  <c r="N87" i="37"/>
  <c r="K87" i="37"/>
  <c r="L87" i="37" s="1"/>
  <c r="I87" i="37"/>
  <c r="H87" i="37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L85" i="37"/>
  <c r="K85" i="37"/>
  <c r="H85" i="37"/>
  <c r="I85" i="37" s="1"/>
  <c r="E85" i="37"/>
  <c r="F85" i="37" s="1"/>
  <c r="O84" i="37"/>
  <c r="N84" i="37"/>
  <c r="L84" i="37"/>
  <c r="K84" i="37"/>
  <c r="H84" i="37"/>
  <c r="I84" i="37" s="1"/>
  <c r="E84" i="37"/>
  <c r="F84" i="37" s="1"/>
  <c r="O83" i="37"/>
  <c r="N83" i="37"/>
  <c r="L83" i="37"/>
  <c r="K83" i="37"/>
  <c r="I83" i="37"/>
  <c r="H83" i="37"/>
  <c r="E83" i="37"/>
  <c r="F83" i="37" s="1"/>
  <c r="O82" i="37"/>
  <c r="N82" i="37"/>
  <c r="K82" i="37"/>
  <c r="L82" i="37" s="1"/>
  <c r="H82" i="37"/>
  <c r="I82" i="37" s="1"/>
  <c r="E82" i="37"/>
  <c r="F82" i="37" s="1"/>
  <c r="O81" i="37"/>
  <c r="N81" i="37"/>
  <c r="L81" i="37"/>
  <c r="K81" i="37"/>
  <c r="H81" i="37"/>
  <c r="I81" i="37" s="1"/>
  <c r="E81" i="37"/>
  <c r="F81" i="37" s="1"/>
  <c r="O80" i="37"/>
  <c r="N80" i="37"/>
  <c r="K80" i="37"/>
  <c r="L80" i="37" s="1"/>
  <c r="H80" i="37"/>
  <c r="I80" i="37" s="1"/>
  <c r="E80" i="37"/>
  <c r="F80" i="37" s="1"/>
  <c r="O79" i="37"/>
  <c r="N79" i="37"/>
  <c r="L79" i="37"/>
  <c r="K79" i="37"/>
  <c r="I79" i="37"/>
  <c r="H79" i="37"/>
  <c r="E79" i="37"/>
  <c r="F79" i="37" s="1"/>
  <c r="O78" i="37"/>
  <c r="N78" i="37"/>
  <c r="L78" i="37"/>
  <c r="K78" i="37"/>
  <c r="H78" i="37"/>
  <c r="I78" i="37" s="1"/>
  <c r="E78" i="37"/>
  <c r="F78" i="37" s="1"/>
  <c r="O77" i="37"/>
  <c r="N77" i="37"/>
  <c r="K77" i="37"/>
  <c r="L77" i="37" s="1"/>
  <c r="H77" i="37"/>
  <c r="I77" i="37" s="1"/>
  <c r="E77" i="37"/>
  <c r="F77" i="37" s="1"/>
  <c r="O76" i="37"/>
  <c r="N76" i="37"/>
  <c r="L76" i="37"/>
  <c r="K76" i="37"/>
  <c r="H76" i="37"/>
  <c r="I76" i="37" s="1"/>
  <c r="E76" i="37"/>
  <c r="F76" i="37" s="1"/>
  <c r="O75" i="37"/>
  <c r="N75" i="37"/>
  <c r="K75" i="37"/>
  <c r="L75" i="37" s="1"/>
  <c r="I75" i="37"/>
  <c r="H75" i="37"/>
  <c r="E75" i="37"/>
  <c r="F75" i="37" s="1"/>
  <c r="O74" i="37"/>
  <c r="N74" i="37"/>
  <c r="L74" i="37"/>
  <c r="K74" i="37"/>
  <c r="H74" i="37"/>
  <c r="I74" i="37" s="1"/>
  <c r="E74" i="37"/>
  <c r="F74" i="37" s="1"/>
  <c r="O73" i="37"/>
  <c r="N73" i="37"/>
  <c r="K73" i="37"/>
  <c r="L73" i="37" s="1"/>
  <c r="H73" i="37"/>
  <c r="I73" i="37" s="1"/>
  <c r="E73" i="37"/>
  <c r="F73" i="37" s="1"/>
  <c r="O72" i="37"/>
  <c r="N72" i="37"/>
  <c r="L72" i="37"/>
  <c r="K72" i="37"/>
  <c r="H72" i="37"/>
  <c r="I72" i="37" s="1"/>
  <c r="E72" i="37"/>
  <c r="F72" i="37" s="1"/>
  <c r="O71" i="37"/>
  <c r="O91" i="37" s="1"/>
  <c r="N71" i="37"/>
  <c r="N91" i="37" s="1"/>
  <c r="K71" i="37"/>
  <c r="K91" i="37" s="1"/>
  <c r="I71" i="37"/>
  <c r="H71" i="37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K60" i="37"/>
  <c r="L60" i="37" s="1"/>
  <c r="H60" i="37"/>
  <c r="I60" i="37" s="1"/>
  <c r="E60" i="37"/>
  <c r="F60" i="37" s="1"/>
  <c r="O59" i="37"/>
  <c r="N59" i="37"/>
  <c r="L59" i="37"/>
  <c r="K59" i="37"/>
  <c r="H59" i="37"/>
  <c r="I59" i="37" s="1"/>
  <c r="F59" i="37"/>
  <c r="E59" i="37"/>
  <c r="O58" i="37"/>
  <c r="N58" i="37"/>
  <c r="K58" i="37"/>
  <c r="L58" i="37" s="1"/>
  <c r="H58" i="37"/>
  <c r="I58" i="37" s="1"/>
  <c r="E58" i="37"/>
  <c r="F58" i="37" s="1"/>
  <c r="O57" i="37"/>
  <c r="N57" i="37"/>
  <c r="K57" i="37"/>
  <c r="L57" i="37" s="1"/>
  <c r="H57" i="37"/>
  <c r="I57" i="37" s="1"/>
  <c r="E57" i="37"/>
  <c r="F57" i="37" s="1"/>
  <c r="O56" i="37"/>
  <c r="N56" i="37"/>
  <c r="K56" i="37"/>
  <c r="L56" i="37" s="1"/>
  <c r="I56" i="37"/>
  <c r="H56" i="37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H54" i="37"/>
  <c r="I54" i="37" s="1"/>
  <c r="E54" i="37"/>
  <c r="F54" i="37" s="1"/>
  <c r="O53" i="37"/>
  <c r="N53" i="37"/>
  <c r="K53" i="37"/>
  <c r="L53" i="37" s="1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H51" i="37"/>
  <c r="I51" i="37" s="1"/>
  <c r="E51" i="37"/>
  <c r="F51" i="37" s="1"/>
  <c r="O50" i="37"/>
  <c r="N50" i="37"/>
  <c r="L50" i="37"/>
  <c r="K50" i="37"/>
  <c r="H50" i="37"/>
  <c r="I50" i="37" s="1"/>
  <c r="E50" i="37"/>
  <c r="F50" i="37" s="1"/>
  <c r="O49" i="37"/>
  <c r="N49" i="37"/>
  <c r="K49" i="37"/>
  <c r="L49" i="37" s="1"/>
  <c r="H49" i="37"/>
  <c r="I49" i="37" s="1"/>
  <c r="E49" i="37"/>
  <c r="F49" i="37" s="1"/>
  <c r="O48" i="37"/>
  <c r="N48" i="37"/>
  <c r="K48" i="37"/>
  <c r="L48" i="37" s="1"/>
  <c r="I48" i="37"/>
  <c r="H48" i="37"/>
  <c r="E48" i="37"/>
  <c r="F48" i="37" s="1"/>
  <c r="O47" i="37"/>
  <c r="N47" i="37"/>
  <c r="L47" i="37"/>
  <c r="K47" i="37"/>
  <c r="H47" i="37"/>
  <c r="I47" i="37" s="1"/>
  <c r="E47" i="37"/>
  <c r="F47" i="37" s="1"/>
  <c r="O46" i="37"/>
  <c r="N46" i="37"/>
  <c r="L46" i="37"/>
  <c r="K46" i="37"/>
  <c r="H46" i="37"/>
  <c r="I46" i="37" s="1"/>
  <c r="E46" i="37"/>
  <c r="F46" i="37" s="1"/>
  <c r="O45" i="37"/>
  <c r="N45" i="37"/>
  <c r="L45" i="37"/>
  <c r="K45" i="37"/>
  <c r="H45" i="37"/>
  <c r="I45" i="37" s="1"/>
  <c r="E45" i="37"/>
  <c r="F45" i="37" s="1"/>
  <c r="O44" i="37"/>
  <c r="O64" i="37" s="1"/>
  <c r="N44" i="37"/>
  <c r="N64" i="37" s="1"/>
  <c r="K44" i="37"/>
  <c r="I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N142" i="36"/>
  <c r="O142" i="36" s="1"/>
  <c r="K142" i="36"/>
  <c r="L142" i="36" s="1"/>
  <c r="H142" i="36"/>
  <c r="I142" i="36" s="1"/>
  <c r="E142" i="36"/>
  <c r="F142" i="36" s="1"/>
  <c r="O141" i="36"/>
  <c r="N141" i="36"/>
  <c r="K141" i="36"/>
  <c r="L141" i="36" s="1"/>
  <c r="H141" i="36"/>
  <c r="I141" i="36" s="1"/>
  <c r="E141" i="36"/>
  <c r="F141" i="36" s="1"/>
  <c r="N140" i="36"/>
  <c r="O140" i="36" s="1"/>
  <c r="K140" i="36"/>
  <c r="L140" i="36" s="1"/>
  <c r="H140" i="36"/>
  <c r="I140" i="36" s="1"/>
  <c r="E140" i="36"/>
  <c r="F140" i="36" s="1"/>
  <c r="O139" i="36"/>
  <c r="N139" i="36"/>
  <c r="K139" i="36"/>
  <c r="L139" i="36" s="1"/>
  <c r="I139" i="36"/>
  <c r="H139" i="36"/>
  <c r="E139" i="36"/>
  <c r="F139" i="36" s="1"/>
  <c r="O138" i="36"/>
  <c r="N138" i="36"/>
  <c r="L138" i="36"/>
  <c r="K138" i="36"/>
  <c r="H138" i="36"/>
  <c r="I138" i="36" s="1"/>
  <c r="E138" i="36"/>
  <c r="F138" i="36" s="1"/>
  <c r="O137" i="36"/>
  <c r="N137" i="36"/>
  <c r="L137" i="36"/>
  <c r="K137" i="36"/>
  <c r="H137" i="36"/>
  <c r="I137" i="36" s="1"/>
  <c r="E137" i="36"/>
  <c r="F137" i="36" s="1"/>
  <c r="O136" i="36"/>
  <c r="N136" i="36"/>
  <c r="L136" i="36"/>
  <c r="K136" i="36"/>
  <c r="H136" i="36"/>
  <c r="I136" i="36" s="1"/>
  <c r="E136" i="36"/>
  <c r="F136" i="36" s="1"/>
  <c r="O135" i="36"/>
  <c r="N135" i="36"/>
  <c r="L135" i="36"/>
  <c r="K135" i="36"/>
  <c r="I135" i="36"/>
  <c r="H135" i="36"/>
  <c r="E135" i="36"/>
  <c r="F135" i="36" s="1"/>
  <c r="N134" i="36"/>
  <c r="O134" i="36" s="1"/>
  <c r="K134" i="36"/>
  <c r="L134" i="36" s="1"/>
  <c r="H134" i="36"/>
  <c r="I134" i="36" s="1"/>
  <c r="E134" i="36"/>
  <c r="F134" i="36" s="1"/>
  <c r="O133" i="36"/>
  <c r="N133" i="36"/>
  <c r="K133" i="36"/>
  <c r="L133" i="36" s="1"/>
  <c r="H133" i="36"/>
  <c r="I133" i="36" s="1"/>
  <c r="E133" i="36"/>
  <c r="F133" i="36" s="1"/>
  <c r="N132" i="36"/>
  <c r="O132" i="36" s="1"/>
  <c r="K132" i="36"/>
  <c r="L132" i="36" s="1"/>
  <c r="H132" i="36"/>
  <c r="I132" i="36" s="1"/>
  <c r="E132" i="36"/>
  <c r="F132" i="36" s="1"/>
  <c r="O131" i="36"/>
  <c r="N131" i="36"/>
  <c r="K131" i="36"/>
  <c r="L131" i="36" s="1"/>
  <c r="I131" i="36"/>
  <c r="H131" i="36"/>
  <c r="E131" i="36"/>
  <c r="F131" i="36" s="1"/>
  <c r="O130" i="36"/>
  <c r="N130" i="36"/>
  <c r="L130" i="36"/>
  <c r="K130" i="36"/>
  <c r="H130" i="36"/>
  <c r="I130" i="36" s="1"/>
  <c r="E130" i="36"/>
  <c r="F130" i="36" s="1"/>
  <c r="O129" i="36"/>
  <c r="N129" i="36"/>
  <c r="L129" i="36"/>
  <c r="K129" i="36"/>
  <c r="H129" i="36"/>
  <c r="I129" i="36" s="1"/>
  <c r="E129" i="36"/>
  <c r="F129" i="36" s="1"/>
  <c r="O128" i="36"/>
  <c r="N128" i="36"/>
  <c r="L128" i="36"/>
  <c r="K128" i="36"/>
  <c r="H128" i="36"/>
  <c r="I128" i="36" s="1"/>
  <c r="E128" i="36"/>
  <c r="F128" i="36" s="1"/>
  <c r="O127" i="36"/>
  <c r="N127" i="36"/>
  <c r="L127" i="36"/>
  <c r="K127" i="36"/>
  <c r="I127" i="36"/>
  <c r="H127" i="36"/>
  <c r="E127" i="36"/>
  <c r="F127" i="36" s="1"/>
  <c r="N126" i="36"/>
  <c r="O126" i="36" s="1"/>
  <c r="K126" i="36"/>
  <c r="L126" i="36" s="1"/>
  <c r="H126" i="36"/>
  <c r="I126" i="36" s="1"/>
  <c r="E126" i="36"/>
  <c r="F126" i="36" s="1"/>
  <c r="O125" i="36"/>
  <c r="N125" i="36"/>
  <c r="K125" i="36"/>
  <c r="K145" i="36" s="1"/>
  <c r="H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N116" i="36"/>
  <c r="O116" i="36" s="1"/>
  <c r="K116" i="36"/>
  <c r="L116" i="36" s="1"/>
  <c r="I116" i="36"/>
  <c r="H116" i="36"/>
  <c r="E116" i="36"/>
  <c r="F116" i="36" s="1"/>
  <c r="O115" i="36"/>
  <c r="N115" i="36"/>
  <c r="L115" i="36"/>
  <c r="K115" i="36"/>
  <c r="H115" i="36"/>
  <c r="I115" i="36" s="1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L113" i="36"/>
  <c r="K113" i="36"/>
  <c r="H113" i="36"/>
  <c r="I113" i="36" s="1"/>
  <c r="E113" i="36"/>
  <c r="F113" i="36" s="1"/>
  <c r="N112" i="36"/>
  <c r="O112" i="36" s="1"/>
  <c r="L112" i="36"/>
  <c r="K112" i="36"/>
  <c r="I112" i="36"/>
  <c r="H112" i="36"/>
  <c r="E112" i="36"/>
  <c r="F112" i="36" s="1"/>
  <c r="N111" i="36"/>
  <c r="O111" i="36" s="1"/>
  <c r="K111" i="36"/>
  <c r="L111" i="36" s="1"/>
  <c r="H111" i="36"/>
  <c r="I111" i="36" s="1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K108" i="36"/>
  <c r="L108" i="36" s="1"/>
  <c r="I108" i="36"/>
  <c r="H108" i="36"/>
  <c r="E108" i="36"/>
  <c r="F108" i="36" s="1"/>
  <c r="N107" i="36"/>
  <c r="O107" i="36" s="1"/>
  <c r="L107" i="36"/>
  <c r="K107" i="36"/>
  <c r="H107" i="36"/>
  <c r="I107" i="36" s="1"/>
  <c r="E107" i="36"/>
  <c r="F107" i="36" s="1"/>
  <c r="O106" i="36"/>
  <c r="N106" i="36"/>
  <c r="L106" i="36"/>
  <c r="K106" i="36"/>
  <c r="H106" i="36"/>
  <c r="I106" i="36" s="1"/>
  <c r="E106" i="36"/>
  <c r="F106" i="36" s="1"/>
  <c r="N105" i="36"/>
  <c r="O105" i="36" s="1"/>
  <c r="L105" i="36"/>
  <c r="K105" i="36"/>
  <c r="H105" i="36"/>
  <c r="I105" i="36" s="1"/>
  <c r="E105" i="36"/>
  <c r="F105" i="36" s="1"/>
  <c r="O104" i="36"/>
  <c r="N104" i="36"/>
  <c r="L104" i="36"/>
  <c r="K104" i="36"/>
  <c r="I104" i="36"/>
  <c r="H104" i="36"/>
  <c r="E104" i="36"/>
  <c r="F104" i="36" s="1"/>
  <c r="N103" i="36"/>
  <c r="O103" i="36" s="1"/>
  <c r="K103" i="36"/>
  <c r="L103" i="36" s="1"/>
  <c r="H103" i="36"/>
  <c r="I103" i="36" s="1"/>
  <c r="E103" i="36"/>
  <c r="F103" i="36" s="1"/>
  <c r="O102" i="36"/>
  <c r="N102" i="36"/>
  <c r="K102" i="36"/>
  <c r="L102" i="36" s="1"/>
  <c r="H102" i="36"/>
  <c r="I102" i="36" s="1"/>
  <c r="E102" i="36"/>
  <c r="F102" i="36" s="1"/>
  <c r="O101" i="36"/>
  <c r="N101" i="36"/>
  <c r="K101" i="36"/>
  <c r="L101" i="36" s="1"/>
  <c r="H101" i="36"/>
  <c r="I101" i="36" s="1"/>
  <c r="E101" i="36"/>
  <c r="F101" i="36" s="1"/>
  <c r="N100" i="36"/>
  <c r="O100" i="36" s="1"/>
  <c r="K100" i="36"/>
  <c r="L100" i="36" s="1"/>
  <c r="I100" i="36"/>
  <c r="H100" i="36"/>
  <c r="E100" i="36"/>
  <c r="F100" i="36" s="1"/>
  <c r="O99" i="36"/>
  <c r="N99" i="36"/>
  <c r="L99" i="36"/>
  <c r="K99" i="36"/>
  <c r="H99" i="36"/>
  <c r="I99" i="36" s="1"/>
  <c r="E99" i="36"/>
  <c r="F99" i="36" s="1"/>
  <c r="N98" i="36"/>
  <c r="L98" i="36"/>
  <c r="K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O89" i="36"/>
  <c r="N89" i="36"/>
  <c r="K89" i="36"/>
  <c r="L89" i="36" s="1"/>
  <c r="H89" i="36"/>
  <c r="I89" i="36" s="1"/>
  <c r="F89" i="36"/>
  <c r="E89" i="36"/>
  <c r="O88" i="36"/>
  <c r="N88" i="36"/>
  <c r="L88" i="36"/>
  <c r="K88" i="36"/>
  <c r="H88" i="36"/>
  <c r="I88" i="36" s="1"/>
  <c r="F88" i="36"/>
  <c r="E88" i="36"/>
  <c r="N87" i="36"/>
  <c r="O87" i="36" s="1"/>
  <c r="K87" i="36"/>
  <c r="L87" i="36" s="1"/>
  <c r="H87" i="36"/>
  <c r="I87" i="36" s="1"/>
  <c r="F87" i="36"/>
  <c r="E87" i="36"/>
  <c r="N86" i="36"/>
  <c r="O86" i="36" s="1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L84" i="36"/>
  <c r="K84" i="36"/>
  <c r="H84" i="36"/>
  <c r="I84" i="36" s="1"/>
  <c r="F84" i="36"/>
  <c r="E84" i="36"/>
  <c r="O83" i="36"/>
  <c r="N83" i="36"/>
  <c r="K83" i="36"/>
  <c r="L83" i="36" s="1"/>
  <c r="H83" i="36"/>
  <c r="I83" i="36" s="1"/>
  <c r="F83" i="36"/>
  <c r="E83" i="36"/>
  <c r="O82" i="36"/>
  <c r="N82" i="36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O80" i="36"/>
  <c r="N80" i="36"/>
  <c r="L80" i="36"/>
  <c r="K80" i="36"/>
  <c r="H80" i="36"/>
  <c r="I80" i="36" s="1"/>
  <c r="F80" i="36"/>
  <c r="E80" i="36"/>
  <c r="N79" i="36"/>
  <c r="O79" i="36" s="1"/>
  <c r="K79" i="36"/>
  <c r="L79" i="36" s="1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N77" i="36"/>
  <c r="O77" i="36" s="1"/>
  <c r="K77" i="36"/>
  <c r="L77" i="36" s="1"/>
  <c r="H77" i="36"/>
  <c r="I77" i="36" s="1"/>
  <c r="F77" i="36"/>
  <c r="E77" i="36"/>
  <c r="N76" i="36"/>
  <c r="O76" i="36" s="1"/>
  <c r="L76" i="36"/>
  <c r="K76" i="36"/>
  <c r="H76" i="36"/>
  <c r="I76" i="36" s="1"/>
  <c r="F76" i="36"/>
  <c r="E76" i="36"/>
  <c r="O75" i="36"/>
  <c r="N75" i="36"/>
  <c r="K75" i="36"/>
  <c r="L75" i="36" s="1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O73" i="36"/>
  <c r="N73" i="36"/>
  <c r="K73" i="36"/>
  <c r="L73" i="36" s="1"/>
  <c r="H73" i="36"/>
  <c r="I73" i="36" s="1"/>
  <c r="F73" i="36"/>
  <c r="E73" i="36"/>
  <c r="O72" i="36"/>
  <c r="N72" i="36"/>
  <c r="L72" i="36"/>
  <c r="K72" i="36"/>
  <c r="H72" i="36"/>
  <c r="I72" i="36" s="1"/>
  <c r="F72" i="36"/>
  <c r="E72" i="36"/>
  <c r="N71" i="36"/>
  <c r="N91" i="36" s="1"/>
  <c r="K71" i="36"/>
  <c r="K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K61" i="36"/>
  <c r="L61" i="36" s="1"/>
  <c r="I61" i="36"/>
  <c r="H61" i="36"/>
  <c r="E61" i="36"/>
  <c r="F61" i="36" s="1"/>
  <c r="N60" i="36"/>
  <c r="O60" i="36" s="1"/>
  <c r="K60" i="36"/>
  <c r="L60" i="36" s="1"/>
  <c r="I60" i="36"/>
  <c r="H60" i="36"/>
  <c r="E60" i="36"/>
  <c r="F60" i="36" s="1"/>
  <c r="O59" i="36"/>
  <c r="N59" i="36"/>
  <c r="L59" i="36"/>
  <c r="K59" i="36"/>
  <c r="H59" i="36"/>
  <c r="I59" i="36" s="1"/>
  <c r="E59" i="36"/>
  <c r="F59" i="36" s="1"/>
  <c r="N58" i="36"/>
  <c r="O58" i="36" s="1"/>
  <c r="L58" i="36"/>
  <c r="K58" i="36"/>
  <c r="I58" i="36"/>
  <c r="H58" i="36"/>
  <c r="E58" i="36"/>
  <c r="F58" i="36" s="1"/>
  <c r="O57" i="36"/>
  <c r="N57" i="36"/>
  <c r="K57" i="36"/>
  <c r="L57" i="36" s="1"/>
  <c r="I57" i="36"/>
  <c r="H57" i="36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L53" i="36"/>
  <c r="K53" i="36"/>
  <c r="I53" i="36"/>
  <c r="H53" i="36"/>
  <c r="E53" i="36"/>
  <c r="F53" i="36" s="1"/>
  <c r="O52" i="36"/>
  <c r="N52" i="36"/>
  <c r="K52" i="36"/>
  <c r="L52" i="36" s="1"/>
  <c r="I52" i="36"/>
  <c r="H52" i="36"/>
  <c r="E52" i="36"/>
  <c r="F52" i="36" s="1"/>
  <c r="N51" i="36"/>
  <c r="O51" i="36" s="1"/>
  <c r="L51" i="36"/>
  <c r="K51" i="36"/>
  <c r="H51" i="36"/>
  <c r="I51" i="36" s="1"/>
  <c r="E51" i="36"/>
  <c r="F51" i="36" s="1"/>
  <c r="O50" i="36"/>
  <c r="N50" i="36"/>
  <c r="L50" i="36"/>
  <c r="K50" i="36"/>
  <c r="I50" i="36"/>
  <c r="H50" i="36"/>
  <c r="E50" i="36"/>
  <c r="F50" i="36" s="1"/>
  <c r="O49" i="36"/>
  <c r="N49" i="36"/>
  <c r="K49" i="36"/>
  <c r="L49" i="36" s="1"/>
  <c r="I49" i="36"/>
  <c r="H49" i="36"/>
  <c r="E49" i="36"/>
  <c r="F49" i="36" s="1"/>
  <c r="O48" i="36"/>
  <c r="N48" i="36"/>
  <c r="K48" i="36"/>
  <c r="L48" i="36" s="1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O46" i="36"/>
  <c r="N46" i="36"/>
  <c r="K46" i="36"/>
  <c r="L46" i="36" s="1"/>
  <c r="I46" i="36"/>
  <c r="H46" i="36"/>
  <c r="E46" i="36"/>
  <c r="F46" i="36" s="1"/>
  <c r="N45" i="36"/>
  <c r="O45" i="36" s="1"/>
  <c r="K45" i="36"/>
  <c r="L45" i="36" s="1"/>
  <c r="I45" i="36"/>
  <c r="H45" i="36"/>
  <c r="E45" i="36"/>
  <c r="F45" i="36" s="1"/>
  <c r="O44" i="36"/>
  <c r="N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E180" i="34"/>
  <c r="F180" i="34"/>
  <c r="H180" i="34"/>
  <c r="I180" i="34"/>
  <c r="E181" i="34"/>
  <c r="F181" i="34"/>
  <c r="H181" i="34"/>
  <c r="I181" i="34"/>
  <c r="E182" i="34"/>
  <c r="F182" i="34"/>
  <c r="H182" i="34"/>
  <c r="I182" i="34"/>
  <c r="E183" i="34"/>
  <c r="F183" i="34"/>
  <c r="H183" i="34"/>
  <c r="I183" i="34"/>
  <c r="E184" i="34"/>
  <c r="F184" i="34"/>
  <c r="H184" i="34"/>
  <c r="I184" i="34"/>
  <c r="E185" i="34"/>
  <c r="F185" i="34"/>
  <c r="H185" i="34"/>
  <c r="I185" i="34"/>
  <c r="E186" i="34"/>
  <c r="F186" i="34"/>
  <c r="H186" i="34"/>
  <c r="I186" i="34"/>
  <c r="E187" i="34"/>
  <c r="F187" i="34"/>
  <c r="H187" i="34"/>
  <c r="I187" i="34"/>
  <c r="E188" i="34"/>
  <c r="F188" i="34"/>
  <c r="H188" i="34"/>
  <c r="I188" i="34"/>
  <c r="E189" i="34"/>
  <c r="F189" i="34" s="1"/>
  <c r="H189" i="34"/>
  <c r="I189" i="34"/>
  <c r="E190" i="34"/>
  <c r="F190" i="34" s="1"/>
  <c r="H190" i="34"/>
  <c r="I190" i="34"/>
  <c r="E191" i="34"/>
  <c r="F191" i="34" s="1"/>
  <c r="H191" i="34"/>
  <c r="I191" i="34"/>
  <c r="E192" i="34"/>
  <c r="F192" i="34"/>
  <c r="H192" i="34"/>
  <c r="I192" i="34"/>
  <c r="E193" i="34"/>
  <c r="F193" i="34" s="1"/>
  <c r="H193" i="34"/>
  <c r="I193" i="34"/>
  <c r="E194" i="34"/>
  <c r="F194" i="34"/>
  <c r="H194" i="34"/>
  <c r="I194" i="34"/>
  <c r="E195" i="34"/>
  <c r="F195" i="34"/>
  <c r="H195" i="34"/>
  <c r="I195" i="34"/>
  <c r="E196" i="34"/>
  <c r="F196" i="34"/>
  <c r="H196" i="34"/>
  <c r="I196" i="34"/>
  <c r="E197" i="34"/>
  <c r="F197" i="34"/>
  <c r="H197" i="34"/>
  <c r="I197" i="34"/>
  <c r="E198" i="34"/>
  <c r="F198" i="34"/>
  <c r="H198" i="34"/>
  <c r="I198" i="34"/>
  <c r="H199" i="34"/>
  <c r="I199" i="34"/>
  <c r="B199" i="35"/>
  <c r="N198" i="35"/>
  <c r="O198" i="35" s="1"/>
  <c r="K198" i="35"/>
  <c r="L198" i="35" s="1"/>
  <c r="I198" i="35"/>
  <c r="H198" i="35"/>
  <c r="F198" i="35"/>
  <c r="E198" i="35"/>
  <c r="O197" i="35"/>
  <c r="N197" i="35"/>
  <c r="K197" i="35"/>
  <c r="L197" i="35" s="1"/>
  <c r="I197" i="35"/>
  <c r="H197" i="35"/>
  <c r="F197" i="35"/>
  <c r="E197" i="35"/>
  <c r="N196" i="35"/>
  <c r="O196" i="35" s="1"/>
  <c r="K196" i="35"/>
  <c r="L196" i="35" s="1"/>
  <c r="I196" i="35"/>
  <c r="H196" i="35"/>
  <c r="F196" i="35"/>
  <c r="E196" i="35"/>
  <c r="O195" i="35"/>
  <c r="N195" i="35"/>
  <c r="K195" i="35"/>
  <c r="L195" i="35" s="1"/>
  <c r="I195" i="35"/>
  <c r="H195" i="35"/>
  <c r="F195" i="35"/>
  <c r="E195" i="35"/>
  <c r="N194" i="35"/>
  <c r="O194" i="35" s="1"/>
  <c r="K194" i="35"/>
  <c r="L194" i="35" s="1"/>
  <c r="I194" i="35"/>
  <c r="H194" i="35"/>
  <c r="F194" i="35"/>
  <c r="E194" i="35"/>
  <c r="O193" i="35"/>
  <c r="N193" i="35"/>
  <c r="K193" i="35"/>
  <c r="L193" i="35" s="1"/>
  <c r="I193" i="35"/>
  <c r="H193" i="35"/>
  <c r="F193" i="35"/>
  <c r="E193" i="35"/>
  <c r="N192" i="35"/>
  <c r="O192" i="35" s="1"/>
  <c r="K192" i="35"/>
  <c r="L192" i="35" s="1"/>
  <c r="I192" i="35"/>
  <c r="H192" i="35"/>
  <c r="F192" i="35"/>
  <c r="E192" i="35"/>
  <c r="N191" i="35"/>
  <c r="O191" i="35" s="1"/>
  <c r="K191" i="35"/>
  <c r="L191" i="35" s="1"/>
  <c r="I191" i="35"/>
  <c r="H191" i="35"/>
  <c r="F191" i="35"/>
  <c r="E191" i="35"/>
  <c r="N190" i="35"/>
  <c r="O190" i="35" s="1"/>
  <c r="K190" i="35"/>
  <c r="L190" i="35" s="1"/>
  <c r="I190" i="35"/>
  <c r="H190" i="35"/>
  <c r="F190" i="35"/>
  <c r="E190" i="35"/>
  <c r="O189" i="35"/>
  <c r="N189" i="35"/>
  <c r="K189" i="35"/>
  <c r="L189" i="35" s="1"/>
  <c r="I189" i="35"/>
  <c r="H189" i="35"/>
  <c r="F189" i="35"/>
  <c r="E189" i="35"/>
  <c r="N188" i="35"/>
  <c r="O188" i="35" s="1"/>
  <c r="K188" i="35"/>
  <c r="L188" i="35" s="1"/>
  <c r="I188" i="35"/>
  <c r="H188" i="35"/>
  <c r="F188" i="35"/>
  <c r="E188" i="35"/>
  <c r="O187" i="35"/>
  <c r="N187" i="35"/>
  <c r="K187" i="35"/>
  <c r="L187" i="35" s="1"/>
  <c r="I187" i="35"/>
  <c r="H187" i="35"/>
  <c r="F187" i="35"/>
  <c r="E187" i="35"/>
  <c r="N186" i="35"/>
  <c r="O186" i="35" s="1"/>
  <c r="K186" i="35"/>
  <c r="L186" i="35" s="1"/>
  <c r="I186" i="35"/>
  <c r="H186" i="35"/>
  <c r="F186" i="35"/>
  <c r="E186" i="35"/>
  <c r="O185" i="35"/>
  <c r="N185" i="35"/>
  <c r="K185" i="35"/>
  <c r="L185" i="35" s="1"/>
  <c r="I185" i="35"/>
  <c r="H185" i="35"/>
  <c r="F185" i="35"/>
  <c r="E185" i="35"/>
  <c r="N184" i="35"/>
  <c r="O184" i="35" s="1"/>
  <c r="K184" i="35"/>
  <c r="L184" i="35" s="1"/>
  <c r="I184" i="35"/>
  <c r="H184" i="35"/>
  <c r="F184" i="35"/>
  <c r="E184" i="35"/>
  <c r="N183" i="35"/>
  <c r="O183" i="35" s="1"/>
  <c r="K183" i="35"/>
  <c r="L183" i="35" s="1"/>
  <c r="I183" i="35"/>
  <c r="H183" i="35"/>
  <c r="F183" i="35"/>
  <c r="E183" i="35"/>
  <c r="N182" i="35"/>
  <c r="O182" i="35" s="1"/>
  <c r="K182" i="35"/>
  <c r="L182" i="35" s="1"/>
  <c r="I182" i="35"/>
  <c r="H182" i="35"/>
  <c r="F182" i="35"/>
  <c r="E182" i="35"/>
  <c r="O181" i="35"/>
  <c r="N181" i="35"/>
  <c r="K181" i="35"/>
  <c r="L181" i="35" s="1"/>
  <c r="I181" i="35"/>
  <c r="H181" i="35"/>
  <c r="F181" i="35"/>
  <c r="E181" i="35"/>
  <c r="N180" i="35"/>
  <c r="O180" i="35" s="1"/>
  <c r="K180" i="35"/>
  <c r="L180" i="35" s="1"/>
  <c r="I180" i="35"/>
  <c r="H180" i="35"/>
  <c r="F180" i="35"/>
  <c r="E180" i="35"/>
  <c r="N179" i="35"/>
  <c r="K179" i="35"/>
  <c r="K199" i="35" s="1"/>
  <c r="I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I171" i="35"/>
  <c r="H171" i="35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O168" i="35"/>
  <c r="N168" i="35"/>
  <c r="K168" i="35"/>
  <c r="L168" i="35" s="1"/>
  <c r="H168" i="35"/>
  <c r="I168" i="35" s="1"/>
  <c r="E168" i="35"/>
  <c r="F168" i="35" s="1"/>
  <c r="N167" i="35"/>
  <c r="O167" i="35" s="1"/>
  <c r="K167" i="35"/>
  <c r="L167" i="35" s="1"/>
  <c r="I167" i="35"/>
  <c r="H167" i="35"/>
  <c r="E167" i="35"/>
  <c r="F167" i="35" s="1"/>
  <c r="O166" i="35"/>
  <c r="N166" i="35"/>
  <c r="K166" i="35"/>
  <c r="L166" i="35" s="1"/>
  <c r="H166" i="35"/>
  <c r="I166" i="35" s="1"/>
  <c r="E166" i="35"/>
  <c r="F166" i="35" s="1"/>
  <c r="N165" i="35"/>
  <c r="O165" i="35" s="1"/>
  <c r="L165" i="35"/>
  <c r="K165" i="35"/>
  <c r="H165" i="35"/>
  <c r="I165" i="35" s="1"/>
  <c r="E165" i="35"/>
  <c r="F165" i="35" s="1"/>
  <c r="N164" i="35"/>
  <c r="O164" i="35" s="1"/>
  <c r="K164" i="35"/>
  <c r="L164" i="35" s="1"/>
  <c r="H164" i="35"/>
  <c r="I164" i="35" s="1"/>
  <c r="E164" i="35"/>
  <c r="F164" i="35" s="1"/>
  <c r="O163" i="35"/>
  <c r="N163" i="35"/>
  <c r="L163" i="35"/>
  <c r="K163" i="35"/>
  <c r="I163" i="35"/>
  <c r="H163" i="35"/>
  <c r="E163" i="35"/>
  <c r="F163" i="35" s="1"/>
  <c r="N162" i="35"/>
  <c r="O162" i="35" s="1"/>
  <c r="K162" i="35"/>
  <c r="L162" i="35" s="1"/>
  <c r="H162" i="35"/>
  <c r="I162" i="35" s="1"/>
  <c r="E162" i="35"/>
  <c r="F162" i="35" s="1"/>
  <c r="O161" i="35"/>
  <c r="N161" i="35"/>
  <c r="K161" i="35"/>
  <c r="L161" i="35" s="1"/>
  <c r="H161" i="35"/>
  <c r="I161" i="35" s="1"/>
  <c r="E161" i="35"/>
  <c r="F161" i="35" s="1"/>
  <c r="O160" i="35"/>
  <c r="N160" i="35"/>
  <c r="K160" i="35"/>
  <c r="L160" i="35" s="1"/>
  <c r="H160" i="35"/>
  <c r="I160" i="35" s="1"/>
  <c r="E160" i="35"/>
  <c r="F160" i="35" s="1"/>
  <c r="N159" i="35"/>
  <c r="O159" i="35" s="1"/>
  <c r="K159" i="35"/>
  <c r="L159" i="35" s="1"/>
  <c r="I159" i="35"/>
  <c r="H159" i="35"/>
  <c r="E159" i="35"/>
  <c r="F159" i="35" s="1"/>
  <c r="O158" i="35"/>
  <c r="N158" i="35"/>
  <c r="L158" i="35"/>
  <c r="K158" i="35"/>
  <c r="H158" i="35"/>
  <c r="I158" i="35" s="1"/>
  <c r="E158" i="35"/>
  <c r="F158" i="35" s="1"/>
  <c r="N157" i="35"/>
  <c r="O157" i="35" s="1"/>
  <c r="K157" i="35"/>
  <c r="L157" i="35" s="1"/>
  <c r="H157" i="35"/>
  <c r="I157" i="35" s="1"/>
  <c r="E157" i="35"/>
  <c r="F157" i="35" s="1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I155" i="35"/>
  <c r="H155" i="35"/>
  <c r="E155" i="35"/>
  <c r="F155" i="35" s="1"/>
  <c r="N154" i="35"/>
  <c r="O154" i="35" s="1"/>
  <c r="K154" i="35"/>
  <c r="L154" i="35" s="1"/>
  <c r="H154" i="35"/>
  <c r="I154" i="35" s="1"/>
  <c r="E154" i="35"/>
  <c r="F154" i="35" s="1"/>
  <c r="O153" i="35"/>
  <c r="N153" i="35"/>
  <c r="K153" i="35"/>
  <c r="L153" i="35" s="1"/>
  <c r="H153" i="35"/>
  <c r="I153" i="35" s="1"/>
  <c r="E153" i="35"/>
  <c r="F153" i="35" s="1"/>
  <c r="N152" i="35"/>
  <c r="K152" i="35"/>
  <c r="H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K142" i="35"/>
  <c r="L142" i="35" s="1"/>
  <c r="I142" i="35"/>
  <c r="H142" i="35"/>
  <c r="E142" i="35"/>
  <c r="F142" i="35" s="1"/>
  <c r="O141" i="35"/>
  <c r="N141" i="35"/>
  <c r="L141" i="35"/>
  <c r="K141" i="35"/>
  <c r="H141" i="35"/>
  <c r="I141" i="35" s="1"/>
  <c r="E141" i="35"/>
  <c r="F141" i="35" s="1"/>
  <c r="O140" i="35"/>
  <c r="N140" i="35"/>
  <c r="L140" i="35"/>
  <c r="K140" i="35"/>
  <c r="H140" i="35"/>
  <c r="I140" i="35" s="1"/>
  <c r="E140" i="35"/>
  <c r="F140" i="35" s="1"/>
  <c r="O139" i="35"/>
  <c r="N139" i="35"/>
  <c r="L139" i="35"/>
  <c r="K139" i="35"/>
  <c r="I139" i="35"/>
  <c r="H139" i="35"/>
  <c r="E139" i="35"/>
  <c r="F139" i="35" s="1"/>
  <c r="N138" i="35"/>
  <c r="O138" i="35" s="1"/>
  <c r="K138" i="35"/>
  <c r="L138" i="35" s="1"/>
  <c r="I138" i="35"/>
  <c r="H138" i="35"/>
  <c r="E138" i="35"/>
  <c r="F138" i="35" s="1"/>
  <c r="N137" i="35"/>
  <c r="O137" i="35" s="1"/>
  <c r="L137" i="35"/>
  <c r="K137" i="35"/>
  <c r="H137" i="35"/>
  <c r="I137" i="35" s="1"/>
  <c r="E137" i="35"/>
  <c r="F137" i="35" s="1"/>
  <c r="N136" i="35"/>
  <c r="O136" i="35" s="1"/>
  <c r="L136" i="35"/>
  <c r="K136" i="35"/>
  <c r="H136" i="35"/>
  <c r="I136" i="35" s="1"/>
  <c r="E136" i="35"/>
  <c r="F136" i="35" s="1"/>
  <c r="N135" i="35"/>
  <c r="O135" i="35" s="1"/>
  <c r="L135" i="35"/>
  <c r="K135" i="35"/>
  <c r="I135" i="35"/>
  <c r="H135" i="35"/>
  <c r="E135" i="35"/>
  <c r="F135" i="35" s="1"/>
  <c r="O134" i="35"/>
  <c r="N134" i="35"/>
  <c r="K134" i="35"/>
  <c r="L134" i="35" s="1"/>
  <c r="I134" i="35"/>
  <c r="H134" i="35"/>
  <c r="E134" i="35"/>
  <c r="F134" i="35" s="1"/>
  <c r="O133" i="35"/>
  <c r="N133" i="35"/>
  <c r="L133" i="35"/>
  <c r="K133" i="35"/>
  <c r="H133" i="35"/>
  <c r="I133" i="35" s="1"/>
  <c r="E133" i="35"/>
  <c r="F133" i="35" s="1"/>
  <c r="O132" i="35"/>
  <c r="N132" i="35"/>
  <c r="L132" i="35"/>
  <c r="K132" i="35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N130" i="35"/>
  <c r="O130" i="35" s="1"/>
  <c r="K130" i="35"/>
  <c r="L130" i="35" s="1"/>
  <c r="I130" i="35"/>
  <c r="H130" i="35"/>
  <c r="E130" i="35"/>
  <c r="F130" i="35" s="1"/>
  <c r="N129" i="35"/>
  <c r="O129" i="35" s="1"/>
  <c r="L129" i="35"/>
  <c r="K129" i="35"/>
  <c r="H129" i="35"/>
  <c r="I129" i="35" s="1"/>
  <c r="E129" i="35"/>
  <c r="F129" i="35" s="1"/>
  <c r="N128" i="35"/>
  <c r="O128" i="35" s="1"/>
  <c r="L128" i="35"/>
  <c r="K128" i="35"/>
  <c r="H128" i="35"/>
  <c r="I128" i="35" s="1"/>
  <c r="E128" i="35"/>
  <c r="F128" i="35" s="1"/>
  <c r="N127" i="35"/>
  <c r="O127" i="35" s="1"/>
  <c r="L127" i="35"/>
  <c r="K127" i="35"/>
  <c r="I127" i="35"/>
  <c r="H127" i="35"/>
  <c r="E127" i="35"/>
  <c r="F127" i="35" s="1"/>
  <c r="O126" i="35"/>
  <c r="N126" i="35"/>
  <c r="K126" i="35"/>
  <c r="L126" i="35" s="1"/>
  <c r="I126" i="35"/>
  <c r="H126" i="35"/>
  <c r="E126" i="35"/>
  <c r="F126" i="35" s="1"/>
  <c r="O125" i="35"/>
  <c r="N125" i="35"/>
  <c r="L125" i="35"/>
  <c r="K125" i="35"/>
  <c r="H125" i="35"/>
  <c r="H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L115" i="35"/>
  <c r="K115" i="35"/>
  <c r="I115" i="35"/>
  <c r="H115" i="35"/>
  <c r="E115" i="35"/>
  <c r="F115" i="35" s="1"/>
  <c r="O114" i="35"/>
  <c r="N114" i="35"/>
  <c r="K114" i="35"/>
  <c r="L114" i="35" s="1"/>
  <c r="H114" i="35"/>
  <c r="I114" i="35" s="1"/>
  <c r="E114" i="35"/>
  <c r="F114" i="35" s="1"/>
  <c r="O113" i="35"/>
  <c r="N113" i="35"/>
  <c r="L113" i="35"/>
  <c r="K113" i="35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O111" i="35"/>
  <c r="N111" i="35"/>
  <c r="L111" i="35"/>
  <c r="K111" i="35"/>
  <c r="I111" i="35"/>
  <c r="H111" i="35"/>
  <c r="E111" i="35"/>
  <c r="F111" i="35" s="1"/>
  <c r="N110" i="35"/>
  <c r="O110" i="35" s="1"/>
  <c r="L110" i="35"/>
  <c r="K110" i="35"/>
  <c r="H110" i="35"/>
  <c r="I110" i="35" s="1"/>
  <c r="E110" i="35"/>
  <c r="F110" i="35" s="1"/>
  <c r="O109" i="35"/>
  <c r="N109" i="35"/>
  <c r="K109" i="35"/>
  <c r="L109" i="35" s="1"/>
  <c r="H109" i="35"/>
  <c r="I109" i="35" s="1"/>
  <c r="E109" i="35"/>
  <c r="F109" i="35" s="1"/>
  <c r="O108" i="35"/>
  <c r="N108" i="35"/>
  <c r="L108" i="35"/>
  <c r="K108" i="35"/>
  <c r="H108" i="35"/>
  <c r="I108" i="35" s="1"/>
  <c r="E108" i="35"/>
  <c r="F108" i="35" s="1"/>
  <c r="O107" i="35"/>
  <c r="N107" i="35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N105" i="35"/>
  <c r="O105" i="35" s="1"/>
  <c r="K105" i="35"/>
  <c r="L105" i="35" s="1"/>
  <c r="H105" i="35"/>
  <c r="I105" i="35" s="1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I103" i="35"/>
  <c r="H103" i="35"/>
  <c r="E103" i="35"/>
  <c r="F103" i="35" s="1"/>
  <c r="N102" i="35"/>
  <c r="O102" i="35" s="1"/>
  <c r="K102" i="35"/>
  <c r="L102" i="35" s="1"/>
  <c r="H102" i="35"/>
  <c r="I102" i="35" s="1"/>
  <c r="E102" i="35"/>
  <c r="F102" i="35" s="1"/>
  <c r="O101" i="35"/>
  <c r="N101" i="35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I99" i="35"/>
  <c r="H99" i="35"/>
  <c r="E99" i="35"/>
  <c r="F99" i="35" s="1"/>
  <c r="N98" i="35"/>
  <c r="K98" i="35"/>
  <c r="K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F90" i="35"/>
  <c r="E90" i="35"/>
  <c r="N89" i="35"/>
  <c r="O89" i="35" s="1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F87" i="35"/>
  <c r="E87" i="35"/>
  <c r="O86" i="35"/>
  <c r="N86" i="35"/>
  <c r="L86" i="35"/>
  <c r="K86" i="35"/>
  <c r="H86" i="35"/>
  <c r="I86" i="35" s="1"/>
  <c r="F86" i="35"/>
  <c r="E86" i="35"/>
  <c r="O85" i="35"/>
  <c r="N85" i="35"/>
  <c r="L85" i="35"/>
  <c r="K85" i="35"/>
  <c r="H85" i="35"/>
  <c r="I85" i="35" s="1"/>
  <c r="F85" i="35"/>
  <c r="E85" i="35"/>
  <c r="N84" i="35"/>
  <c r="O84" i="35" s="1"/>
  <c r="L84" i="35"/>
  <c r="K84" i="35"/>
  <c r="H84" i="35"/>
  <c r="I84" i="35" s="1"/>
  <c r="F84" i="35"/>
  <c r="E84" i="35"/>
  <c r="N83" i="35"/>
  <c r="O83" i="35" s="1"/>
  <c r="K83" i="35"/>
  <c r="L83" i="35" s="1"/>
  <c r="H83" i="35"/>
  <c r="I83" i="35" s="1"/>
  <c r="F83" i="35"/>
  <c r="E83" i="35"/>
  <c r="O82" i="35"/>
  <c r="N82" i="35"/>
  <c r="L82" i="35"/>
  <c r="K82" i="35"/>
  <c r="H82" i="35"/>
  <c r="I82" i="35" s="1"/>
  <c r="F82" i="35"/>
  <c r="E82" i="35"/>
  <c r="N81" i="35"/>
  <c r="O81" i="35" s="1"/>
  <c r="L81" i="35"/>
  <c r="K81" i="35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F79" i="35"/>
  <c r="E79" i="35"/>
  <c r="N78" i="35"/>
  <c r="O78" i="35" s="1"/>
  <c r="L78" i="35"/>
  <c r="K78" i="35"/>
  <c r="H78" i="35"/>
  <c r="I78" i="35" s="1"/>
  <c r="F78" i="35"/>
  <c r="E78" i="35"/>
  <c r="N77" i="35"/>
  <c r="O77" i="35" s="1"/>
  <c r="L77" i="35"/>
  <c r="K77" i="35"/>
  <c r="H77" i="35"/>
  <c r="I77" i="35" s="1"/>
  <c r="F77" i="35"/>
  <c r="E77" i="35"/>
  <c r="N76" i="35"/>
  <c r="O76" i="35" s="1"/>
  <c r="L76" i="35"/>
  <c r="K76" i="35"/>
  <c r="H76" i="35"/>
  <c r="I76" i="35" s="1"/>
  <c r="F76" i="35"/>
  <c r="E76" i="35"/>
  <c r="O75" i="35"/>
  <c r="N75" i="35"/>
  <c r="K75" i="35"/>
  <c r="L75" i="35" s="1"/>
  <c r="H75" i="35"/>
  <c r="I75" i="35" s="1"/>
  <c r="F75" i="35"/>
  <c r="E75" i="35"/>
  <c r="N74" i="35"/>
  <c r="O74" i="35" s="1"/>
  <c r="L74" i="35"/>
  <c r="K74" i="35"/>
  <c r="H74" i="35"/>
  <c r="I74" i="35" s="1"/>
  <c r="F74" i="35"/>
  <c r="E74" i="35"/>
  <c r="O73" i="35"/>
  <c r="N73" i="35"/>
  <c r="L73" i="35"/>
  <c r="K73" i="35"/>
  <c r="H73" i="35"/>
  <c r="I73" i="35" s="1"/>
  <c r="F73" i="35"/>
  <c r="E73" i="35"/>
  <c r="O72" i="35"/>
  <c r="N72" i="35"/>
  <c r="L72" i="35"/>
  <c r="K72" i="35"/>
  <c r="H72" i="35"/>
  <c r="I72" i="35" s="1"/>
  <c r="F72" i="35"/>
  <c r="E72" i="35"/>
  <c r="N71" i="35"/>
  <c r="N91" i="35" s="1"/>
  <c r="K71" i="35"/>
  <c r="K91" i="35" s="1"/>
  <c r="H71" i="35"/>
  <c r="H91" i="35" s="1"/>
  <c r="F71" i="35"/>
  <c r="F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N61" i="35"/>
  <c r="O61" i="35" s="1"/>
  <c r="L61" i="35"/>
  <c r="K61" i="35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N57" i="35"/>
  <c r="O57" i="35" s="1"/>
  <c r="L57" i="35"/>
  <c r="K57" i="35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N54" i="35"/>
  <c r="O54" i="35" s="1"/>
  <c r="K54" i="35"/>
  <c r="L54" i="35" s="1"/>
  <c r="H54" i="35"/>
  <c r="I54" i="35" s="1"/>
  <c r="F54" i="35"/>
  <c r="E54" i="35"/>
  <c r="O53" i="35"/>
  <c r="N53" i="35"/>
  <c r="L53" i="35"/>
  <c r="K53" i="35"/>
  <c r="H53" i="35"/>
  <c r="I53" i="35" s="1"/>
  <c r="F53" i="35"/>
  <c r="E53" i="35"/>
  <c r="O52" i="35"/>
  <c r="N52" i="35"/>
  <c r="K52" i="35"/>
  <c r="L52" i="35" s="1"/>
  <c r="H52" i="35"/>
  <c r="I52" i="35" s="1"/>
  <c r="F52" i="35"/>
  <c r="E52" i="35"/>
  <c r="N51" i="35"/>
  <c r="O51" i="35" s="1"/>
  <c r="L51" i="35"/>
  <c r="K51" i="35"/>
  <c r="H51" i="35"/>
  <c r="I51" i="35" s="1"/>
  <c r="F51" i="35"/>
  <c r="E51" i="35"/>
  <c r="N50" i="35"/>
  <c r="O50" i="35" s="1"/>
  <c r="K50" i="35"/>
  <c r="L50" i="35" s="1"/>
  <c r="H50" i="35"/>
  <c r="I50" i="35" s="1"/>
  <c r="F50" i="35"/>
  <c r="E50" i="35"/>
  <c r="N49" i="35"/>
  <c r="O49" i="35" s="1"/>
  <c r="L49" i="35"/>
  <c r="K49" i="35"/>
  <c r="H49" i="35"/>
  <c r="I49" i="35" s="1"/>
  <c r="F49" i="35"/>
  <c r="E49" i="35"/>
  <c r="N48" i="35"/>
  <c r="O48" i="35" s="1"/>
  <c r="K48" i="35"/>
  <c r="L48" i="35" s="1"/>
  <c r="H48" i="35"/>
  <c r="I48" i="35" s="1"/>
  <c r="F48" i="35"/>
  <c r="E48" i="35"/>
  <c r="O47" i="35"/>
  <c r="N47" i="35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N45" i="35"/>
  <c r="O45" i="35" s="1"/>
  <c r="L45" i="35"/>
  <c r="K45" i="35"/>
  <c r="H45" i="35"/>
  <c r="I45" i="35" s="1"/>
  <c r="F45" i="35"/>
  <c r="E45" i="35"/>
  <c r="O44" i="35"/>
  <c r="N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I104" i="34"/>
  <c r="H104" i="34"/>
  <c r="K199" i="37" l="1"/>
  <c r="L179" i="37"/>
  <c r="L199" i="37" s="1"/>
  <c r="K172" i="37"/>
  <c r="L172" i="37"/>
  <c r="L145" i="37"/>
  <c r="K118" i="37"/>
  <c r="L98" i="37"/>
  <c r="L118" i="37" s="1"/>
  <c r="L71" i="37"/>
  <c r="L91" i="37" s="1"/>
  <c r="K64" i="37"/>
  <c r="L44" i="37"/>
  <c r="L64" i="37" s="1"/>
  <c r="I179" i="37"/>
  <c r="I199" i="37" s="1"/>
  <c r="I152" i="37"/>
  <c r="I172" i="37" s="1"/>
  <c r="I125" i="37"/>
  <c r="I145" i="37" s="1"/>
  <c r="I98" i="37"/>
  <c r="I118" i="37" s="1"/>
  <c r="I91" i="37"/>
  <c r="H91" i="37"/>
  <c r="I64" i="37"/>
  <c r="H64" i="37"/>
  <c r="E91" i="37"/>
  <c r="E64" i="37"/>
  <c r="F71" i="37"/>
  <c r="F91" i="37" s="1"/>
  <c r="F44" i="37"/>
  <c r="F64" i="37" s="1"/>
  <c r="E145" i="37"/>
  <c r="E118" i="37"/>
  <c r="O145" i="37"/>
  <c r="N118" i="37"/>
  <c r="O118" i="37"/>
  <c r="F125" i="37"/>
  <c r="F145" i="37" s="1"/>
  <c r="F98" i="37"/>
  <c r="F118" i="37" s="1"/>
  <c r="O199" i="36"/>
  <c r="N199" i="36"/>
  <c r="N172" i="36"/>
  <c r="O152" i="36"/>
  <c r="O172" i="36" s="1"/>
  <c r="N145" i="36"/>
  <c r="N118" i="36"/>
  <c r="O98" i="36"/>
  <c r="O118" i="36" s="1"/>
  <c r="O71" i="36"/>
  <c r="O91" i="36" s="1"/>
  <c r="N64" i="36"/>
  <c r="O64" i="36"/>
  <c r="F37" i="37"/>
  <c r="N37" i="37"/>
  <c r="L37" i="37"/>
  <c r="E37" i="37"/>
  <c r="I37" i="37"/>
  <c r="K37" i="37"/>
  <c r="O37" i="37"/>
  <c r="H37" i="37"/>
  <c r="G7" i="37"/>
  <c r="K199" i="36"/>
  <c r="L179" i="36"/>
  <c r="L199" i="36" s="1"/>
  <c r="K172" i="36"/>
  <c r="L152" i="36"/>
  <c r="L172" i="36" s="1"/>
  <c r="L125" i="36"/>
  <c r="L145" i="36" s="1"/>
  <c r="L118" i="36"/>
  <c r="K118" i="36"/>
  <c r="L71" i="36"/>
  <c r="L91" i="36" s="1"/>
  <c r="G7" i="36" s="1"/>
  <c r="K64" i="36"/>
  <c r="L44" i="36"/>
  <c r="L64" i="36" s="1"/>
  <c r="I179" i="36"/>
  <c r="I199" i="36" s="1"/>
  <c r="I152" i="36"/>
  <c r="I172" i="36" s="1"/>
  <c r="H145" i="36"/>
  <c r="I125" i="36"/>
  <c r="I145" i="36" s="1"/>
  <c r="H118" i="36"/>
  <c r="I98" i="36"/>
  <c r="I118" i="36" s="1"/>
  <c r="I71" i="36"/>
  <c r="I91" i="36" s="1"/>
  <c r="I64" i="36"/>
  <c r="H64" i="36"/>
  <c r="F125" i="36"/>
  <c r="F145" i="36" s="1"/>
  <c r="F98" i="36"/>
  <c r="F118" i="36" s="1"/>
  <c r="F44" i="36"/>
  <c r="F64" i="36" s="1"/>
  <c r="N199" i="35"/>
  <c r="O179" i="35"/>
  <c r="N172" i="35"/>
  <c r="O152" i="35"/>
  <c r="O172" i="35" s="1"/>
  <c r="O145" i="35"/>
  <c r="N145" i="35"/>
  <c r="N118" i="35"/>
  <c r="O98" i="35"/>
  <c r="O118" i="35" s="1"/>
  <c r="O71" i="35"/>
  <c r="O91" i="35" s="1"/>
  <c r="G7" i="35" s="1"/>
  <c r="O64" i="35"/>
  <c r="N64" i="35"/>
  <c r="O145" i="36"/>
  <c r="K37" i="36"/>
  <c r="H37" i="36"/>
  <c r="E37" i="36"/>
  <c r="I37" i="36"/>
  <c r="F37" i="36"/>
  <c r="L37" i="36"/>
  <c r="N37" i="36"/>
  <c r="O37" i="36"/>
  <c r="G9" i="36"/>
  <c r="G5" i="36"/>
  <c r="G3" i="36"/>
  <c r="L179" i="35"/>
  <c r="L199" i="35" s="1"/>
  <c r="K172" i="35"/>
  <c r="L152" i="35"/>
  <c r="L172" i="35" s="1"/>
  <c r="K145" i="35"/>
  <c r="L145" i="35"/>
  <c r="L98" i="35"/>
  <c r="L118" i="35" s="1"/>
  <c r="L71" i="35"/>
  <c r="L91" i="35" s="1"/>
  <c r="K64" i="35"/>
  <c r="L44" i="35"/>
  <c r="L64" i="35" s="1"/>
  <c r="H172" i="35"/>
  <c r="I152" i="35"/>
  <c r="I172" i="35" s="1"/>
  <c r="I125" i="35"/>
  <c r="I145" i="35" s="1"/>
  <c r="I98" i="35"/>
  <c r="I118" i="35" s="1"/>
  <c r="I71" i="35"/>
  <c r="I91" i="35" s="1"/>
  <c r="I44" i="35"/>
  <c r="I64" i="35" s="1"/>
  <c r="F152" i="35"/>
  <c r="F172" i="35" s="1"/>
  <c r="F125" i="35"/>
  <c r="F145" i="35" s="1"/>
  <c r="F98" i="35"/>
  <c r="F118" i="35" s="1"/>
  <c r="F199" i="34"/>
  <c r="E199" i="34"/>
  <c r="I199" i="35"/>
  <c r="O199" i="35"/>
  <c r="K37" i="35"/>
  <c r="O37" i="35"/>
  <c r="F37" i="35"/>
  <c r="N37" i="35"/>
  <c r="E37" i="35"/>
  <c r="H37" i="35"/>
  <c r="L37" i="35"/>
  <c r="I37" i="35"/>
  <c r="G5" i="35"/>
  <c r="G3" i="35"/>
  <c r="G9" i="37" l="1"/>
  <c r="G5" i="37"/>
  <c r="G3" i="37"/>
  <c r="G11" i="37"/>
  <c r="G9" i="35"/>
  <c r="G11" i="36"/>
  <c r="G11" i="35"/>
  <c r="B199" i="34" l="1"/>
  <c r="N198" i="34"/>
  <c r="O198" i="34" s="1"/>
  <c r="L198" i="34"/>
  <c r="K198" i="34"/>
  <c r="N197" i="34"/>
  <c r="O197" i="34" s="1"/>
  <c r="L197" i="34"/>
  <c r="K197" i="34"/>
  <c r="N196" i="34"/>
  <c r="O196" i="34" s="1"/>
  <c r="L196" i="34"/>
  <c r="K196" i="34"/>
  <c r="N195" i="34"/>
  <c r="O195" i="34" s="1"/>
  <c r="L195" i="34"/>
  <c r="K195" i="34"/>
  <c r="N194" i="34"/>
  <c r="O194" i="34" s="1"/>
  <c r="L194" i="34"/>
  <c r="K194" i="34"/>
  <c r="N193" i="34"/>
  <c r="O193" i="34" s="1"/>
  <c r="L193" i="34"/>
  <c r="K193" i="34"/>
  <c r="N192" i="34"/>
  <c r="O192" i="34" s="1"/>
  <c r="L192" i="34"/>
  <c r="K192" i="34"/>
  <c r="N191" i="34"/>
  <c r="O191" i="34" s="1"/>
  <c r="L191" i="34"/>
  <c r="K191" i="34"/>
  <c r="N190" i="34"/>
  <c r="O190" i="34" s="1"/>
  <c r="L190" i="34"/>
  <c r="K190" i="34"/>
  <c r="N189" i="34"/>
  <c r="O189" i="34" s="1"/>
  <c r="L189" i="34"/>
  <c r="K189" i="34"/>
  <c r="N188" i="34"/>
  <c r="O188" i="34" s="1"/>
  <c r="L188" i="34"/>
  <c r="K188" i="34"/>
  <c r="N187" i="34"/>
  <c r="O187" i="34" s="1"/>
  <c r="L187" i="34"/>
  <c r="K187" i="34"/>
  <c r="N186" i="34"/>
  <c r="O186" i="34" s="1"/>
  <c r="L186" i="34"/>
  <c r="K186" i="34"/>
  <c r="N185" i="34"/>
  <c r="O185" i="34" s="1"/>
  <c r="L185" i="34"/>
  <c r="K185" i="34"/>
  <c r="N184" i="34"/>
  <c r="O184" i="34" s="1"/>
  <c r="L184" i="34"/>
  <c r="K184" i="34"/>
  <c r="N183" i="34"/>
  <c r="O183" i="34" s="1"/>
  <c r="L183" i="34"/>
  <c r="K183" i="34"/>
  <c r="N182" i="34"/>
  <c r="O182" i="34" s="1"/>
  <c r="L182" i="34"/>
  <c r="K182" i="34"/>
  <c r="N181" i="34"/>
  <c r="O181" i="34" s="1"/>
  <c r="L181" i="34"/>
  <c r="K181" i="34"/>
  <c r="N180" i="34"/>
  <c r="O180" i="34" s="1"/>
  <c r="L180" i="34"/>
  <c r="K180" i="34"/>
  <c r="N179" i="34"/>
  <c r="N199" i="34" s="1"/>
  <c r="L179" i="34"/>
  <c r="L199" i="34" s="1"/>
  <c r="K179" i="34"/>
  <c r="K199" i="34" s="1"/>
  <c r="H179" i="34"/>
  <c r="E179" i="34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L170" i="34"/>
  <c r="K170" i="34"/>
  <c r="H170" i="34"/>
  <c r="I170" i="34" s="1"/>
  <c r="F170" i="34"/>
  <c r="E170" i="34"/>
  <c r="N169" i="34"/>
  <c r="O169" i="34" s="1"/>
  <c r="L169" i="34"/>
  <c r="K169" i="34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N166" i="34"/>
  <c r="O166" i="34" s="1"/>
  <c r="L166" i="34"/>
  <c r="K166" i="34"/>
  <c r="I166" i="34"/>
  <c r="H166" i="34"/>
  <c r="E166" i="34"/>
  <c r="F166" i="34" s="1"/>
  <c r="N165" i="34"/>
  <c r="O165" i="34" s="1"/>
  <c r="L165" i="34"/>
  <c r="K165" i="34"/>
  <c r="H165" i="34"/>
  <c r="I165" i="34" s="1"/>
  <c r="E165" i="34"/>
  <c r="F165" i="34" s="1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E163" i="34"/>
  <c r="F163" i="34" s="1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N158" i="34"/>
  <c r="O158" i="34" s="1"/>
  <c r="L158" i="34"/>
  <c r="K158" i="34"/>
  <c r="I158" i="34"/>
  <c r="H158" i="34"/>
  <c r="E158" i="34"/>
  <c r="F158" i="34" s="1"/>
  <c r="N157" i="34"/>
  <c r="O157" i="34" s="1"/>
  <c r="L157" i="34"/>
  <c r="K157" i="34"/>
  <c r="H157" i="34"/>
  <c r="I157" i="34" s="1"/>
  <c r="E157" i="34"/>
  <c r="F157" i="34" s="1"/>
  <c r="N156" i="34"/>
  <c r="O156" i="34" s="1"/>
  <c r="L156" i="34"/>
  <c r="K156" i="34"/>
  <c r="H156" i="34"/>
  <c r="I156" i="34" s="1"/>
  <c r="E156" i="34"/>
  <c r="F156" i="34" s="1"/>
  <c r="N155" i="34"/>
  <c r="O155" i="34" s="1"/>
  <c r="K155" i="34"/>
  <c r="L155" i="34" s="1"/>
  <c r="I155" i="34"/>
  <c r="H155" i="34"/>
  <c r="E155" i="34"/>
  <c r="F155" i="34" s="1"/>
  <c r="N154" i="34"/>
  <c r="O154" i="34" s="1"/>
  <c r="L154" i="34"/>
  <c r="K154" i="34"/>
  <c r="H154" i="34"/>
  <c r="I154" i="34" s="1"/>
  <c r="E154" i="34"/>
  <c r="F154" i="34" s="1"/>
  <c r="N153" i="34"/>
  <c r="O153" i="34" s="1"/>
  <c r="L153" i="34"/>
  <c r="K153" i="34"/>
  <c r="H153" i="34"/>
  <c r="I153" i="34" s="1"/>
  <c r="E153" i="34"/>
  <c r="F153" i="34" s="1"/>
  <c r="N152" i="34"/>
  <c r="N172" i="34" s="1"/>
  <c r="L152" i="34"/>
  <c r="K152" i="34"/>
  <c r="K172" i="34" s="1"/>
  <c r="H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N142" i="34"/>
  <c r="O142" i="34" s="1"/>
  <c r="K142" i="34"/>
  <c r="L142" i="34" s="1"/>
  <c r="H142" i="34"/>
  <c r="I142" i="34" s="1"/>
  <c r="F142" i="34"/>
  <c r="E142" i="34"/>
  <c r="O141" i="34"/>
  <c r="N141" i="34"/>
  <c r="L141" i="34"/>
  <c r="K141" i="34"/>
  <c r="H141" i="34"/>
  <c r="I141" i="34" s="1"/>
  <c r="E141" i="34"/>
  <c r="F141" i="34" s="1"/>
  <c r="N140" i="34"/>
  <c r="O140" i="34" s="1"/>
  <c r="K140" i="34"/>
  <c r="L140" i="34" s="1"/>
  <c r="H140" i="34"/>
  <c r="I140" i="34" s="1"/>
  <c r="F140" i="34"/>
  <c r="E140" i="34"/>
  <c r="N139" i="34"/>
  <c r="O139" i="34" s="1"/>
  <c r="K139" i="34"/>
  <c r="L139" i="34" s="1"/>
  <c r="I139" i="34"/>
  <c r="H139" i="34"/>
  <c r="E139" i="34"/>
  <c r="F139" i="34" s="1"/>
  <c r="O138" i="34"/>
  <c r="N138" i="34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E137" i="34"/>
  <c r="F137" i="34" s="1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L131" i="34"/>
  <c r="K131" i="34"/>
  <c r="H131" i="34"/>
  <c r="I131" i="34" s="1"/>
  <c r="E131" i="34"/>
  <c r="F131" i="34" s="1"/>
  <c r="O130" i="34"/>
  <c r="N130" i="34"/>
  <c r="L130" i="34"/>
  <c r="K130" i="34"/>
  <c r="H130" i="34"/>
  <c r="I130" i="34" s="1"/>
  <c r="F130" i="34"/>
  <c r="E130" i="34"/>
  <c r="N129" i="34"/>
  <c r="O129" i="34" s="1"/>
  <c r="K129" i="34"/>
  <c r="L129" i="34" s="1"/>
  <c r="H129" i="34"/>
  <c r="I129" i="34" s="1"/>
  <c r="E129" i="34"/>
  <c r="F129" i="34" s="1"/>
  <c r="N128" i="34"/>
  <c r="O128" i="34" s="1"/>
  <c r="K128" i="34"/>
  <c r="L128" i="34" s="1"/>
  <c r="I128" i="34"/>
  <c r="H128" i="34"/>
  <c r="F128" i="34"/>
  <c r="E128" i="34"/>
  <c r="O127" i="34"/>
  <c r="N127" i="34"/>
  <c r="K127" i="34"/>
  <c r="L127" i="34" s="1"/>
  <c r="H127" i="34"/>
  <c r="I127" i="34" s="1"/>
  <c r="E127" i="34"/>
  <c r="F127" i="34" s="1"/>
  <c r="N126" i="34"/>
  <c r="O126" i="34" s="1"/>
  <c r="K126" i="34"/>
  <c r="L126" i="34" s="1"/>
  <c r="H126" i="34"/>
  <c r="I126" i="34" s="1"/>
  <c r="E126" i="34"/>
  <c r="F126" i="34" s="1"/>
  <c r="O125" i="34"/>
  <c r="N125" i="34"/>
  <c r="K125" i="34"/>
  <c r="K145" i="34" s="1"/>
  <c r="H125" i="34"/>
  <c r="E125" i="34"/>
  <c r="F12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E117" i="34"/>
  <c r="F117" i="34" s="1"/>
  <c r="O116" i="34"/>
  <c r="N116" i="34"/>
  <c r="K116" i="34"/>
  <c r="L116" i="34" s="1"/>
  <c r="I116" i="34"/>
  <c r="H116" i="34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H113" i="34"/>
  <c r="I113" i="34" s="1"/>
  <c r="F113" i="34"/>
  <c r="E113" i="34"/>
  <c r="N112" i="34"/>
  <c r="O112" i="34" s="1"/>
  <c r="K112" i="34"/>
  <c r="L112" i="34" s="1"/>
  <c r="I112" i="34"/>
  <c r="H112" i="34"/>
  <c r="F112" i="34"/>
  <c r="E112" i="34"/>
  <c r="N111" i="34"/>
  <c r="O111" i="34" s="1"/>
  <c r="K111" i="34"/>
  <c r="L111" i="34" s="1"/>
  <c r="H111" i="34"/>
  <c r="I111" i="34" s="1"/>
  <c r="F111" i="34"/>
  <c r="E111" i="34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I108" i="34"/>
  <c r="H108" i="34"/>
  <c r="F108" i="34"/>
  <c r="E108" i="34"/>
  <c r="O107" i="34"/>
  <c r="N107" i="34"/>
  <c r="K107" i="34"/>
  <c r="L107" i="34" s="1"/>
  <c r="I107" i="34"/>
  <c r="H107" i="34"/>
  <c r="E107" i="34"/>
  <c r="F107" i="34" s="1"/>
  <c r="N106" i="34"/>
  <c r="O106" i="34" s="1"/>
  <c r="K106" i="34"/>
  <c r="L106" i="34" s="1"/>
  <c r="I106" i="34"/>
  <c r="H106" i="34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F104" i="34"/>
  <c r="E104" i="34"/>
  <c r="O103" i="34"/>
  <c r="N103" i="34"/>
  <c r="K103" i="34"/>
  <c r="L103" i="34" s="1"/>
  <c r="H103" i="34"/>
  <c r="I103" i="34" s="1"/>
  <c r="E103" i="34"/>
  <c r="F103" i="34" s="1"/>
  <c r="N102" i="34"/>
  <c r="O102" i="34" s="1"/>
  <c r="K102" i="34"/>
  <c r="L102" i="34" s="1"/>
  <c r="I102" i="34"/>
  <c r="H102" i="34"/>
  <c r="E102" i="34"/>
  <c r="F102" i="34" s="1"/>
  <c r="N101" i="34"/>
  <c r="O101" i="34" s="1"/>
  <c r="K101" i="34"/>
  <c r="L101" i="34" s="1"/>
  <c r="H101" i="34"/>
  <c r="I101" i="34" s="1"/>
  <c r="E101" i="34"/>
  <c r="F101" i="34" s="1"/>
  <c r="N100" i="34"/>
  <c r="O100" i="34" s="1"/>
  <c r="K100" i="34"/>
  <c r="L100" i="34" s="1"/>
  <c r="I100" i="34"/>
  <c r="H100" i="34"/>
  <c r="E100" i="34"/>
  <c r="F100" i="34" s="1"/>
  <c r="O99" i="34"/>
  <c r="N99" i="34"/>
  <c r="K99" i="34"/>
  <c r="L99" i="34" s="1"/>
  <c r="H99" i="34"/>
  <c r="I99" i="34" s="1"/>
  <c r="E99" i="34"/>
  <c r="F99" i="34" s="1"/>
  <c r="N98" i="34"/>
  <c r="N118" i="34" s="1"/>
  <c r="K98" i="34"/>
  <c r="K118" i="34" s="1"/>
  <c r="H98" i="34"/>
  <c r="E98" i="34"/>
  <c r="F98" i="34" s="1"/>
  <c r="M96" i="34"/>
  <c r="J96" i="34"/>
  <c r="G96" i="34"/>
  <c r="D96" i="34"/>
  <c r="B96" i="34"/>
  <c r="M95" i="34"/>
  <c r="G95" i="34"/>
  <c r="B91" i="34"/>
  <c r="N90" i="34"/>
  <c r="O90" i="34" s="1"/>
  <c r="K90" i="34"/>
  <c r="L90" i="34" s="1"/>
  <c r="H90" i="34"/>
  <c r="I90" i="34" s="1"/>
  <c r="E90" i="34"/>
  <c r="F90" i="34" s="1"/>
  <c r="N89" i="34"/>
  <c r="O89" i="34" s="1"/>
  <c r="K89" i="34"/>
  <c r="L89" i="34" s="1"/>
  <c r="H89" i="34"/>
  <c r="I89" i="34" s="1"/>
  <c r="F89" i="34"/>
  <c r="E89" i="34"/>
  <c r="O88" i="34"/>
  <c r="N88" i="34"/>
  <c r="K88" i="34"/>
  <c r="L88" i="34" s="1"/>
  <c r="H88" i="34"/>
  <c r="I88" i="34" s="1"/>
  <c r="E88" i="34"/>
  <c r="F88" i="34" s="1"/>
  <c r="O87" i="34"/>
  <c r="N87" i="34"/>
  <c r="K87" i="34"/>
  <c r="L87" i="34" s="1"/>
  <c r="H87" i="34"/>
  <c r="I87" i="34" s="1"/>
  <c r="F87" i="34"/>
  <c r="E87" i="34"/>
  <c r="O86" i="34"/>
  <c r="N86" i="34"/>
  <c r="K86" i="34"/>
  <c r="L86" i="34" s="1"/>
  <c r="I86" i="34"/>
  <c r="H86" i="34"/>
  <c r="E86" i="34"/>
  <c r="F86" i="34" s="1"/>
  <c r="N85" i="34"/>
  <c r="O85" i="34" s="1"/>
  <c r="K85" i="34"/>
  <c r="L85" i="34" s="1"/>
  <c r="H85" i="34"/>
  <c r="I85" i="34" s="1"/>
  <c r="F85" i="34"/>
  <c r="E85" i="34"/>
  <c r="N84" i="34"/>
  <c r="O84" i="34" s="1"/>
  <c r="K84" i="34"/>
  <c r="L84" i="34" s="1"/>
  <c r="H84" i="34"/>
  <c r="I84" i="34" s="1"/>
  <c r="E84" i="34"/>
  <c r="F84" i="34" s="1"/>
  <c r="O83" i="34"/>
  <c r="N83" i="34"/>
  <c r="K83" i="34"/>
  <c r="L83" i="34" s="1"/>
  <c r="H83" i="34"/>
  <c r="I83" i="34" s="1"/>
  <c r="E83" i="34"/>
  <c r="F83" i="34" s="1"/>
  <c r="N82" i="34"/>
  <c r="O82" i="34" s="1"/>
  <c r="K82" i="34"/>
  <c r="L82" i="34" s="1"/>
  <c r="H82" i="34"/>
  <c r="I82" i="34" s="1"/>
  <c r="F82" i="34"/>
  <c r="E82" i="34"/>
  <c r="N81" i="34"/>
  <c r="O81" i="34" s="1"/>
  <c r="K81" i="34"/>
  <c r="L81" i="34" s="1"/>
  <c r="H81" i="34"/>
  <c r="I81" i="34" s="1"/>
  <c r="E81" i="34"/>
  <c r="F81" i="34" s="1"/>
  <c r="N80" i="34"/>
  <c r="O80" i="34" s="1"/>
  <c r="K80" i="34"/>
  <c r="L80" i="34" s="1"/>
  <c r="H80" i="34"/>
  <c r="I80" i="34" s="1"/>
  <c r="F80" i="34"/>
  <c r="E80" i="34"/>
  <c r="O79" i="34"/>
  <c r="N79" i="34"/>
  <c r="K79" i="34"/>
  <c r="L79" i="34" s="1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K77" i="34"/>
  <c r="L77" i="34" s="1"/>
  <c r="I77" i="34"/>
  <c r="H77" i="34"/>
  <c r="F77" i="34"/>
  <c r="E77" i="34"/>
  <c r="N76" i="34"/>
  <c r="O76" i="34" s="1"/>
  <c r="K76" i="34"/>
  <c r="L76" i="34" s="1"/>
  <c r="H76" i="34"/>
  <c r="I76" i="34" s="1"/>
  <c r="E76" i="34"/>
  <c r="F76" i="34" s="1"/>
  <c r="N75" i="34"/>
  <c r="O75" i="34" s="1"/>
  <c r="K75" i="34"/>
  <c r="L75" i="34" s="1"/>
  <c r="H75" i="34"/>
  <c r="I75" i="34" s="1"/>
  <c r="E75" i="34"/>
  <c r="F75" i="34" s="1"/>
  <c r="N74" i="34"/>
  <c r="O74" i="34" s="1"/>
  <c r="K74" i="34"/>
  <c r="L74" i="34" s="1"/>
  <c r="H74" i="34"/>
  <c r="I74" i="34" s="1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H72" i="34"/>
  <c r="I72" i="34" s="1"/>
  <c r="E72" i="34"/>
  <c r="F72" i="34" s="1"/>
  <c r="O71" i="34"/>
  <c r="N71" i="34"/>
  <c r="N91" i="34" s="1"/>
  <c r="K71" i="34"/>
  <c r="K91" i="34" s="1"/>
  <c r="H71" i="34"/>
  <c r="I7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N61" i="34"/>
  <c r="O61" i="34" s="1"/>
  <c r="K61" i="34"/>
  <c r="L61" i="34" s="1"/>
  <c r="H61" i="34"/>
  <c r="I61" i="34" s="1"/>
  <c r="E61" i="34"/>
  <c r="F61" i="34" s="1"/>
  <c r="N60" i="34"/>
  <c r="O60" i="34" s="1"/>
  <c r="L60" i="34"/>
  <c r="K60" i="34"/>
  <c r="H60" i="34"/>
  <c r="I60" i="34" s="1"/>
  <c r="E60" i="34"/>
  <c r="F60" i="34" s="1"/>
  <c r="O59" i="34"/>
  <c r="N59" i="34"/>
  <c r="L59" i="34"/>
  <c r="K59" i="34"/>
  <c r="H59" i="34"/>
  <c r="I59" i="34" s="1"/>
  <c r="E59" i="34"/>
  <c r="F59" i="34" s="1"/>
  <c r="N58" i="34"/>
  <c r="O58" i="34" s="1"/>
  <c r="K58" i="34"/>
  <c r="L58" i="34" s="1"/>
  <c r="I58" i="34"/>
  <c r="H58" i="34"/>
  <c r="F58" i="34"/>
  <c r="E58" i="34"/>
  <c r="N57" i="34"/>
  <c r="O57" i="34" s="1"/>
  <c r="K57" i="34"/>
  <c r="L57" i="34" s="1"/>
  <c r="H57" i="34"/>
  <c r="I57" i="34" s="1"/>
  <c r="E57" i="34"/>
  <c r="F57" i="34" s="1"/>
  <c r="O56" i="34"/>
  <c r="N56" i="34"/>
  <c r="K56" i="34"/>
  <c r="L56" i="34" s="1"/>
  <c r="H56" i="34"/>
  <c r="I56" i="34" s="1"/>
  <c r="E56" i="34"/>
  <c r="F56" i="34" s="1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I54" i="34"/>
  <c r="H54" i="34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E51" i="34"/>
  <c r="F51" i="34" s="1"/>
  <c r="N50" i="34"/>
  <c r="O50" i="34" s="1"/>
  <c r="K50" i="34"/>
  <c r="L50" i="34" s="1"/>
  <c r="I50" i="34"/>
  <c r="H50" i="34"/>
  <c r="E50" i="34"/>
  <c r="F50" i="34" s="1"/>
  <c r="O49" i="34"/>
  <c r="N49" i="34"/>
  <c r="K49" i="34"/>
  <c r="L49" i="34" s="1"/>
  <c r="H49" i="34"/>
  <c r="I49" i="34" s="1"/>
  <c r="E49" i="34"/>
  <c r="F49" i="34" s="1"/>
  <c r="N48" i="34"/>
  <c r="O48" i="34" s="1"/>
  <c r="K48" i="34"/>
  <c r="L48" i="34" s="1"/>
  <c r="H48" i="34"/>
  <c r="I48" i="34" s="1"/>
  <c r="F48" i="34"/>
  <c r="E48" i="34"/>
  <c r="O47" i="34"/>
  <c r="N47" i="34"/>
  <c r="K47" i="34"/>
  <c r="L47" i="34" s="1"/>
  <c r="H47" i="34"/>
  <c r="I47" i="34" s="1"/>
  <c r="F47" i="34"/>
  <c r="E47" i="34"/>
  <c r="N46" i="34"/>
  <c r="O46" i="34" s="1"/>
  <c r="K46" i="34"/>
  <c r="L46" i="34" s="1"/>
  <c r="I46" i="34"/>
  <c r="H46" i="34"/>
  <c r="F46" i="34"/>
  <c r="E46" i="34"/>
  <c r="N45" i="34"/>
  <c r="O45" i="34" s="1"/>
  <c r="K45" i="34"/>
  <c r="L45" i="34" s="1"/>
  <c r="H45" i="34"/>
  <c r="I45" i="34" s="1"/>
  <c r="E45" i="34"/>
  <c r="F45" i="34" s="1"/>
  <c r="O44" i="34"/>
  <c r="N44" i="34"/>
  <c r="N64" i="34" s="1"/>
  <c r="K44" i="34"/>
  <c r="K64" i="34" s="1"/>
  <c r="I44" i="34"/>
  <c r="H44" i="34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L191" i="33"/>
  <c r="K191" i="33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L187" i="33"/>
  <c r="K187" i="33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N170" i="33"/>
  <c r="O170" i="33" s="1"/>
  <c r="K170" i="33"/>
  <c r="L170" i="33" s="1"/>
  <c r="H170" i="33"/>
  <c r="I170" i="33" s="1"/>
  <c r="E170" i="33"/>
  <c r="F170" i="33" s="1"/>
  <c r="O169" i="33"/>
  <c r="N169" i="33"/>
  <c r="L169" i="33"/>
  <c r="K169" i="33"/>
  <c r="H169" i="33"/>
  <c r="I169" i="33" s="1"/>
  <c r="E169" i="33"/>
  <c r="F169" i="33" s="1"/>
  <c r="N168" i="33"/>
  <c r="O168" i="33" s="1"/>
  <c r="K168" i="33"/>
  <c r="L168" i="33" s="1"/>
  <c r="I168" i="33"/>
  <c r="H168" i="33"/>
  <c r="E168" i="33"/>
  <c r="F168" i="33" s="1"/>
  <c r="O167" i="33"/>
  <c r="N167" i="33"/>
  <c r="L167" i="33"/>
  <c r="K167" i="33"/>
  <c r="H167" i="33"/>
  <c r="I167" i="33" s="1"/>
  <c r="E167" i="33"/>
  <c r="F167" i="33" s="1"/>
  <c r="O166" i="33"/>
  <c r="N166" i="33"/>
  <c r="K166" i="33"/>
  <c r="L166" i="33" s="1"/>
  <c r="H166" i="33"/>
  <c r="I166" i="33" s="1"/>
  <c r="E166" i="33"/>
  <c r="F166" i="33" s="1"/>
  <c r="N165" i="33"/>
  <c r="O165" i="33" s="1"/>
  <c r="K165" i="33"/>
  <c r="L165" i="33" s="1"/>
  <c r="H165" i="33"/>
  <c r="I165" i="33" s="1"/>
  <c r="E165" i="33"/>
  <c r="F165" i="33" s="1"/>
  <c r="O164" i="33"/>
  <c r="N164" i="33"/>
  <c r="K164" i="33"/>
  <c r="L164" i="33" s="1"/>
  <c r="I164" i="33"/>
  <c r="H164" i="33"/>
  <c r="E164" i="33"/>
  <c r="F164" i="33" s="1"/>
  <c r="O163" i="33"/>
  <c r="N163" i="33"/>
  <c r="K163" i="33"/>
  <c r="L163" i="33" s="1"/>
  <c r="H163" i="33"/>
  <c r="I163" i="33" s="1"/>
  <c r="E163" i="33"/>
  <c r="F163" i="33" s="1"/>
  <c r="N162" i="33"/>
  <c r="O162" i="33" s="1"/>
  <c r="L162" i="33"/>
  <c r="K162" i="33"/>
  <c r="H162" i="33"/>
  <c r="I162" i="33" s="1"/>
  <c r="E162" i="33"/>
  <c r="F162" i="33" s="1"/>
  <c r="N161" i="33"/>
  <c r="O161" i="33" s="1"/>
  <c r="K161" i="33"/>
  <c r="L161" i="33" s="1"/>
  <c r="H161" i="33"/>
  <c r="I161" i="33" s="1"/>
  <c r="E161" i="33"/>
  <c r="F161" i="33" s="1"/>
  <c r="O160" i="33"/>
  <c r="N160" i="33"/>
  <c r="L160" i="33"/>
  <c r="K160" i="33"/>
  <c r="I160" i="33"/>
  <c r="H160" i="33"/>
  <c r="E160" i="33"/>
  <c r="F160" i="33" s="1"/>
  <c r="N159" i="33"/>
  <c r="O159" i="33" s="1"/>
  <c r="K159" i="33"/>
  <c r="L159" i="33" s="1"/>
  <c r="H159" i="33"/>
  <c r="I159" i="33" s="1"/>
  <c r="E159" i="33"/>
  <c r="F159" i="33" s="1"/>
  <c r="O158" i="33"/>
  <c r="N158" i="33"/>
  <c r="L158" i="33"/>
  <c r="K158" i="33"/>
  <c r="H158" i="33"/>
  <c r="I158" i="33" s="1"/>
  <c r="E158" i="33"/>
  <c r="F158" i="33" s="1"/>
  <c r="O157" i="33"/>
  <c r="N157" i="33"/>
  <c r="K157" i="33"/>
  <c r="L157" i="33" s="1"/>
  <c r="H157" i="33"/>
  <c r="I157" i="33" s="1"/>
  <c r="E157" i="33"/>
  <c r="F157" i="33" s="1"/>
  <c r="N156" i="33"/>
  <c r="O156" i="33" s="1"/>
  <c r="K156" i="33"/>
  <c r="L156" i="33" s="1"/>
  <c r="I156" i="33"/>
  <c r="H156" i="33"/>
  <c r="E156" i="33"/>
  <c r="F156" i="33" s="1"/>
  <c r="N155" i="33"/>
  <c r="O155" i="33" s="1"/>
  <c r="L155" i="33"/>
  <c r="K155" i="33"/>
  <c r="H155" i="33"/>
  <c r="I155" i="33" s="1"/>
  <c r="E155" i="33"/>
  <c r="F155" i="33" s="1"/>
  <c r="N154" i="33"/>
  <c r="O154" i="33" s="1"/>
  <c r="K154" i="33"/>
  <c r="L154" i="33" s="1"/>
  <c r="H154" i="33"/>
  <c r="I154" i="33" s="1"/>
  <c r="E154" i="33"/>
  <c r="F154" i="33" s="1"/>
  <c r="O153" i="33"/>
  <c r="N153" i="33"/>
  <c r="L153" i="33"/>
  <c r="K153" i="33"/>
  <c r="H153" i="33"/>
  <c r="I153" i="33" s="1"/>
  <c r="E153" i="33"/>
  <c r="F153" i="33" s="1"/>
  <c r="O152" i="33"/>
  <c r="N152" i="33"/>
  <c r="K152" i="33"/>
  <c r="I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E142" i="33"/>
  <c r="F142" i="33" s="1"/>
  <c r="N141" i="33"/>
  <c r="O141" i="33" s="1"/>
  <c r="L141" i="33"/>
  <c r="K141" i="33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L139" i="33"/>
  <c r="K139" i="33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O137" i="33"/>
  <c r="N137" i="33"/>
  <c r="L137" i="33"/>
  <c r="K137" i="33"/>
  <c r="H137" i="33"/>
  <c r="I137" i="33" s="1"/>
  <c r="E137" i="33"/>
  <c r="F137" i="33" s="1"/>
  <c r="O136" i="33"/>
  <c r="N136" i="33"/>
  <c r="K136" i="33"/>
  <c r="L136" i="33" s="1"/>
  <c r="I136" i="33"/>
  <c r="H136" i="33"/>
  <c r="E136" i="33"/>
  <c r="F136" i="33" s="1"/>
  <c r="O135" i="33"/>
  <c r="N135" i="33"/>
  <c r="L135" i="33"/>
  <c r="K135" i="33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N133" i="33"/>
  <c r="O133" i="33" s="1"/>
  <c r="K133" i="33"/>
  <c r="L133" i="33" s="1"/>
  <c r="H133" i="33"/>
  <c r="I133" i="33" s="1"/>
  <c r="E133" i="33"/>
  <c r="F133" i="33" s="1"/>
  <c r="O132" i="33"/>
  <c r="N132" i="33"/>
  <c r="L132" i="33"/>
  <c r="K132" i="33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N130" i="33"/>
  <c r="O130" i="33" s="1"/>
  <c r="L130" i="33"/>
  <c r="K130" i="33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L128" i="33"/>
  <c r="K128" i="33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L126" i="33"/>
  <c r="K126" i="33"/>
  <c r="I126" i="33"/>
  <c r="H126" i="33"/>
  <c r="E126" i="33"/>
  <c r="F126" i="33" s="1"/>
  <c r="N125" i="33"/>
  <c r="N145" i="33" s="1"/>
  <c r="L125" i="33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L115" i="33"/>
  <c r="K115" i="33"/>
  <c r="I115" i="33"/>
  <c r="H115" i="33"/>
  <c r="E115" i="33"/>
  <c r="F115" i="33" s="1"/>
  <c r="N114" i="33"/>
  <c r="O114" i="33" s="1"/>
  <c r="K114" i="33"/>
  <c r="L114" i="33" s="1"/>
  <c r="H114" i="33"/>
  <c r="I114" i="33" s="1"/>
  <c r="E114" i="33"/>
  <c r="F114" i="33" s="1"/>
  <c r="O113" i="33"/>
  <c r="N113" i="33"/>
  <c r="L113" i="33"/>
  <c r="K113" i="33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O111" i="33"/>
  <c r="N111" i="33"/>
  <c r="K111" i="33"/>
  <c r="L111" i="33" s="1"/>
  <c r="I111" i="33"/>
  <c r="H111" i="33"/>
  <c r="E111" i="33"/>
  <c r="F111" i="33" s="1"/>
  <c r="N110" i="33"/>
  <c r="O110" i="33" s="1"/>
  <c r="L110" i="33"/>
  <c r="K110" i="33"/>
  <c r="H110" i="33"/>
  <c r="I110" i="33" s="1"/>
  <c r="E110" i="33"/>
  <c r="F110" i="33" s="1"/>
  <c r="O109" i="33"/>
  <c r="N109" i="33"/>
  <c r="K109" i="33"/>
  <c r="L109" i="33" s="1"/>
  <c r="I109" i="33"/>
  <c r="H109" i="33"/>
  <c r="E109" i="33"/>
  <c r="F109" i="33" s="1"/>
  <c r="N108" i="33"/>
  <c r="O108" i="33" s="1"/>
  <c r="L108" i="33"/>
  <c r="K108" i="33"/>
  <c r="H108" i="33"/>
  <c r="I108" i="33" s="1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K106" i="33"/>
  <c r="L106" i="33" s="1"/>
  <c r="H106" i="33"/>
  <c r="I106" i="33" s="1"/>
  <c r="E106" i="33"/>
  <c r="F106" i="33" s="1"/>
  <c r="O105" i="33"/>
  <c r="N105" i="33"/>
  <c r="K105" i="33"/>
  <c r="L105" i="33" s="1"/>
  <c r="I105" i="33"/>
  <c r="H105" i="33"/>
  <c r="E105" i="33"/>
  <c r="F105" i="33" s="1"/>
  <c r="N104" i="33"/>
  <c r="O104" i="33" s="1"/>
  <c r="L104" i="33"/>
  <c r="K104" i="33"/>
  <c r="H104" i="33"/>
  <c r="I104" i="33" s="1"/>
  <c r="E104" i="33"/>
  <c r="F104" i="33" s="1"/>
  <c r="O103" i="33"/>
  <c r="N103" i="33"/>
  <c r="L103" i="33"/>
  <c r="K103" i="33"/>
  <c r="I103" i="33"/>
  <c r="H103" i="33"/>
  <c r="E103" i="33"/>
  <c r="F103" i="33" s="1"/>
  <c r="O102" i="33"/>
  <c r="N102" i="33"/>
  <c r="L102" i="33"/>
  <c r="K102" i="33"/>
  <c r="H102" i="33"/>
  <c r="I102" i="33" s="1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I99" i="33"/>
  <c r="H99" i="33"/>
  <c r="E99" i="33"/>
  <c r="F99" i="33" s="1"/>
  <c r="N98" i="33"/>
  <c r="K98" i="33"/>
  <c r="K118" i="33" s="1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F88" i="33"/>
  <c r="E88" i="33"/>
  <c r="N87" i="33"/>
  <c r="O87" i="33" s="1"/>
  <c r="K87" i="33"/>
  <c r="L87" i="33" s="1"/>
  <c r="I87" i="33"/>
  <c r="H87" i="33"/>
  <c r="F87" i="33"/>
  <c r="E87" i="33"/>
  <c r="N86" i="33"/>
  <c r="O86" i="33" s="1"/>
  <c r="K86" i="33"/>
  <c r="L86" i="33" s="1"/>
  <c r="I86" i="33"/>
  <c r="H86" i="33"/>
  <c r="F86" i="33"/>
  <c r="E86" i="33"/>
  <c r="N85" i="33"/>
  <c r="O85" i="33" s="1"/>
  <c r="K85" i="33"/>
  <c r="L85" i="33" s="1"/>
  <c r="I85" i="33"/>
  <c r="H85" i="33"/>
  <c r="F85" i="33"/>
  <c r="E85" i="33"/>
  <c r="O84" i="33"/>
  <c r="N84" i="33"/>
  <c r="K84" i="33"/>
  <c r="L84" i="33" s="1"/>
  <c r="I84" i="33"/>
  <c r="H84" i="33"/>
  <c r="F84" i="33"/>
  <c r="E84" i="33"/>
  <c r="N83" i="33"/>
  <c r="O83" i="33" s="1"/>
  <c r="K83" i="33"/>
  <c r="L83" i="33" s="1"/>
  <c r="I83" i="33"/>
  <c r="H83" i="33"/>
  <c r="F83" i="33"/>
  <c r="E83" i="33"/>
  <c r="N82" i="33"/>
  <c r="O82" i="33" s="1"/>
  <c r="K82" i="33"/>
  <c r="L82" i="33" s="1"/>
  <c r="I82" i="33"/>
  <c r="H82" i="33"/>
  <c r="F82" i="33"/>
  <c r="E82" i="33"/>
  <c r="N81" i="33"/>
  <c r="O81" i="33" s="1"/>
  <c r="K81" i="33"/>
  <c r="L81" i="33" s="1"/>
  <c r="I81" i="33"/>
  <c r="H81" i="33"/>
  <c r="F81" i="33"/>
  <c r="E81" i="33"/>
  <c r="O80" i="33"/>
  <c r="N80" i="33"/>
  <c r="K80" i="33"/>
  <c r="L80" i="33" s="1"/>
  <c r="I80" i="33"/>
  <c r="H80" i="33"/>
  <c r="F80" i="33"/>
  <c r="E80" i="33"/>
  <c r="N79" i="33"/>
  <c r="O79" i="33" s="1"/>
  <c r="K79" i="33"/>
  <c r="L79" i="33" s="1"/>
  <c r="I79" i="33"/>
  <c r="H79" i="33"/>
  <c r="F79" i="33"/>
  <c r="E79" i="33"/>
  <c r="N78" i="33"/>
  <c r="O78" i="33" s="1"/>
  <c r="K78" i="33"/>
  <c r="L78" i="33" s="1"/>
  <c r="I78" i="33"/>
  <c r="H78" i="33"/>
  <c r="F78" i="33"/>
  <c r="E78" i="33"/>
  <c r="N77" i="33"/>
  <c r="O77" i="33" s="1"/>
  <c r="K77" i="33"/>
  <c r="L77" i="33" s="1"/>
  <c r="I77" i="33"/>
  <c r="H77" i="33"/>
  <c r="F77" i="33"/>
  <c r="E77" i="33"/>
  <c r="O76" i="33"/>
  <c r="N76" i="33"/>
  <c r="K76" i="33"/>
  <c r="L76" i="33" s="1"/>
  <c r="I76" i="33"/>
  <c r="H76" i="33"/>
  <c r="F76" i="33"/>
  <c r="E76" i="33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K61" i="33"/>
  <c r="L61" i="33" s="1"/>
  <c r="I61" i="33"/>
  <c r="H61" i="33"/>
  <c r="E61" i="33"/>
  <c r="F61" i="33" s="1"/>
  <c r="O60" i="33"/>
  <c r="N60" i="33"/>
  <c r="L60" i="33"/>
  <c r="K60" i="33"/>
  <c r="H60" i="33"/>
  <c r="I60" i="33" s="1"/>
  <c r="E60" i="33"/>
  <c r="F60" i="33" s="1"/>
  <c r="O59" i="33"/>
  <c r="N59" i="33"/>
  <c r="K59" i="33"/>
  <c r="L59" i="33" s="1"/>
  <c r="I59" i="33"/>
  <c r="H59" i="33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I57" i="33"/>
  <c r="H57" i="33"/>
  <c r="E57" i="33"/>
  <c r="F57" i="33" s="1"/>
  <c r="N56" i="33"/>
  <c r="O56" i="33" s="1"/>
  <c r="K56" i="33"/>
  <c r="L56" i="33" s="1"/>
  <c r="H56" i="33"/>
  <c r="I56" i="33" s="1"/>
  <c r="E56" i="33"/>
  <c r="F56" i="33" s="1"/>
  <c r="O55" i="33"/>
  <c r="N55" i="33"/>
  <c r="L55" i="33"/>
  <c r="K55" i="33"/>
  <c r="I55" i="33"/>
  <c r="H55" i="33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K53" i="33"/>
  <c r="L53" i="33" s="1"/>
  <c r="I53" i="33"/>
  <c r="H53" i="33"/>
  <c r="E53" i="33"/>
  <c r="F53" i="33" s="1"/>
  <c r="N52" i="33"/>
  <c r="O52" i="33" s="1"/>
  <c r="L52" i="33"/>
  <c r="K52" i="33"/>
  <c r="H52" i="33"/>
  <c r="I52" i="33" s="1"/>
  <c r="E52" i="33"/>
  <c r="F52" i="33" s="1"/>
  <c r="O51" i="33"/>
  <c r="N51" i="33"/>
  <c r="K51" i="33"/>
  <c r="L51" i="33" s="1"/>
  <c r="I51" i="33"/>
  <c r="H51" i="33"/>
  <c r="E51" i="33"/>
  <c r="F51" i="33" s="1"/>
  <c r="N50" i="33"/>
  <c r="O50" i="33" s="1"/>
  <c r="K50" i="33"/>
  <c r="L50" i="33" s="1"/>
  <c r="H50" i="33"/>
  <c r="I50" i="33" s="1"/>
  <c r="E50" i="33"/>
  <c r="F50" i="33" s="1"/>
  <c r="N49" i="33"/>
  <c r="O49" i="33" s="1"/>
  <c r="K49" i="33"/>
  <c r="L49" i="33" s="1"/>
  <c r="I49" i="33"/>
  <c r="H49" i="33"/>
  <c r="E49" i="33"/>
  <c r="F49" i="33" s="1"/>
  <c r="O48" i="33"/>
  <c r="N48" i="33"/>
  <c r="K48" i="33"/>
  <c r="L48" i="33" s="1"/>
  <c r="H48" i="33"/>
  <c r="I48" i="33" s="1"/>
  <c r="E48" i="33"/>
  <c r="F48" i="33" s="1"/>
  <c r="O47" i="33"/>
  <c r="N47" i="33"/>
  <c r="L47" i="33"/>
  <c r="K47" i="33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O45" i="33"/>
  <c r="N45" i="33"/>
  <c r="K45" i="33"/>
  <c r="L45" i="33" s="1"/>
  <c r="I45" i="33"/>
  <c r="H45" i="33"/>
  <c r="E45" i="33"/>
  <c r="F45" i="33" s="1"/>
  <c r="O44" i="33"/>
  <c r="N44" i="33"/>
  <c r="L44" i="33"/>
  <c r="K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N140" i="32"/>
  <c r="O140" i="32" s="1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N133" i="32"/>
  <c r="O133" i="32" s="1"/>
  <c r="K133" i="32"/>
  <c r="L133" i="32" s="1"/>
  <c r="H133" i="32"/>
  <c r="I133" i="32" s="1"/>
  <c r="E133" i="32"/>
  <c r="F133" i="32" s="1"/>
  <c r="N132" i="32"/>
  <c r="O132" i="32" s="1"/>
  <c r="L132" i="32"/>
  <c r="K132" i="32"/>
  <c r="I132" i="32"/>
  <c r="H132" i="32"/>
  <c r="E132" i="32"/>
  <c r="F132" i="32" s="1"/>
  <c r="N131" i="32"/>
  <c r="O131" i="32" s="1"/>
  <c r="K131" i="32"/>
  <c r="L131" i="32" s="1"/>
  <c r="H131" i="32"/>
  <c r="I131" i="32" s="1"/>
  <c r="E131" i="32"/>
  <c r="F131" i="32" s="1"/>
  <c r="N130" i="32"/>
  <c r="O130" i="32" s="1"/>
  <c r="L130" i="32"/>
  <c r="K130" i="32"/>
  <c r="H130" i="32"/>
  <c r="I130" i="32" s="1"/>
  <c r="E130" i="32"/>
  <c r="F130" i="32" s="1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I128" i="32"/>
  <c r="H128" i="32"/>
  <c r="E128" i="32"/>
  <c r="F128" i="32" s="1"/>
  <c r="N127" i="32"/>
  <c r="O127" i="32" s="1"/>
  <c r="L127" i="32"/>
  <c r="K127" i="32"/>
  <c r="H127" i="32"/>
  <c r="I127" i="32" s="1"/>
  <c r="E127" i="32"/>
  <c r="F127" i="32" s="1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L107" i="32"/>
  <c r="K107" i="32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N101" i="32"/>
  <c r="O101" i="32" s="1"/>
  <c r="K101" i="32"/>
  <c r="L101" i="32" s="1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L83" i="32"/>
  <c r="K83" i="32"/>
  <c r="I83" i="32"/>
  <c r="H83" i="32"/>
  <c r="E83" i="32"/>
  <c r="F83" i="32" s="1"/>
  <c r="N82" i="32"/>
  <c r="O82" i="32" s="1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N78" i="32"/>
  <c r="O78" i="32" s="1"/>
  <c r="L78" i="32"/>
  <c r="K78" i="32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I63" i="32"/>
  <c r="H63" i="32"/>
  <c r="E63" i="32"/>
  <c r="F63" i="32" s="1"/>
  <c r="N62" i="32"/>
  <c r="O62" i="32" s="1"/>
  <c r="L62" i="32"/>
  <c r="K62" i="32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L60" i="32"/>
  <c r="K60" i="32"/>
  <c r="H60" i="32"/>
  <c r="I60" i="32" s="1"/>
  <c r="E60" i="32"/>
  <c r="F60" i="32" s="1"/>
  <c r="N59" i="32"/>
  <c r="O59" i="32" s="1"/>
  <c r="L59" i="32"/>
  <c r="K59" i="32"/>
  <c r="I59" i="32"/>
  <c r="H59" i="32"/>
  <c r="E59" i="32"/>
  <c r="F59" i="32" s="1"/>
  <c r="N58" i="32"/>
  <c r="O58" i="32" s="1"/>
  <c r="K58" i="32"/>
  <c r="L58" i="32" s="1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K53" i="32"/>
  <c r="L53" i="32" s="1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N51" i="32"/>
  <c r="O51" i="32" s="1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N47" i="32"/>
  <c r="O47" i="32" s="1"/>
  <c r="K47" i="32"/>
  <c r="L47" i="32" s="1"/>
  <c r="I47" i="32"/>
  <c r="H47" i="32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79" i="34" l="1"/>
  <c r="E172" i="34"/>
  <c r="F152" i="34"/>
  <c r="F172" i="34" s="1"/>
  <c r="E118" i="34"/>
  <c r="F118" i="34"/>
  <c r="E91" i="34"/>
  <c r="F71" i="34"/>
  <c r="F91" i="34" s="1"/>
  <c r="F145" i="34"/>
  <c r="E145" i="34"/>
  <c r="E64" i="34"/>
  <c r="F64" i="34"/>
  <c r="I179" i="34"/>
  <c r="H172" i="34"/>
  <c r="I152" i="34"/>
  <c r="I172" i="34" s="1"/>
  <c r="O179" i="34"/>
  <c r="O199" i="34" s="1"/>
  <c r="O152" i="34"/>
  <c r="O172" i="34" s="1"/>
  <c r="O145" i="34"/>
  <c r="N145" i="34"/>
  <c r="O98" i="34"/>
  <c r="O118" i="34" s="1"/>
  <c r="O91" i="34"/>
  <c r="O64" i="34"/>
  <c r="H118" i="34"/>
  <c r="I98" i="34"/>
  <c r="I118" i="34" s="1"/>
  <c r="H91" i="34"/>
  <c r="I91" i="34"/>
  <c r="H145" i="34"/>
  <c r="I125" i="34"/>
  <c r="I145" i="34" s="1"/>
  <c r="H64" i="34"/>
  <c r="I64" i="34"/>
  <c r="L172" i="34"/>
  <c r="L125" i="34"/>
  <c r="L145" i="34" s="1"/>
  <c r="L98" i="34"/>
  <c r="L118" i="34" s="1"/>
  <c r="L71" i="34"/>
  <c r="L91" i="34" s="1"/>
  <c r="L44" i="34"/>
  <c r="L64" i="34" s="1"/>
  <c r="N199" i="33"/>
  <c r="O179" i="33"/>
  <c r="O199" i="33" s="1"/>
  <c r="N172" i="33"/>
  <c r="O125" i="33"/>
  <c r="O145" i="33" s="1"/>
  <c r="N118" i="33"/>
  <c r="O98" i="33"/>
  <c r="O118" i="33" s="1"/>
  <c r="O71" i="33"/>
  <c r="O91" i="33" s="1"/>
  <c r="O64" i="33"/>
  <c r="N64" i="33"/>
  <c r="F37" i="34"/>
  <c r="E37" i="34"/>
  <c r="I37" i="34"/>
  <c r="N37" i="34"/>
  <c r="K37" i="34"/>
  <c r="O37" i="34"/>
  <c r="H37" i="34"/>
  <c r="L37" i="34"/>
  <c r="G9" i="34"/>
  <c r="G5" i="34"/>
  <c r="G7" i="34"/>
  <c r="G3" i="34"/>
  <c r="K199" i="33"/>
  <c r="L199" i="33"/>
  <c r="K172" i="33"/>
  <c r="L152" i="33"/>
  <c r="L172" i="33" s="1"/>
  <c r="K145" i="33"/>
  <c r="L145" i="33"/>
  <c r="L98" i="33"/>
  <c r="L118" i="33" s="1"/>
  <c r="K91" i="33"/>
  <c r="L71" i="33"/>
  <c r="L91" i="33" s="1"/>
  <c r="G7" i="33" s="1"/>
  <c r="L64" i="33"/>
  <c r="K64" i="33"/>
  <c r="I179" i="33"/>
  <c r="I199" i="33" s="1"/>
  <c r="I172" i="33"/>
  <c r="I125" i="33"/>
  <c r="I145" i="33" s="1"/>
  <c r="I98" i="33"/>
  <c r="I118" i="33" s="1"/>
  <c r="G3" i="33" s="1"/>
  <c r="I91" i="33"/>
  <c r="I44" i="33"/>
  <c r="I64" i="33" s="1"/>
  <c r="F152" i="33"/>
  <c r="F172" i="33" s="1"/>
  <c r="F125" i="33"/>
  <c r="F145" i="33" s="1"/>
  <c r="F98" i="33"/>
  <c r="F118" i="33" s="1"/>
  <c r="F91" i="33"/>
  <c r="F44" i="33"/>
  <c r="F64" i="33" s="1"/>
  <c r="N199" i="32"/>
  <c r="O179" i="32"/>
  <c r="O199" i="32" s="1"/>
  <c r="O152" i="32"/>
  <c r="O172" i="32" s="1"/>
  <c r="O145" i="32"/>
  <c r="N145" i="32"/>
  <c r="N118" i="32"/>
  <c r="O118" i="32"/>
  <c r="N91" i="32"/>
  <c r="O71" i="32"/>
  <c r="O91" i="32" s="1"/>
  <c r="N64" i="32"/>
  <c r="O44" i="32"/>
  <c r="O64" i="32" s="1"/>
  <c r="O172" i="33"/>
  <c r="G9" i="33"/>
  <c r="K37" i="33"/>
  <c r="O37" i="33"/>
  <c r="E37" i="33"/>
  <c r="F37" i="33"/>
  <c r="N37" i="33"/>
  <c r="I37" i="33"/>
  <c r="H37" i="33"/>
  <c r="L37" i="33"/>
  <c r="G5" i="33"/>
  <c r="K199" i="32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5" i="32"/>
  <c r="G11" i="33"/>
  <c r="G9" i="3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I203" i="9"/>
  <c r="L234" i="9"/>
  <c r="L160" i="9"/>
  <c r="F102" i="9"/>
  <c r="E121" i="9"/>
  <c r="E159" i="9"/>
  <c r="C221" i="9"/>
  <c r="F191" i="9"/>
  <c r="E79" i="9"/>
  <c r="K202" i="9"/>
  <c r="L102" i="9"/>
  <c r="H106" i="9"/>
  <c r="N88" i="9"/>
  <c r="I228" i="9"/>
  <c r="C215" i="9"/>
  <c r="I257" i="9"/>
  <c r="C280" i="9"/>
  <c r="O262" i="9"/>
  <c r="O194" i="9"/>
  <c r="O261" i="9"/>
  <c r="I280" i="9"/>
  <c r="I77" i="9"/>
  <c r="K42" i="9"/>
  <c r="O149" i="9"/>
  <c r="H242" i="9"/>
  <c r="E162" i="9"/>
  <c r="K7" i="5"/>
  <c r="C74" i="9"/>
  <c r="H108" i="9"/>
  <c r="N158" i="9"/>
  <c r="N50" i="9"/>
  <c r="F216" i="9"/>
  <c r="K75" i="9"/>
  <c r="I180" i="9"/>
  <c r="N40" i="9"/>
  <c r="L177" i="9"/>
  <c r="L260" i="9"/>
  <c r="H118" i="9"/>
  <c r="I161" i="9"/>
  <c r="O235" i="9"/>
  <c r="F221" i="9"/>
  <c r="C83" i="9"/>
  <c r="C153" i="9"/>
  <c r="K25" i="3"/>
  <c r="O63" i="9"/>
  <c r="K278" i="9"/>
  <c r="F204" i="9"/>
  <c r="L106" i="9"/>
  <c r="K232" i="9"/>
  <c r="E232" i="9"/>
  <c r="K39" i="9"/>
  <c r="O200" i="9"/>
  <c r="I261" i="9"/>
  <c r="K36" i="9"/>
  <c r="K121" i="9"/>
  <c r="H213" i="9"/>
  <c r="K22" i="5"/>
  <c r="I101" i="9"/>
  <c r="H233" i="9"/>
  <c r="I153" i="9"/>
  <c r="K150" i="9"/>
  <c r="F165" i="9"/>
  <c r="O240" i="9"/>
  <c r="L119" i="9"/>
  <c r="F89" i="9"/>
  <c r="O233" i="9"/>
  <c r="H39" i="9"/>
  <c r="L176" i="9"/>
  <c r="E255" i="9"/>
  <c r="H271" i="9"/>
  <c r="F179" i="9"/>
  <c r="E73" i="9"/>
  <c r="N140" i="9"/>
  <c r="O33" i="3"/>
  <c r="I32" i="9"/>
  <c r="N146" i="9"/>
  <c r="H227" i="9"/>
  <c r="O239" i="9"/>
  <c r="O29" i="9"/>
  <c r="N180" i="9"/>
  <c r="F38" i="9"/>
  <c r="E195" i="9"/>
  <c r="F30" i="9"/>
  <c r="L189" i="9"/>
  <c r="I28" i="9"/>
  <c r="K265" i="9"/>
  <c r="O193" i="9"/>
  <c r="E278" i="9"/>
  <c r="C43" i="9"/>
  <c r="G33" i="3"/>
  <c r="F86" i="9"/>
  <c r="K263" i="9"/>
  <c r="L250" i="9"/>
  <c r="F82" i="9"/>
  <c r="I240" i="9"/>
  <c r="E49" i="9"/>
  <c r="H71" i="9"/>
  <c r="L186" i="9"/>
  <c r="N221" i="9"/>
  <c r="H122" i="9"/>
  <c r="I26" i="9"/>
  <c r="E231" i="9"/>
  <c r="E38" i="9"/>
  <c r="H274" i="9"/>
  <c r="H156" i="9"/>
  <c r="N220" i="9"/>
  <c r="K105" i="9"/>
  <c r="O264" i="9"/>
  <c r="I270" i="9"/>
  <c r="F199" i="9"/>
  <c r="O201" i="9"/>
  <c r="I49" i="9"/>
  <c r="O41" i="9"/>
  <c r="H31" i="9"/>
  <c r="N257" i="9"/>
  <c r="K184" i="9"/>
  <c r="O123" i="9"/>
  <c r="N242" i="9"/>
  <c r="K275" i="9"/>
  <c r="F178" i="9"/>
  <c r="H241" i="9"/>
  <c r="L40" i="9"/>
  <c r="E76" i="9"/>
  <c r="F155" i="9"/>
  <c r="C260" i="9"/>
  <c r="F118" i="9"/>
  <c r="K158" i="9"/>
  <c r="K9" i="5"/>
  <c r="L141" i="9"/>
  <c r="F48" i="9"/>
  <c r="F78" i="9"/>
  <c r="O159" i="9"/>
  <c r="N215" i="9"/>
  <c r="K267" i="9"/>
  <c r="I192" i="9"/>
  <c r="F50" i="9"/>
  <c r="F64" i="9"/>
  <c r="C223" i="9"/>
  <c r="H188" i="9"/>
  <c r="E37" i="9"/>
  <c r="C271" i="9"/>
  <c r="I120" i="9"/>
  <c r="E201" i="9"/>
  <c r="O88" i="9"/>
  <c r="F185" i="9"/>
  <c r="L232" i="9"/>
  <c r="I181" i="9"/>
  <c r="O222" i="9"/>
  <c r="H78" i="9"/>
  <c r="F61" i="9"/>
  <c r="K45" i="9"/>
  <c r="K140" i="9"/>
  <c r="F251" i="9"/>
  <c r="N34" i="9"/>
  <c r="I33" i="9"/>
  <c r="E263" i="9"/>
  <c r="O87" i="9"/>
  <c r="N143" i="9"/>
  <c r="N126" i="9"/>
  <c r="E222" i="9"/>
  <c r="L23" i="9"/>
  <c r="C253" i="9"/>
  <c r="L224" i="9"/>
  <c r="L230" i="9"/>
  <c r="K10" i="5"/>
  <c r="I40" i="9"/>
  <c r="O238" i="9"/>
  <c r="N115" i="9"/>
  <c r="L120" i="9"/>
  <c r="G57" i="3"/>
  <c r="C28" i="9"/>
  <c r="C219" i="9"/>
  <c r="O236" i="9"/>
  <c r="I112" i="9"/>
  <c r="E77" i="9"/>
  <c r="C258" i="9"/>
  <c r="E198" i="9"/>
  <c r="O225" i="9"/>
  <c r="O198" i="9"/>
  <c r="H44" i="9"/>
  <c r="K72" i="9"/>
  <c r="G62" i="3"/>
  <c r="E98" i="9"/>
  <c r="E279" i="9"/>
  <c r="N270" i="9"/>
  <c r="N263" i="9"/>
  <c r="E165" i="9"/>
  <c r="L200" i="9"/>
  <c r="L136" i="9"/>
  <c r="I252" i="9"/>
  <c r="K176" i="9"/>
  <c r="O63" i="3"/>
  <c r="K191" i="9"/>
  <c r="C278" i="9"/>
  <c r="K277" i="9"/>
  <c r="N269" i="9"/>
  <c r="N164" i="9"/>
  <c r="F108" i="9"/>
  <c r="N161" i="9"/>
  <c r="L144" i="9"/>
  <c r="I79" i="9"/>
  <c r="L216" i="9"/>
  <c r="N280" i="9"/>
  <c r="K9" i="3"/>
  <c r="K231" i="9"/>
  <c r="G74" i="3"/>
  <c r="H230" i="9"/>
  <c r="H75" i="9"/>
  <c r="H192" i="9"/>
  <c r="F52" i="9"/>
  <c r="L231" i="9"/>
  <c r="K61" i="3"/>
  <c r="O217" i="9"/>
  <c r="K271" i="9"/>
  <c r="O118" i="9"/>
  <c r="I127" i="9"/>
  <c r="C108" i="9"/>
  <c r="E230" i="9"/>
  <c r="H203" i="9"/>
  <c r="F160" i="9"/>
  <c r="C251" i="9"/>
  <c r="H64" i="9"/>
  <c r="L237" i="9"/>
  <c r="E265" i="9"/>
  <c r="F98" i="9"/>
  <c r="K87" i="9"/>
  <c r="K114" i="9"/>
  <c r="I190" i="9"/>
  <c r="E242" i="9"/>
  <c r="F37" i="9"/>
  <c r="L126" i="9"/>
  <c r="K218" i="9"/>
  <c r="K98" i="9"/>
  <c r="K33" i="3"/>
  <c r="K145" i="9"/>
  <c r="E40" i="9"/>
  <c r="C273" i="9"/>
  <c r="F115" i="9"/>
  <c r="L239" i="9"/>
  <c r="C75" i="9"/>
  <c r="C225" i="9"/>
  <c r="K126" i="9"/>
  <c r="E273" i="9"/>
  <c r="F162" i="9"/>
  <c r="N41" i="9"/>
  <c r="E26" i="9"/>
  <c r="C236" i="9"/>
  <c r="L269" i="9"/>
  <c r="O71" i="3"/>
  <c r="N44" i="9"/>
  <c r="C71" i="9"/>
  <c r="F85" i="9"/>
  <c r="F25" i="9"/>
  <c r="I48" i="9"/>
  <c r="O107" i="9"/>
  <c r="C101" i="9"/>
  <c r="I191" i="9"/>
  <c r="N72" i="9"/>
  <c r="K23" i="5"/>
  <c r="L202" i="9"/>
  <c r="K76" i="9"/>
  <c r="N141" i="9"/>
  <c r="N43" i="9"/>
  <c r="L140" i="9"/>
  <c r="N197" i="9"/>
  <c r="N128" i="9"/>
  <c r="O62" i="3"/>
  <c r="F255" i="9"/>
  <c r="H253" i="9"/>
  <c r="C140" i="9"/>
  <c r="N150" i="9"/>
  <c r="N222" i="9"/>
  <c r="H145" i="9"/>
  <c r="O86" i="9"/>
  <c r="O121" i="9"/>
  <c r="K11" i="5"/>
  <c r="I50" i="9"/>
  <c r="E258" i="9"/>
  <c r="O190" i="9"/>
  <c r="C146" i="9"/>
  <c r="K147" i="9"/>
  <c r="K68" i="3"/>
  <c r="K104" i="9"/>
  <c r="F240" i="9"/>
  <c r="E176" i="9"/>
  <c r="H189" i="9"/>
  <c r="H154" i="9"/>
  <c r="E161" i="9"/>
  <c r="N250" i="9"/>
  <c r="F256" i="9"/>
  <c r="C265" i="9"/>
  <c r="E227" i="9"/>
  <c r="C82" i="9"/>
  <c r="K138" i="9"/>
  <c r="C183" i="9"/>
  <c r="N60" i="9"/>
  <c r="N82" i="9"/>
  <c r="O263" i="9"/>
  <c r="K56" i="3"/>
  <c r="O199" i="9"/>
  <c r="L214" i="9"/>
  <c r="N223" i="9"/>
  <c r="N47" i="9"/>
  <c r="O266" i="9"/>
  <c r="L67" i="9"/>
  <c r="O163" i="9"/>
  <c r="F253" i="9"/>
  <c r="C47" i="9"/>
  <c r="N149" i="9"/>
  <c r="E35" i="9"/>
  <c r="K228" i="9"/>
  <c r="N181" i="9"/>
  <c r="I185" i="9"/>
  <c r="H35" i="9"/>
  <c r="N271" i="9"/>
  <c r="F100" i="9"/>
  <c r="C230" i="9"/>
  <c r="C233" i="9"/>
  <c r="K84" i="9"/>
  <c r="F83" i="9"/>
  <c r="O126" i="9"/>
  <c r="I104" i="9"/>
  <c r="I186" i="9"/>
  <c r="H163" i="9"/>
  <c r="K50" i="3"/>
  <c r="F266" i="9"/>
  <c r="N89" i="9"/>
  <c r="F254" i="9"/>
  <c r="G38" i="3"/>
  <c r="E104" i="9"/>
  <c r="K83" i="9"/>
  <c r="L151" i="9"/>
  <c r="K62" i="9"/>
  <c r="G68" i="3"/>
  <c r="N147" i="9"/>
  <c r="I197" i="9"/>
  <c r="F176" i="9"/>
  <c r="E128" i="9"/>
  <c r="L235" i="9"/>
  <c r="F147" i="9"/>
  <c r="L222" i="9"/>
  <c r="C229" i="9"/>
  <c r="I217" i="9"/>
  <c r="F29" i="9"/>
  <c r="H88" i="9"/>
  <c r="L31" i="9"/>
  <c r="H193" i="9"/>
  <c r="E99" i="9"/>
  <c r="K34" i="3"/>
  <c r="O58" i="3"/>
  <c r="L196" i="9"/>
  <c r="K61" i="9"/>
  <c r="E183" i="9"/>
  <c r="K254" i="9"/>
  <c r="O189" i="9"/>
  <c r="H201" i="9"/>
  <c r="I242" i="9"/>
  <c r="G65" i="3"/>
  <c r="C113" i="9"/>
  <c r="E80" i="9"/>
  <c r="L114" i="9"/>
  <c r="L163" i="9"/>
  <c r="I42" i="9"/>
  <c r="C73" i="9"/>
  <c r="K72" i="3"/>
  <c r="O150" i="9"/>
  <c r="N186" i="9"/>
  <c r="C50" i="9"/>
  <c r="E43" i="9"/>
  <c r="C238" i="9"/>
  <c r="I85" i="9"/>
  <c r="O41" i="3"/>
  <c r="L227" i="9"/>
  <c r="C76" i="9"/>
  <c r="C175" i="9"/>
  <c r="K11" i="3"/>
  <c r="G40" i="3"/>
  <c r="I239" i="9"/>
  <c r="N120" i="9"/>
  <c r="C256" i="9"/>
  <c r="I200" i="9"/>
  <c r="C128" i="9"/>
  <c r="K41" i="3"/>
  <c r="I227" i="9"/>
  <c r="G49" i="3"/>
  <c r="F260" i="9"/>
  <c r="O49" i="3"/>
  <c r="E145" i="9"/>
  <c r="O35" i="9"/>
  <c r="K175" i="9"/>
  <c r="K227" i="9"/>
  <c r="F116" i="9"/>
  <c r="F47" i="9"/>
  <c r="K18" i="5"/>
  <c r="F151" i="9"/>
  <c r="K6" i="5"/>
  <c r="F119" i="9"/>
  <c r="C159" i="9"/>
  <c r="H114" i="9"/>
  <c r="I139" i="9"/>
  <c r="N114" i="9"/>
  <c r="H127" i="9"/>
  <c r="H252" i="9"/>
  <c r="C155" i="9"/>
  <c r="I182" i="9"/>
  <c r="L112" i="9"/>
  <c r="E166" i="9"/>
  <c r="N265" i="9"/>
  <c r="H257" i="9"/>
  <c r="I150" i="9"/>
  <c r="I51" i="9"/>
  <c r="L26" i="9"/>
  <c r="N145" i="9"/>
  <c r="K178" i="9"/>
  <c r="C156" i="9"/>
  <c r="K198" i="9"/>
  <c r="K75" i="3"/>
  <c r="L123" i="9"/>
  <c r="E181" i="9"/>
  <c r="C186" i="9"/>
  <c r="O215" i="9"/>
  <c r="H74" i="9"/>
  <c r="C86" i="9"/>
  <c r="K215" i="9"/>
  <c r="K255" i="9"/>
  <c r="O31" i="9"/>
  <c r="O154" i="9"/>
  <c r="I122" i="9"/>
  <c r="O36" i="3"/>
  <c r="C84" i="9"/>
  <c r="F267" i="9"/>
  <c r="H194" i="9"/>
  <c r="L256" i="9"/>
  <c r="E138" i="9"/>
  <c r="L64" i="9"/>
  <c r="O257" i="9"/>
  <c r="K66" i="3"/>
  <c r="I103" i="9"/>
  <c r="C120" i="9"/>
  <c r="N184" i="9"/>
  <c r="E158" i="9"/>
  <c r="E212" i="9"/>
  <c r="H278" i="9"/>
  <c r="F33" i="9"/>
  <c r="K261" i="9"/>
  <c r="K137" i="9"/>
  <c r="O128" i="9"/>
  <c r="N139" i="9"/>
  <c r="G34" i="3"/>
  <c r="O106" i="9"/>
  <c r="C164" i="9"/>
  <c r="L271" i="9"/>
  <c r="H273" i="9"/>
  <c r="N99" i="9"/>
  <c r="N199" i="9"/>
  <c r="K23" i="9"/>
  <c r="F213" i="9"/>
  <c r="H255" i="9"/>
  <c r="L159" i="9"/>
  <c r="K106" i="9"/>
  <c r="K219" i="9"/>
  <c r="I215" i="9"/>
  <c r="H197" i="9"/>
  <c r="G72" i="3"/>
  <c r="I216" i="9"/>
  <c r="E154" i="9"/>
  <c r="N200" i="9"/>
  <c r="K252" i="9"/>
  <c r="L162" i="9"/>
  <c r="L50" i="9"/>
  <c r="G45" i="3"/>
  <c r="I264" i="9"/>
  <c r="K162" i="9"/>
  <c r="F242" i="9"/>
  <c r="I250" i="9"/>
  <c r="H136" i="9"/>
  <c r="F196" i="9"/>
  <c r="O74" i="9"/>
  <c r="G50" i="3"/>
  <c r="C64" i="9"/>
  <c r="O138" i="9"/>
  <c r="K38" i="3"/>
  <c r="O70" i="3"/>
  <c r="E217" i="9"/>
  <c r="O44" i="3"/>
  <c r="F84" i="9"/>
  <c r="K148" i="9"/>
  <c r="K181" i="9"/>
  <c r="I31" i="9"/>
  <c r="E221" i="9"/>
  <c r="I176" i="9"/>
  <c r="O32" i="3"/>
  <c r="O60" i="3"/>
  <c r="I37" i="9"/>
  <c r="K50" i="9"/>
  <c r="K185" i="9"/>
  <c r="I89" i="9"/>
  <c r="H61" i="9"/>
  <c r="F272" i="9"/>
  <c r="N201" i="9"/>
  <c r="I63" i="9"/>
  <c r="L182" i="9"/>
  <c r="E107" i="9"/>
  <c r="K225" i="9"/>
  <c r="H110" i="9"/>
  <c r="K63" i="9"/>
  <c r="K193" i="9"/>
  <c r="I84" i="9"/>
  <c r="F121" i="9"/>
  <c r="N240" i="9"/>
  <c r="C27" i="9"/>
  <c r="K44" i="9"/>
  <c r="L63" i="9"/>
  <c r="O42" i="9"/>
  <c r="O267" i="9"/>
  <c r="C181" i="9"/>
  <c r="C275" i="9"/>
  <c r="E151" i="9"/>
  <c r="L190" i="9"/>
  <c r="C163" i="9"/>
  <c r="H181" i="9"/>
  <c r="H182" i="9"/>
  <c r="K45" i="3"/>
  <c r="O212" i="9"/>
  <c r="N185" i="9"/>
  <c r="N179" i="9"/>
  <c r="O40" i="9"/>
  <c r="O45" i="9"/>
  <c r="O100" i="9"/>
  <c r="K250" i="9"/>
  <c r="K180" i="9"/>
  <c r="L127" i="9"/>
  <c r="O140" i="9"/>
  <c r="K220" i="9"/>
  <c r="C99" i="9"/>
  <c r="N277" i="9"/>
  <c r="K276" i="9"/>
  <c r="H260" i="9"/>
  <c r="C70" i="9"/>
  <c r="F217" i="9"/>
  <c r="L108" i="9"/>
  <c r="K259" i="9"/>
  <c r="I183" i="9"/>
  <c r="H276" i="9"/>
  <c r="K155" i="9"/>
  <c r="I254" i="9"/>
  <c r="F232" i="9"/>
  <c r="E90" i="9"/>
  <c r="K30" i="9"/>
  <c r="F188" i="9"/>
  <c r="L99" i="9"/>
  <c r="O23" i="9"/>
  <c r="E237" i="9"/>
  <c r="O155" i="9"/>
  <c r="F148" i="9"/>
  <c r="O62" i="9"/>
  <c r="N127" i="9"/>
  <c r="L270" i="9"/>
  <c r="K74" i="3"/>
  <c r="O147" i="9"/>
  <c r="E213" i="9"/>
  <c r="H27" i="9"/>
  <c r="C111" i="9"/>
  <c r="C142" i="9"/>
  <c r="I159" i="9"/>
  <c r="E272" i="9"/>
  <c r="N218" i="9"/>
  <c r="C198" i="9"/>
  <c r="E199" i="9"/>
  <c r="I162" i="9"/>
  <c r="I30" i="9"/>
  <c r="C66" i="9"/>
  <c r="O115" i="9"/>
  <c r="L229" i="9"/>
  <c r="O66" i="9"/>
  <c r="O114" i="9"/>
  <c r="K240" i="9"/>
  <c r="O255" i="9"/>
  <c r="L187" i="9"/>
  <c r="O202" i="9"/>
  <c r="O81" i="9"/>
  <c r="G43" i="3"/>
  <c r="L125" i="9"/>
  <c r="K251" i="9"/>
  <c r="H240" i="9"/>
  <c r="C35" i="9"/>
  <c r="E274" i="9"/>
  <c r="F113" i="9"/>
  <c r="I22" i="9"/>
  <c r="L157" i="9"/>
  <c r="O38" i="3"/>
  <c r="L219" i="9"/>
  <c r="K64" i="9"/>
  <c r="C199" i="9"/>
  <c r="I75" i="9"/>
  <c r="O78" i="9"/>
  <c r="K86" i="9"/>
  <c r="H80" i="9"/>
  <c r="F87" i="9"/>
  <c r="L223" i="9"/>
  <c r="C276" i="9"/>
  <c r="K49" i="9"/>
  <c r="K266" i="9"/>
  <c r="L101" i="9"/>
  <c r="N232" i="9"/>
  <c r="O65" i="9"/>
  <c r="O275" i="9"/>
  <c r="I34" i="9"/>
  <c r="E268" i="9"/>
  <c r="I260" i="9"/>
  <c r="H231" i="9"/>
  <c r="I232" i="9"/>
  <c r="F198" i="9"/>
  <c r="I231" i="9"/>
  <c r="C218" i="9"/>
  <c r="F137" i="9"/>
  <c r="L104" i="9"/>
  <c r="E42" i="9"/>
  <c r="I164" i="9"/>
  <c r="N213" i="9"/>
  <c r="F42" i="9"/>
  <c r="H22" i="9"/>
  <c r="C100" i="9"/>
  <c r="C106" i="9"/>
  <c r="I45" i="9"/>
  <c r="F214" i="9"/>
  <c r="F46" i="9"/>
  <c r="O82" i="9"/>
  <c r="L49" i="9"/>
  <c r="L242" i="9"/>
  <c r="F44" i="9"/>
  <c r="H237" i="9"/>
  <c r="F28" i="9"/>
  <c r="G70" i="3"/>
  <c r="E47" i="9"/>
  <c r="E100" i="9"/>
  <c r="L85" i="9"/>
  <c r="N178" i="9"/>
  <c r="K81" i="9"/>
  <c r="O72" i="9"/>
  <c r="C61" i="9"/>
  <c r="I102" i="9"/>
  <c r="O46" i="9"/>
  <c r="N33" i="9"/>
  <c r="O157" i="9"/>
  <c r="O216" i="9"/>
  <c r="H124" i="9"/>
  <c r="L148" i="9"/>
  <c r="K270" i="9"/>
  <c r="K65" i="3"/>
  <c r="N80" i="9"/>
  <c r="K196" i="9"/>
  <c r="L33" i="9"/>
  <c r="C118" i="9"/>
  <c r="C259" i="9"/>
  <c r="L238" i="9"/>
  <c r="O119" i="9"/>
  <c r="E140" i="9"/>
  <c r="N278" i="9"/>
  <c r="N234" i="9"/>
  <c r="I23" i="9"/>
  <c r="L262" i="9"/>
  <c r="H81" i="9"/>
  <c r="K33" i="9"/>
  <c r="L253" i="9"/>
  <c r="F181" i="9"/>
  <c r="L81" i="9"/>
  <c r="F156" i="9"/>
  <c r="K203" i="9"/>
  <c r="L117" i="9"/>
  <c r="K19" i="3"/>
  <c r="O218" i="9"/>
  <c r="F223" i="9"/>
  <c r="I267" i="9"/>
  <c r="H24" i="9"/>
  <c r="O44" i="9"/>
  <c r="F103" i="9"/>
  <c r="C192" i="9"/>
  <c r="K37" i="9"/>
  <c r="L275" i="9"/>
  <c r="C158" i="9"/>
  <c r="O224" i="9"/>
  <c r="N25" i="9"/>
  <c r="F69" i="9"/>
  <c r="K136" i="9"/>
  <c r="C279" i="9"/>
  <c r="I151" i="9"/>
  <c r="N65" i="9"/>
  <c r="K21" i="3"/>
  <c r="F143" i="9"/>
  <c r="N236" i="9"/>
  <c r="C22" i="9"/>
  <c r="E101" i="9"/>
  <c r="K15" i="3"/>
  <c r="H109" i="9"/>
  <c r="K23" i="3"/>
  <c r="O136" i="9"/>
  <c r="H187" i="9"/>
  <c r="O32" i="9"/>
  <c r="K118" i="9"/>
  <c r="C136" i="9"/>
  <c r="O174" i="9"/>
  <c r="E191" i="9"/>
  <c r="G73" i="3"/>
  <c r="E51" i="9"/>
  <c r="H279" i="9"/>
  <c r="K31" i="3"/>
  <c r="E149" i="9"/>
  <c r="O50" i="3"/>
  <c r="L138" i="9"/>
  <c r="C263" i="9"/>
  <c r="L111" i="9"/>
  <c r="N226" i="9"/>
  <c r="H76" i="9"/>
  <c r="E108" i="9"/>
  <c r="O120" i="9"/>
  <c r="F45" i="9"/>
  <c r="F220" i="9"/>
  <c r="E256" i="9"/>
  <c r="O33" i="9"/>
  <c r="K10" i="3"/>
  <c r="K85" i="9"/>
  <c r="I199" i="9"/>
  <c r="H159" i="9"/>
  <c r="G69" i="3"/>
  <c r="O144" i="9"/>
  <c r="E120" i="9"/>
  <c r="O31" i="3"/>
  <c r="I138" i="9"/>
  <c r="C231" i="9"/>
  <c r="F271" i="9"/>
  <c r="I60" i="9"/>
  <c r="F111" i="9"/>
  <c r="F150" i="9"/>
  <c r="H25" i="9"/>
  <c r="H123" i="9"/>
  <c r="C105" i="9"/>
  <c r="C272" i="9"/>
  <c r="L274" i="9"/>
  <c r="O195" i="9"/>
  <c r="O151" i="9"/>
  <c r="H84" i="9"/>
  <c r="E60" i="9"/>
  <c r="F264" i="9"/>
  <c r="N70" i="9"/>
  <c r="K69" i="3"/>
  <c r="E113" i="9"/>
  <c r="I147" i="9"/>
  <c r="F230" i="9"/>
  <c r="L80" i="9"/>
  <c r="N235" i="9"/>
  <c r="I105" i="9"/>
  <c r="F236" i="9"/>
  <c r="L199" i="9"/>
  <c r="H148" i="9"/>
  <c r="H258" i="9"/>
  <c r="E228" i="9"/>
  <c r="K159" i="9"/>
  <c r="E235" i="9"/>
  <c r="O36" i="9"/>
  <c r="F228" i="9"/>
  <c r="K15" i="5"/>
  <c r="H195" i="9"/>
  <c r="C200" i="9"/>
  <c r="O42" i="3"/>
  <c r="N123" i="9"/>
  <c r="G48" i="3"/>
  <c r="O183" i="9"/>
  <c r="K234" i="9"/>
  <c r="L24" i="9"/>
  <c r="K40" i="3"/>
  <c r="H137" i="9"/>
  <c r="H146" i="9"/>
  <c r="E123" i="9"/>
  <c r="K146" i="9"/>
  <c r="I279" i="9"/>
  <c r="L87" i="9"/>
  <c r="F270" i="9"/>
  <c r="E280" i="9"/>
  <c r="C195" i="9"/>
  <c r="O75" i="9"/>
  <c r="E69" i="9"/>
  <c r="N275" i="9"/>
  <c r="K40" i="9"/>
  <c r="C202" i="9"/>
  <c r="I62" i="9"/>
  <c r="N67" i="9"/>
  <c r="C147" i="9"/>
  <c r="K230" i="9"/>
  <c r="O152" i="9"/>
  <c r="O22" i="9"/>
  <c r="K63" i="3"/>
  <c r="C165" i="9"/>
  <c r="H229" i="9"/>
  <c r="K73" i="9"/>
  <c r="E147" i="9"/>
  <c r="N160" i="9"/>
  <c r="I78" i="9"/>
  <c r="L185" i="9"/>
  <c r="H225" i="9"/>
  <c r="I106" i="9"/>
  <c r="I39" i="9"/>
  <c r="E239" i="9"/>
  <c r="K6" i="3"/>
  <c r="I276" i="9"/>
  <c r="I110" i="9"/>
  <c r="L183" i="9"/>
  <c r="N241" i="9"/>
  <c r="H107" i="9"/>
  <c r="F145" i="9"/>
  <c r="N229" i="9"/>
  <c r="L48" i="9"/>
  <c r="O38" i="9"/>
  <c r="L61" i="9"/>
  <c r="E253" i="9"/>
  <c r="L155" i="9"/>
  <c r="I82" i="9"/>
  <c r="K257" i="9"/>
  <c r="K113" i="9"/>
  <c r="N26" i="9"/>
  <c r="N251" i="9"/>
  <c r="E185" i="9"/>
  <c r="I251" i="9"/>
  <c r="O48" i="3"/>
  <c r="C177" i="9"/>
  <c r="F51" i="9"/>
  <c r="I41" i="9"/>
  <c r="E142" i="9"/>
  <c r="F149" i="9"/>
  <c r="E31" i="9"/>
  <c r="L115" i="9"/>
  <c r="C138" i="9"/>
  <c r="H126" i="9"/>
  <c r="N71" i="9"/>
  <c r="C228" i="9"/>
  <c r="H153" i="9"/>
  <c r="F263" i="9"/>
  <c r="O203" i="9"/>
  <c r="L184" i="9"/>
  <c r="N36" i="9"/>
  <c r="K21" i="5"/>
  <c r="O52" i="9"/>
  <c r="I278" i="9"/>
  <c r="I189" i="9"/>
  <c r="E276" i="9"/>
  <c r="N202" i="9"/>
  <c r="N224" i="9"/>
  <c r="K8" i="5"/>
  <c r="N148" i="9"/>
  <c r="H150" i="9"/>
  <c r="I188" i="9"/>
  <c r="F268" i="9"/>
  <c r="H26" i="9"/>
  <c r="O213" i="9"/>
  <c r="I98" i="9"/>
  <c r="F43" i="9"/>
  <c r="O251" i="9"/>
  <c r="I271" i="9"/>
  <c r="E148" i="9"/>
  <c r="K13" i="3"/>
  <c r="H34" i="9"/>
  <c r="O30" i="9"/>
  <c r="F229" i="9"/>
  <c r="I236" i="9"/>
  <c r="H38" i="9"/>
  <c r="E251" i="9"/>
  <c r="F76" i="9"/>
  <c r="N101" i="9"/>
  <c r="N196" i="9"/>
  <c r="L280" i="9"/>
  <c r="L279" i="9"/>
  <c r="O28" i="9"/>
  <c r="N30" i="9"/>
  <c r="L156" i="9"/>
  <c r="K70" i="3"/>
  <c r="C104" i="9"/>
  <c r="C240" i="9"/>
  <c r="O90" i="9"/>
  <c r="L198" i="9"/>
  <c r="H185" i="9"/>
  <c r="O279" i="9"/>
  <c r="E164" i="9"/>
  <c r="F35" i="9"/>
  <c r="L77" i="9"/>
  <c r="N159" i="9"/>
  <c r="H79" i="9"/>
  <c r="N105" i="9"/>
  <c r="E125" i="9"/>
  <c r="H89" i="9"/>
  <c r="L255" i="9"/>
  <c r="E234" i="9"/>
  <c r="C149" i="9"/>
  <c r="H180" i="9"/>
  <c r="K35" i="3"/>
  <c r="O184" i="9"/>
  <c r="O103" i="9"/>
  <c r="K14" i="5"/>
  <c r="N66" i="9"/>
  <c r="I187" i="9"/>
  <c r="C39" i="9"/>
  <c r="F187" i="9"/>
  <c r="N204" i="9"/>
  <c r="F261" i="9"/>
  <c r="H67" i="9"/>
  <c r="O156" i="9"/>
  <c r="O72" i="3"/>
  <c r="L44" i="9"/>
  <c r="H184" i="9"/>
  <c r="L73" i="9"/>
  <c r="C255" i="9"/>
  <c r="E224" i="9"/>
  <c r="O64" i="3"/>
  <c r="I202" i="9"/>
  <c r="F41" i="9"/>
  <c r="O102" i="9"/>
  <c r="K195" i="9"/>
  <c r="I166" i="9"/>
  <c r="I148" i="9"/>
  <c r="C125" i="9"/>
  <c r="N256" i="9"/>
  <c r="E110" i="9"/>
  <c r="N74" i="9"/>
  <c r="F34" i="9"/>
  <c r="N52" i="9"/>
  <c r="O256" i="9"/>
  <c r="K48" i="9"/>
  <c r="E187" i="9"/>
  <c r="E119" i="9"/>
  <c r="I226" i="9"/>
  <c r="F225" i="9"/>
  <c r="C117" i="9"/>
  <c r="H112" i="9"/>
  <c r="H218" i="9"/>
  <c r="F146" i="9"/>
  <c r="H47" i="9"/>
  <c r="F235" i="9"/>
  <c r="L265" i="9"/>
  <c r="K164" i="9"/>
  <c r="K49" i="3"/>
  <c r="L241" i="9"/>
  <c r="L218" i="9"/>
  <c r="H239" i="9"/>
  <c r="C63" i="9"/>
  <c r="F203" i="9"/>
  <c r="L153" i="9"/>
  <c r="L60" i="9"/>
  <c r="K71" i="3"/>
  <c r="C122" i="9"/>
  <c r="I38" i="9"/>
  <c r="E188" i="9"/>
  <c r="I71" i="9"/>
  <c r="L272" i="9"/>
  <c r="N214" i="9"/>
  <c r="O68" i="9"/>
  <c r="K16" i="5"/>
  <c r="C274" i="9"/>
  <c r="N151" i="9"/>
  <c r="F257" i="9"/>
  <c r="C77" i="9"/>
  <c r="O259" i="9"/>
  <c r="F110" i="9"/>
  <c r="I193" i="9"/>
  <c r="I76" i="9"/>
  <c r="O180" i="9"/>
  <c r="F109" i="9"/>
  <c r="C213" i="9"/>
  <c r="N190" i="9"/>
  <c r="C85" i="9"/>
  <c r="F275" i="9"/>
  <c r="K279" i="9"/>
  <c r="K47" i="3"/>
  <c r="C270" i="9"/>
  <c r="F192" i="9"/>
  <c r="I125" i="9"/>
  <c r="G31" i="3"/>
  <c r="K73" i="3"/>
  <c r="L42" i="9"/>
  <c r="N268" i="9"/>
  <c r="H157" i="9"/>
  <c r="I107" i="9"/>
  <c r="O276" i="9"/>
  <c r="F104" i="9"/>
  <c r="G44" i="3"/>
  <c r="E48" i="9"/>
  <c r="N273" i="9"/>
  <c r="F278" i="9"/>
  <c r="O153" i="9"/>
  <c r="O110" i="9"/>
  <c r="F27" i="9"/>
  <c r="I165" i="9"/>
  <c r="H82" i="9"/>
  <c r="L47" i="9"/>
  <c r="C203" i="9"/>
  <c r="F201" i="9"/>
  <c r="K264" i="9"/>
  <c r="F112" i="9"/>
  <c r="O60" i="9"/>
  <c r="C235" i="9"/>
  <c r="K258" i="9"/>
  <c r="H102" i="9"/>
  <c r="C191" i="9"/>
  <c r="F164" i="9"/>
  <c r="I137" i="9"/>
  <c r="L27" i="9"/>
  <c r="C144" i="9"/>
  <c r="O272" i="9"/>
  <c r="F182" i="9"/>
  <c r="H30" i="9"/>
  <c r="K274" i="9"/>
  <c r="H105" i="9"/>
  <c r="H119" i="9"/>
  <c r="K111" i="9"/>
  <c r="H265" i="9"/>
  <c r="E114" i="9"/>
  <c r="N137" i="9"/>
  <c r="N176" i="9"/>
  <c r="L38" i="9"/>
  <c r="L71" i="9"/>
  <c r="K237" i="9"/>
  <c r="E157" i="9"/>
  <c r="F138" i="9"/>
  <c r="O69" i="3"/>
  <c r="O182" i="9"/>
  <c r="H199" i="9"/>
  <c r="F142" i="9"/>
  <c r="O139" i="9"/>
  <c r="H223" i="9"/>
  <c r="H68" i="9"/>
  <c r="L261" i="9"/>
  <c r="F226" i="9"/>
  <c r="I155" i="9"/>
  <c r="N22" i="9"/>
  <c r="F139" i="9"/>
  <c r="K101" i="9"/>
  <c r="I141" i="9"/>
  <c r="H83" i="9"/>
  <c r="O269" i="9"/>
  <c r="C162" i="9"/>
  <c r="I160" i="9"/>
  <c r="K256" i="9"/>
  <c r="I117" i="9"/>
  <c r="F99" i="9"/>
  <c r="O74" i="3"/>
  <c r="H28" i="9"/>
  <c r="O221" i="9"/>
  <c r="I126" i="9"/>
  <c r="O77" i="9"/>
  <c r="O73" i="9"/>
  <c r="F163" i="9"/>
  <c r="K62" i="3"/>
  <c r="K160" i="9"/>
  <c r="L178" i="9"/>
  <c r="H42" i="9"/>
  <c r="N48" i="9"/>
  <c r="E225" i="9"/>
  <c r="C268" i="9"/>
  <c r="L228" i="9"/>
  <c r="C102" i="9"/>
  <c r="H141" i="9"/>
  <c r="H235" i="9"/>
  <c r="F123" i="9"/>
  <c r="E28" i="9"/>
  <c r="H261" i="9"/>
  <c r="N78" i="9"/>
  <c r="C26" i="9"/>
  <c r="K12" i="5"/>
  <c r="G47" i="3"/>
  <c r="N279" i="9"/>
  <c r="H269" i="9"/>
  <c r="E192" i="9"/>
  <c r="N69" i="9"/>
  <c r="E241" i="9"/>
  <c r="O24" i="9"/>
  <c r="F126" i="9"/>
  <c r="H268" i="9"/>
  <c r="I224" i="9"/>
  <c r="L149" i="9"/>
  <c r="E137" i="9"/>
  <c r="N62" i="9"/>
  <c r="K26" i="9"/>
  <c r="I88" i="9"/>
  <c r="F79" i="9"/>
  <c r="K239" i="9"/>
  <c r="H98" i="9"/>
  <c r="K241" i="9"/>
  <c r="N187" i="9"/>
  <c r="H87" i="9"/>
  <c r="H143" i="9"/>
  <c r="K273" i="9"/>
  <c r="L263" i="9"/>
  <c r="K200" i="9"/>
  <c r="I44" i="9"/>
  <c r="G35" i="3"/>
  <c r="I266" i="9"/>
  <c r="K35" i="9"/>
  <c r="H250" i="9"/>
  <c r="F189" i="9"/>
  <c r="F101" i="9"/>
  <c r="O241" i="9"/>
  <c r="E214" i="9"/>
  <c r="F219" i="9"/>
  <c r="I35" i="9"/>
  <c r="L188" i="9"/>
  <c r="K102" i="9"/>
  <c r="K272" i="9"/>
  <c r="H140" i="9"/>
  <c r="N274" i="9"/>
  <c r="E189" i="9"/>
  <c r="O227" i="9"/>
  <c r="K183" i="9"/>
  <c r="L179" i="9"/>
  <c r="E218" i="9"/>
  <c r="O179" i="9"/>
  <c r="F222" i="9"/>
  <c r="L252" i="9"/>
  <c r="N77" i="9"/>
  <c r="H228" i="9"/>
  <c r="E72" i="9"/>
  <c r="C194" i="9"/>
  <c r="O61" i="3"/>
  <c r="C157" i="9"/>
  <c r="K117" i="9"/>
  <c r="H138" i="9"/>
  <c r="F66" i="9"/>
  <c r="H62" i="9"/>
  <c r="O146" i="9"/>
  <c r="H48" i="9"/>
  <c r="I158" i="9"/>
  <c r="F234" i="9"/>
  <c r="N31" i="9"/>
  <c r="F237" i="9"/>
  <c r="L147" i="9"/>
  <c r="H33" i="9"/>
  <c r="K236" i="9"/>
  <c r="K156" i="9"/>
  <c r="O61" i="9"/>
  <c r="C121" i="9"/>
  <c r="O231" i="9"/>
  <c r="N155" i="9"/>
  <c r="H196" i="9"/>
  <c r="N239" i="9"/>
  <c r="L158" i="9"/>
  <c r="F259" i="9"/>
  <c r="L137" i="9"/>
  <c r="C232" i="9"/>
  <c r="L100" i="9"/>
  <c r="E193" i="9"/>
  <c r="L165" i="9"/>
  <c r="E122" i="9"/>
  <c r="O177" i="9"/>
  <c r="F60" i="9"/>
  <c r="K260" i="9"/>
  <c r="F273" i="9"/>
  <c r="I241" i="9"/>
  <c r="E220" i="9"/>
  <c r="N23" i="9"/>
  <c r="O37" i="9"/>
  <c r="E259" i="9"/>
  <c r="K22" i="9"/>
  <c r="H128" i="9"/>
  <c r="H216" i="9"/>
  <c r="E219" i="9"/>
  <c r="N276" i="9"/>
  <c r="N195" i="9"/>
  <c r="H160" i="9"/>
  <c r="N32" i="9"/>
  <c r="L79" i="9"/>
  <c r="H69" i="9"/>
  <c r="K77" i="9"/>
  <c r="G56" i="3"/>
  <c r="F157" i="9"/>
  <c r="L145" i="9"/>
  <c r="F177" i="9"/>
  <c r="C264" i="9"/>
  <c r="L240" i="9"/>
  <c r="N42" i="9"/>
  <c r="L66" i="9"/>
  <c r="E152" i="9"/>
  <c r="L191" i="9"/>
  <c r="E275" i="9"/>
  <c r="I229" i="9"/>
  <c r="I255" i="9"/>
  <c r="O46" i="3"/>
  <c r="N156" i="9"/>
  <c r="L152" i="9"/>
  <c r="O196" i="9"/>
  <c r="E223" i="9"/>
  <c r="E160" i="9"/>
  <c r="N119" i="9"/>
  <c r="C24" i="9"/>
  <c r="O71" i="9"/>
  <c r="K157" i="9"/>
  <c r="E39" i="9"/>
  <c r="N227" i="9"/>
  <c r="H204" i="9"/>
  <c r="I175" i="9"/>
  <c r="K103" i="9"/>
  <c r="N46" i="9"/>
  <c r="H40" i="9"/>
  <c r="F193" i="9"/>
  <c r="O162" i="9"/>
  <c r="L150" i="9"/>
  <c r="G71" i="3"/>
  <c r="E261" i="9"/>
  <c r="O104" i="9"/>
  <c r="L107" i="9"/>
  <c r="K223" i="9"/>
  <c r="I47" i="9"/>
  <c r="N111" i="9"/>
  <c r="N153" i="9"/>
  <c r="O268" i="9"/>
  <c r="K238" i="9"/>
  <c r="N51" i="9"/>
  <c r="F153" i="9"/>
  <c r="C87" i="9"/>
  <c r="N192" i="9"/>
  <c r="N177" i="9"/>
  <c r="F212" i="9"/>
  <c r="K194" i="9"/>
  <c r="I61" i="9"/>
  <c r="K199" i="9"/>
  <c r="K39" i="3"/>
  <c r="H214" i="9"/>
  <c r="F140" i="9"/>
  <c r="E179" i="9"/>
  <c r="L30" i="9"/>
  <c r="I145" i="9"/>
  <c r="K29" i="9"/>
  <c r="K226" i="9"/>
  <c r="E88" i="9"/>
  <c r="K142" i="9"/>
  <c r="K34" i="9"/>
  <c r="I65" i="9"/>
  <c r="L213" i="9"/>
  <c r="K89" i="9"/>
  <c r="L180" i="9"/>
  <c r="L267" i="9"/>
  <c r="N152" i="9"/>
  <c r="H226" i="9"/>
  <c r="O122" i="9"/>
  <c r="L192" i="9"/>
  <c r="K82" i="9"/>
  <c r="I111" i="9"/>
  <c r="G32" i="3"/>
  <c r="K127" i="9"/>
  <c r="E236" i="9"/>
  <c r="E27" i="9"/>
  <c r="F280" i="9"/>
  <c r="N124" i="9"/>
  <c r="N106" i="9"/>
  <c r="K269" i="9"/>
  <c r="E229" i="9"/>
  <c r="N108" i="9"/>
  <c r="F23" i="9"/>
  <c r="L69" i="9"/>
  <c r="H267" i="9"/>
  <c r="F125" i="9"/>
  <c r="K229" i="9"/>
  <c r="O37" i="3"/>
  <c r="C90" i="9"/>
  <c r="G60" i="3"/>
  <c r="K165" i="9"/>
  <c r="L166" i="9"/>
  <c r="L193" i="9"/>
  <c r="O230" i="9"/>
  <c r="H158" i="9"/>
  <c r="I219" i="9"/>
  <c r="L98" i="9"/>
  <c r="C176" i="9"/>
  <c r="G59" i="3"/>
  <c r="O160" i="9"/>
  <c r="O57" i="3"/>
  <c r="C237" i="9"/>
  <c r="K139" i="9"/>
  <c r="L225" i="9"/>
  <c r="K188" i="9"/>
  <c r="E194" i="9"/>
  <c r="N165" i="9"/>
  <c r="L221" i="9"/>
  <c r="O59" i="3"/>
  <c r="C269" i="9"/>
  <c r="I256" i="9"/>
  <c r="F63" i="9"/>
  <c r="C40" i="9"/>
  <c r="O111" i="9"/>
  <c r="H121" i="9"/>
  <c r="K27" i="9"/>
  <c r="I66" i="9"/>
  <c r="H60" i="9"/>
  <c r="I87" i="9"/>
  <c r="O176" i="9"/>
  <c r="O80" i="9"/>
  <c r="K166" i="9"/>
  <c r="F65" i="9"/>
  <c r="H272" i="9"/>
  <c r="K214" i="9"/>
  <c r="E184" i="9"/>
  <c r="H103" i="9"/>
  <c r="E139" i="9"/>
  <c r="F200" i="9"/>
  <c r="O50" i="9"/>
  <c r="K108" i="9"/>
  <c r="F190" i="9"/>
  <c r="H217" i="9"/>
  <c r="O99" i="9"/>
  <c r="K13" i="5"/>
  <c r="H174" i="9"/>
  <c r="H164" i="9"/>
  <c r="K221" i="9"/>
  <c r="F231" i="9"/>
  <c r="H113" i="9"/>
  <c r="E215" i="9"/>
  <c r="G36" i="3"/>
  <c r="O49" i="9"/>
  <c r="E29" i="9"/>
  <c r="F215" i="9"/>
  <c r="C116" i="9"/>
  <c r="I273" i="9"/>
  <c r="O25" i="9"/>
  <c r="O197" i="9"/>
  <c r="O253" i="9"/>
  <c r="O166" i="9"/>
  <c r="K128" i="9"/>
  <c r="E155" i="9"/>
  <c r="K70" i="9"/>
  <c r="O105" i="9"/>
  <c r="O66" i="3"/>
  <c r="O124" i="9"/>
  <c r="K153" i="9"/>
  <c r="N109" i="9"/>
  <c r="L75" i="9"/>
  <c r="F158" i="9"/>
  <c r="I36" i="9"/>
  <c r="K79" i="9"/>
  <c r="L76" i="9"/>
  <c r="I100" i="9"/>
  <c r="K235" i="9"/>
  <c r="K123" i="9"/>
  <c r="O204" i="9"/>
  <c r="C23" i="9"/>
  <c r="I136" i="9"/>
  <c r="C68" i="9"/>
  <c r="C182" i="9"/>
  <c r="K141" i="9"/>
  <c r="K224" i="9"/>
  <c r="H90" i="9"/>
  <c r="I108" i="9"/>
  <c r="O68" i="3"/>
  <c r="E109" i="9"/>
  <c r="I121" i="9"/>
  <c r="H51" i="9"/>
  <c r="H29" i="9"/>
  <c r="I238" i="9"/>
  <c r="I25" i="9"/>
  <c r="F107" i="9"/>
  <c r="K217" i="9"/>
  <c r="E226" i="9"/>
  <c r="N217" i="9"/>
  <c r="F265" i="9"/>
  <c r="K44" i="3"/>
  <c r="N261" i="9"/>
  <c r="C224" i="9"/>
  <c r="K31" i="9"/>
  <c r="F238" i="9"/>
  <c r="O45" i="3"/>
  <c r="I225" i="9"/>
  <c r="K177" i="9"/>
  <c r="I81" i="9"/>
  <c r="K12" i="3"/>
  <c r="E33" i="9"/>
  <c r="K151" i="9"/>
  <c r="G75" i="3"/>
  <c r="I265" i="9"/>
  <c r="L215" i="9"/>
  <c r="C262" i="9"/>
  <c r="N138" i="9"/>
  <c r="O89" i="9"/>
  <c r="E86" i="9"/>
  <c r="I196" i="9"/>
  <c r="N45" i="9"/>
  <c r="F105" i="9"/>
  <c r="I156" i="9"/>
  <c r="K24" i="5"/>
  <c r="F276" i="9"/>
  <c r="I194" i="9"/>
  <c r="L84" i="9"/>
  <c r="K125" i="9"/>
  <c r="I177" i="9"/>
  <c r="N86" i="9"/>
  <c r="L143" i="9"/>
  <c r="H72" i="9"/>
  <c r="H236" i="9"/>
  <c r="K115" i="9"/>
  <c r="L174" i="9"/>
  <c r="I235" i="9"/>
  <c r="H186" i="9"/>
  <c r="E262" i="9"/>
  <c r="I114" i="9"/>
  <c r="G63" i="3"/>
  <c r="F144" i="9"/>
  <c r="I152" i="9"/>
  <c r="H125" i="9"/>
  <c r="E25" i="9"/>
  <c r="E269" i="9"/>
  <c r="K78" i="9"/>
  <c r="C36" i="9"/>
  <c r="G42" i="3"/>
  <c r="L268" i="9"/>
  <c r="O274" i="9"/>
  <c r="I262" i="9"/>
  <c r="N122" i="9"/>
  <c r="C266" i="9"/>
  <c r="L72" i="9"/>
  <c r="N230" i="9"/>
  <c r="I116" i="9"/>
  <c r="L51" i="9"/>
  <c r="C180" i="9"/>
  <c r="K152" i="9"/>
  <c r="O260" i="9"/>
  <c r="H275" i="9"/>
  <c r="H151" i="9"/>
  <c r="L142" i="9"/>
  <c r="L276" i="9"/>
  <c r="E75" i="9"/>
  <c r="H224" i="9"/>
  <c r="C67" i="9"/>
  <c r="H215" i="9"/>
  <c r="L65" i="9"/>
  <c r="I68" i="9"/>
  <c r="K253" i="9"/>
  <c r="F71" i="9"/>
  <c r="H177" i="9"/>
  <c r="E190" i="9"/>
  <c r="I274" i="9"/>
  <c r="H155" i="9"/>
  <c r="L110" i="9"/>
  <c r="N142" i="9"/>
  <c r="E216" i="9"/>
  <c r="E118" i="9"/>
  <c r="N144" i="9"/>
  <c r="E89" i="9"/>
  <c r="C148" i="9"/>
  <c r="F197" i="9"/>
  <c r="I221" i="9"/>
  <c r="N113" i="9"/>
  <c r="L90" i="9"/>
  <c r="E177" i="9"/>
  <c r="L28" i="9"/>
  <c r="N219" i="9"/>
  <c r="H238" i="9"/>
  <c r="K32" i="9"/>
  <c r="E266" i="9"/>
  <c r="E126" i="9"/>
  <c r="I263" i="9"/>
  <c r="E270" i="9"/>
  <c r="L37" i="9"/>
  <c r="F166" i="9"/>
  <c r="L41" i="9"/>
  <c r="O271" i="9"/>
  <c r="L128" i="9"/>
  <c r="H100" i="9"/>
  <c r="O280" i="9"/>
  <c r="C98" i="9"/>
  <c r="K38" i="9"/>
  <c r="F31" i="9"/>
  <c r="C107" i="9"/>
  <c r="C220" i="9"/>
  <c r="C52" i="9"/>
  <c r="F74" i="9"/>
  <c r="K112" i="9"/>
  <c r="F90" i="9"/>
  <c r="K189" i="9"/>
  <c r="E115" i="9"/>
  <c r="K99" i="9"/>
  <c r="N64" i="9"/>
  <c r="N258" i="9"/>
  <c r="L264" i="9"/>
  <c r="K149" i="9"/>
  <c r="E238" i="9"/>
  <c r="C37" i="9"/>
  <c r="I149" i="9"/>
  <c r="K268" i="9"/>
  <c r="K68" i="9"/>
  <c r="C60" i="9"/>
  <c r="K216" i="9"/>
  <c r="K67" i="9"/>
  <c r="G64" i="3"/>
  <c r="H101" i="9"/>
  <c r="C189" i="9"/>
  <c r="H251" i="9"/>
  <c r="F117" i="9"/>
  <c r="N266" i="9"/>
  <c r="L109" i="9"/>
  <c r="I86" i="9"/>
  <c r="O39" i="3"/>
  <c r="N193" i="9"/>
  <c r="C115" i="9"/>
  <c r="C49" i="9"/>
  <c r="K14" i="3"/>
  <c r="L113" i="9"/>
  <c r="N27" i="9"/>
  <c r="F70" i="9"/>
  <c r="G37" i="3"/>
  <c r="F81" i="9"/>
  <c r="E250" i="9"/>
  <c r="L278" i="9"/>
  <c r="H104" i="9"/>
  <c r="K64" i="3"/>
  <c r="C242" i="9"/>
  <c r="L103" i="9"/>
  <c r="H115" i="9"/>
  <c r="F227" i="9"/>
  <c r="E87" i="9"/>
  <c r="I83" i="9"/>
  <c r="K280" i="9"/>
  <c r="H263" i="9"/>
  <c r="E196" i="9"/>
  <c r="F36" i="9"/>
  <c r="H86" i="9"/>
  <c r="I157" i="9"/>
  <c r="K107" i="9"/>
  <c r="H202" i="9"/>
  <c r="I123" i="9"/>
  <c r="N253" i="9"/>
  <c r="N90" i="9"/>
  <c r="O258" i="9"/>
  <c r="K110" i="9"/>
  <c r="O56" i="3"/>
  <c r="K204" i="9"/>
  <c r="I109" i="9"/>
  <c r="E197" i="9"/>
  <c r="K46" i="3"/>
  <c r="C204" i="9"/>
  <c r="I113" i="9"/>
  <c r="C112" i="9"/>
  <c r="O158" i="9"/>
  <c r="O252" i="9"/>
  <c r="E180" i="9"/>
  <c r="I74" i="9"/>
  <c r="I195" i="9"/>
  <c r="F124" i="9"/>
  <c r="L68" i="9"/>
  <c r="K163" i="9"/>
  <c r="H264" i="9"/>
  <c r="C226" i="9"/>
  <c r="E277" i="9"/>
  <c r="H270" i="9"/>
  <c r="C29" i="9"/>
  <c r="O116" i="9"/>
  <c r="E102" i="9"/>
  <c r="O228" i="9"/>
  <c r="K66" i="9"/>
  <c r="E78" i="9"/>
  <c r="I67" i="9"/>
  <c r="E103" i="9"/>
  <c r="E23" i="9"/>
  <c r="I268" i="9"/>
  <c r="H220" i="9"/>
  <c r="L82" i="9"/>
  <c r="H178" i="9"/>
  <c r="N272" i="9"/>
  <c r="F195" i="9"/>
  <c r="E112" i="9"/>
  <c r="N231" i="9"/>
  <c r="E85" i="9"/>
  <c r="I198" i="9"/>
  <c r="N194" i="9"/>
  <c r="E146" i="9"/>
  <c r="N39" i="9"/>
  <c r="H52" i="9"/>
  <c r="L34" i="9"/>
  <c r="L46" i="9"/>
  <c r="H198" i="9"/>
  <c r="G41" i="3"/>
  <c r="L197" i="9"/>
  <c r="C185" i="9"/>
  <c r="L201" i="9"/>
  <c r="E156" i="9"/>
  <c r="I144" i="9"/>
  <c r="K60" i="9"/>
  <c r="K186" i="9"/>
  <c r="K222" i="9"/>
  <c r="C109" i="9"/>
  <c r="E271" i="9"/>
  <c r="O47" i="9"/>
  <c r="O191" i="9"/>
  <c r="I140" i="9"/>
  <c r="C89" i="9"/>
  <c r="N233" i="9"/>
  <c r="I146" i="9"/>
  <c r="I237" i="9"/>
  <c r="E175" i="9"/>
  <c r="C214" i="9"/>
  <c r="C42" i="9"/>
  <c r="H70" i="9"/>
  <c r="E67" i="9"/>
  <c r="C190" i="9"/>
  <c r="F161" i="9"/>
  <c r="I72" i="9"/>
  <c r="L195" i="9"/>
  <c r="N174" i="9"/>
  <c r="C179" i="9"/>
  <c r="O112" i="9"/>
  <c r="C45" i="9"/>
  <c r="F136" i="9"/>
  <c r="L83" i="9"/>
  <c r="N154" i="9"/>
  <c r="I90" i="9"/>
  <c r="H77" i="9"/>
  <c r="O101" i="9"/>
  <c r="L86" i="9"/>
  <c r="I230" i="9"/>
  <c r="C239" i="9"/>
  <c r="I223" i="9"/>
  <c r="L194" i="9"/>
  <c r="E65" i="9"/>
  <c r="H50" i="9"/>
  <c r="H232" i="9"/>
  <c r="I258" i="9"/>
  <c r="K47" i="9"/>
  <c r="C69" i="9"/>
  <c r="K25" i="9"/>
  <c r="L88" i="9"/>
  <c r="G39" i="3"/>
  <c r="C227" i="9"/>
  <c r="F114" i="9"/>
  <c r="K88" i="9"/>
  <c r="C252" i="9"/>
  <c r="L52" i="9"/>
  <c r="F269" i="9"/>
  <c r="N103" i="9"/>
  <c r="C126" i="9"/>
  <c r="K179" i="9"/>
  <c r="C124" i="9"/>
  <c r="G58" i="3"/>
  <c r="F239" i="9"/>
  <c r="L124" i="9"/>
  <c r="I69" i="9"/>
  <c r="K190" i="9"/>
  <c r="O265" i="9"/>
  <c r="F49" i="9"/>
  <c r="C145" i="9"/>
  <c r="I275" i="9"/>
  <c r="C88" i="9"/>
  <c r="N216" i="9"/>
  <c r="N79" i="9"/>
  <c r="E36" i="9"/>
  <c r="E182" i="9"/>
  <c r="O250" i="9"/>
  <c r="N116" i="9"/>
  <c r="K8" i="3"/>
  <c r="C257" i="9"/>
  <c r="E163" i="9"/>
  <c r="N259" i="9"/>
  <c r="K37" i="3"/>
  <c r="H23" i="9"/>
  <c r="C32" i="9"/>
  <c r="K182" i="9"/>
  <c r="I128" i="9"/>
  <c r="C141" i="9"/>
  <c r="K109" i="9"/>
  <c r="O79" i="9"/>
  <c r="O164" i="9"/>
  <c r="N189" i="9"/>
  <c r="I178" i="9"/>
  <c r="N255" i="9"/>
  <c r="H175" i="9"/>
  <c r="O67" i="3"/>
  <c r="O65" i="3"/>
  <c r="F32" i="9"/>
  <c r="N75" i="9"/>
  <c r="H277" i="9"/>
  <c r="C31" i="9"/>
  <c r="C216" i="9"/>
  <c r="C254" i="9"/>
  <c r="F26" i="9"/>
  <c r="C80" i="9"/>
  <c r="E117" i="9"/>
  <c r="O83" i="9"/>
  <c r="O137" i="9"/>
  <c r="K52" i="9"/>
  <c r="N175" i="9"/>
  <c r="H280" i="9"/>
  <c r="E50" i="9"/>
  <c r="C41" i="9"/>
  <c r="I99" i="9"/>
  <c r="E144" i="9"/>
  <c r="K90" i="9"/>
  <c r="N38" i="9"/>
  <c r="N125" i="9"/>
  <c r="N102" i="9"/>
  <c r="E141" i="9"/>
  <c r="N136" i="9"/>
  <c r="I143" i="9"/>
  <c r="I233" i="9"/>
  <c r="I259" i="9"/>
  <c r="H63" i="9"/>
  <c r="N98" i="9"/>
  <c r="K122" i="9"/>
  <c r="K24" i="3"/>
  <c r="F67" i="9"/>
  <c r="E264" i="9"/>
  <c r="E252" i="9"/>
  <c r="O70" i="9"/>
  <c r="K154" i="9"/>
  <c r="C151" i="9"/>
  <c r="N112" i="9"/>
  <c r="E240" i="9"/>
  <c r="H36" i="9"/>
  <c r="G46" i="3"/>
  <c r="O47" i="3"/>
  <c r="L105" i="9"/>
  <c r="O161" i="9"/>
  <c r="E260" i="9"/>
  <c r="O219" i="9"/>
  <c r="K32" i="3"/>
  <c r="L161" i="9"/>
  <c r="L116" i="9"/>
  <c r="I218" i="9"/>
  <c r="O113" i="9"/>
  <c r="H183" i="9"/>
  <c r="L43" i="9"/>
  <c r="E68" i="9"/>
  <c r="C62" i="9"/>
  <c r="C123" i="9"/>
  <c r="H111" i="9"/>
  <c r="C81" i="9"/>
  <c r="E32" i="9"/>
  <c r="N37" i="9"/>
  <c r="O237" i="9"/>
  <c r="I253" i="9"/>
  <c r="N35" i="9"/>
  <c r="L74" i="9"/>
  <c r="K51" i="9"/>
  <c r="O127" i="9"/>
  <c r="O69" i="9"/>
  <c r="E203" i="9"/>
  <c r="L89" i="9"/>
  <c r="K65" i="9"/>
  <c r="H147" i="9"/>
  <c r="E233" i="9"/>
  <c r="E143" i="9"/>
  <c r="C34" i="9"/>
  <c r="F77" i="9"/>
  <c r="F224" i="9"/>
  <c r="F274" i="9"/>
  <c r="N81" i="9"/>
  <c r="H254" i="9"/>
  <c r="I220" i="9"/>
  <c r="F194" i="9"/>
  <c r="N85" i="9"/>
  <c r="H165" i="9"/>
  <c r="H219" i="9"/>
  <c r="O192" i="9"/>
  <c r="H262" i="9"/>
  <c r="N260" i="9"/>
  <c r="F72" i="9"/>
  <c r="L62" i="9"/>
  <c r="H46" i="9"/>
  <c r="H222" i="9"/>
  <c r="E204" i="9"/>
  <c r="O175" i="9"/>
  <c r="O226" i="9"/>
  <c r="O34" i="3"/>
  <c r="L122" i="9"/>
  <c r="F159" i="9"/>
  <c r="H37" i="9"/>
  <c r="F75" i="9"/>
  <c r="C277" i="9"/>
  <c r="N264" i="9"/>
  <c r="K48" i="3"/>
  <c r="F174" i="9"/>
  <c r="I174" i="9"/>
  <c r="C143" i="9"/>
  <c r="C234" i="9"/>
  <c r="N29" i="9"/>
  <c r="N110" i="9"/>
  <c r="C25" i="9"/>
  <c r="F40" i="9"/>
  <c r="E124" i="9"/>
  <c r="I184" i="9"/>
  <c r="K17" i="3"/>
  <c r="E62" i="9"/>
  <c r="H85" i="9"/>
  <c r="N104" i="9"/>
  <c r="O232" i="9"/>
  <c r="L154" i="9"/>
  <c r="I118" i="9"/>
  <c r="I24" i="9"/>
  <c r="O34" i="9"/>
  <c r="K197" i="9"/>
  <c r="H49" i="9"/>
  <c r="I29" i="9"/>
  <c r="O73" i="3"/>
  <c r="E150" i="9"/>
  <c r="O67" i="9"/>
  <c r="C48" i="9"/>
  <c r="G66" i="3"/>
  <c r="N61" i="9"/>
  <c r="H43" i="9"/>
  <c r="E74" i="9"/>
  <c r="L212" i="9"/>
  <c r="N84" i="9"/>
  <c r="K80" i="9"/>
  <c r="O242" i="9"/>
  <c r="L220" i="9"/>
  <c r="F252" i="9"/>
  <c r="C212" i="9"/>
  <c r="K161" i="9"/>
  <c r="N87" i="9"/>
  <c r="L204" i="9"/>
  <c r="F186" i="9"/>
  <c r="C127" i="9"/>
  <c r="N163" i="9"/>
  <c r="H152" i="9"/>
  <c r="K213" i="9"/>
  <c r="I124" i="9"/>
  <c r="E46" i="9"/>
  <c r="E267" i="9"/>
  <c r="C241" i="9"/>
  <c r="O178" i="9"/>
  <c r="K67" i="3"/>
  <c r="L203" i="9"/>
  <c r="K143" i="9"/>
  <c r="N107" i="9"/>
  <c r="N182" i="9"/>
  <c r="C152" i="9"/>
  <c r="O75" i="3"/>
  <c r="C30" i="9"/>
  <c r="O98" i="9"/>
  <c r="F233" i="9"/>
  <c r="H176" i="9"/>
  <c r="L175" i="9"/>
  <c r="E254" i="9"/>
  <c r="O234" i="9"/>
  <c r="K187" i="9"/>
  <c r="N252" i="9"/>
  <c r="C78" i="9"/>
  <c r="F73" i="9"/>
  <c r="L181" i="9"/>
  <c r="E82" i="9"/>
  <c r="C110" i="9"/>
  <c r="K74" i="9"/>
  <c r="C44" i="9"/>
  <c r="K116" i="9"/>
  <c r="O270" i="9"/>
  <c r="I142" i="9"/>
  <c r="O278" i="9"/>
  <c r="L139" i="9"/>
  <c r="F258" i="9"/>
  <c r="C174" i="9"/>
  <c r="H149" i="9"/>
  <c r="K212" i="9"/>
  <c r="E257" i="9"/>
  <c r="I222" i="9"/>
  <c r="O109" i="9"/>
  <c r="E81" i="9"/>
  <c r="N212" i="9"/>
  <c r="C193" i="9"/>
  <c r="N188" i="9"/>
  <c r="H266" i="9"/>
  <c r="L32" i="9"/>
  <c r="C46" i="9"/>
  <c r="L277" i="9"/>
  <c r="K192" i="9"/>
  <c r="O254" i="9"/>
  <c r="H41" i="9"/>
  <c r="C38" i="9"/>
  <c r="H162" i="9"/>
  <c r="O165" i="9"/>
  <c r="L259" i="9"/>
  <c r="H166" i="9"/>
  <c r="C184" i="9"/>
  <c r="I272" i="9"/>
  <c r="K20" i="3"/>
  <c r="E22" i="9"/>
  <c r="F128" i="9"/>
  <c r="F68" i="9"/>
  <c r="H161" i="9"/>
  <c r="C217" i="9"/>
  <c r="I73" i="9"/>
  <c r="I115" i="9"/>
  <c r="K58" i="3"/>
  <c r="H190" i="9"/>
  <c r="E41" i="9"/>
  <c r="O125" i="9"/>
  <c r="F279" i="9"/>
  <c r="C250" i="9"/>
  <c r="E30" i="9"/>
  <c r="K22" i="3"/>
  <c r="F175" i="9"/>
  <c r="N228" i="9"/>
  <c r="H144" i="9"/>
  <c r="L251" i="9"/>
  <c r="L78" i="9"/>
  <c r="O26" i="9"/>
  <c r="C187" i="9"/>
  <c r="K7" i="3"/>
  <c r="O48" i="9"/>
  <c r="K262" i="9"/>
  <c r="H139" i="9"/>
  <c r="O108" i="9"/>
  <c r="O188" i="9"/>
  <c r="O142" i="9"/>
  <c r="H142" i="9"/>
  <c r="K59" i="3"/>
  <c r="H234" i="9"/>
  <c r="N83" i="9"/>
  <c r="K57" i="3"/>
  <c r="F218" i="9"/>
  <c r="F106" i="9"/>
  <c r="H99" i="9"/>
  <c r="H32" i="9"/>
  <c r="E61" i="9"/>
  <c r="F277" i="9"/>
  <c r="L236" i="9"/>
  <c r="F122" i="9"/>
  <c r="I214" i="9"/>
  <c r="H45" i="9"/>
  <c r="N162" i="9"/>
  <c r="F39" i="9"/>
  <c r="O85" i="9"/>
  <c r="K25" i="5"/>
  <c r="F22" i="9"/>
  <c r="L29" i="9"/>
  <c r="O40" i="3"/>
  <c r="L273" i="9"/>
  <c r="E200" i="9"/>
  <c r="O64" i="9"/>
  <c r="O148" i="9"/>
  <c r="K43" i="9"/>
  <c r="H256" i="9"/>
  <c r="O220" i="9"/>
  <c r="O43" i="3"/>
  <c r="K100" i="9"/>
  <c r="F24" i="9"/>
  <c r="O35" i="3"/>
  <c r="I179" i="9"/>
  <c r="C137" i="9"/>
  <c r="L118" i="9"/>
  <c r="C154" i="9"/>
  <c r="C188" i="9"/>
  <c r="N225" i="9"/>
  <c r="F250" i="9"/>
  <c r="C261" i="9"/>
  <c r="I204" i="9"/>
  <c r="I64" i="9"/>
  <c r="K69" i="9"/>
  <c r="O117" i="9"/>
  <c r="F141" i="9"/>
  <c r="E45" i="9"/>
  <c r="N73" i="9"/>
  <c r="O229" i="9"/>
  <c r="F262" i="9"/>
  <c r="O145" i="9"/>
  <c r="N267" i="9"/>
  <c r="E106" i="9"/>
  <c r="H73" i="9"/>
  <c r="G67" i="3"/>
  <c r="O84" i="9"/>
  <c r="K119" i="9"/>
  <c r="C72" i="9"/>
  <c r="L146" i="9"/>
  <c r="O186" i="9"/>
  <c r="F62" i="9"/>
  <c r="H66" i="9"/>
  <c r="I27" i="9"/>
  <c r="I43" i="9"/>
  <c r="H65" i="9"/>
  <c r="L258" i="9"/>
  <c r="F88" i="9"/>
  <c r="C51" i="9"/>
  <c r="K174" i="9"/>
  <c r="N76" i="9"/>
  <c r="E52" i="9"/>
  <c r="L254" i="9"/>
  <c r="I201" i="9"/>
  <c r="C150" i="9"/>
  <c r="L45" i="9"/>
  <c r="K19" i="5"/>
  <c r="E127" i="9"/>
  <c r="K60" i="3"/>
  <c r="N157" i="9"/>
  <c r="F183" i="9"/>
  <c r="K120" i="9"/>
  <c r="L36" i="9"/>
  <c r="L25" i="9"/>
  <c r="O143" i="9"/>
  <c r="K24" i="9"/>
  <c r="C33" i="9"/>
  <c r="E70" i="9"/>
  <c r="C79" i="9"/>
  <c r="K28" i="9"/>
  <c r="L266" i="9"/>
  <c r="L70" i="9"/>
  <c r="H179" i="9"/>
  <c r="K16" i="3"/>
  <c r="I154" i="9"/>
  <c r="E66" i="9"/>
  <c r="F202" i="9"/>
  <c r="O76" i="9"/>
  <c r="E24" i="9"/>
  <c r="E44" i="9"/>
  <c r="L164" i="9"/>
  <c r="F127" i="9"/>
  <c r="C65" i="9"/>
  <c r="E111" i="9"/>
  <c r="L226" i="9"/>
  <c r="E178" i="9"/>
  <c r="K124" i="9"/>
  <c r="N28" i="9"/>
  <c r="I80" i="9"/>
  <c r="O185" i="9"/>
  <c r="I269" i="9"/>
  <c r="O223" i="9"/>
  <c r="O273" i="9"/>
  <c r="E64" i="9"/>
  <c r="K242" i="9"/>
  <c r="L217" i="9"/>
  <c r="O27" i="9"/>
  <c r="E63" i="9"/>
  <c r="K71" i="9"/>
  <c r="K42" i="3"/>
  <c r="I70" i="9"/>
  <c r="C119" i="9"/>
  <c r="N254" i="9"/>
  <c r="O141" i="9"/>
  <c r="I52" i="9"/>
  <c r="N24" i="9"/>
  <c r="K18" i="3"/>
  <c r="F80" i="9"/>
  <c r="O51" i="9"/>
  <c r="N117" i="9"/>
  <c r="K233" i="9"/>
  <c r="N121" i="9"/>
  <c r="N191" i="9"/>
  <c r="I234" i="9"/>
  <c r="N238" i="9"/>
  <c r="E116" i="9"/>
  <c r="F120" i="9"/>
  <c r="H120" i="9"/>
  <c r="C114" i="9"/>
  <c r="E186" i="9"/>
  <c r="C161" i="9"/>
  <c r="N49" i="9"/>
  <c r="N198" i="9"/>
  <c r="L39" i="9"/>
  <c r="F184" i="9"/>
  <c r="K201" i="9"/>
  <c r="L22" i="9"/>
  <c r="K17" i="5"/>
  <c r="E83" i="9"/>
  <c r="I277" i="9"/>
  <c r="L257" i="9"/>
  <c r="H212" i="9"/>
  <c r="E153" i="9"/>
  <c r="K144" i="9"/>
  <c r="K41" i="9"/>
  <c r="E84" i="9"/>
  <c r="N183" i="9"/>
  <c r="C197" i="9"/>
  <c r="E202" i="9"/>
  <c r="F241" i="9"/>
  <c r="I119" i="9"/>
  <c r="O43" i="9"/>
  <c r="E105" i="9"/>
  <c r="I213" i="9"/>
  <c r="C166" i="9"/>
  <c r="C103" i="9"/>
  <c r="N166" i="9"/>
  <c r="I163" i="9"/>
  <c r="H117" i="9"/>
  <c r="N118" i="9"/>
  <c r="K43" i="3"/>
  <c r="L35" i="9"/>
  <c r="E71" i="9"/>
  <c r="N63" i="9"/>
  <c r="I212" i="9"/>
  <c r="F154" i="9"/>
  <c r="K36" i="3"/>
  <c r="H116" i="9"/>
  <c r="N68" i="9"/>
  <c r="N237" i="9"/>
  <c r="O39" i="9"/>
  <c r="K20" i="5"/>
  <c r="H259" i="9"/>
  <c r="C196" i="9"/>
  <c r="H221" i="9"/>
  <c r="C267" i="9"/>
  <c r="O214" i="9"/>
  <c r="E34" i="9"/>
  <c r="G61" i="3"/>
  <c r="C201" i="9"/>
  <c r="F152" i="9"/>
  <c r="O277" i="9"/>
  <c r="C178" i="9"/>
  <c r="I46" i="9"/>
  <c r="N100" i="9"/>
  <c r="N262" i="9"/>
  <c r="C160" i="9"/>
  <c r="H191" i="9"/>
  <c r="K46" i="9"/>
  <c r="H200" i="9"/>
  <c r="E174" i="9"/>
  <c r="O181" i="9"/>
  <c r="E136" i="9"/>
  <c r="C222" i="9"/>
  <c r="L233" i="9"/>
  <c r="L121" i="9"/>
  <c r="N203" i="9"/>
  <c r="O187" i="9"/>
  <c r="F180" i="9"/>
  <c r="C139" i="9"/>
  <c r="D139" i="9" l="1"/>
  <c r="M139" i="9"/>
  <c r="J139" i="9"/>
  <c r="G139" i="9"/>
  <c r="D222" i="9"/>
  <c r="J222" i="9"/>
  <c r="G222" i="9"/>
  <c r="M222" i="9"/>
  <c r="G160" i="9"/>
  <c r="J160" i="9"/>
  <c r="M160" i="9"/>
  <c r="D160" i="9"/>
  <c r="J178" i="9"/>
  <c r="D178" i="9"/>
  <c r="G178" i="9"/>
  <c r="M178" i="9"/>
  <c r="J201" i="9"/>
  <c r="G201" i="9"/>
  <c r="M201" i="9"/>
  <c r="D201" i="9"/>
  <c r="H61" i="3"/>
  <c r="J61" i="3"/>
  <c r="I61" i="3"/>
  <c r="D267" i="9"/>
  <c r="G267" i="9"/>
  <c r="M267" i="9"/>
  <c r="J267" i="9"/>
  <c r="J196" i="9"/>
  <c r="M196" i="9"/>
  <c r="G196" i="9"/>
  <c r="D196" i="9"/>
  <c r="L20" i="5"/>
  <c r="N20" i="5"/>
  <c r="M20" i="5"/>
  <c r="L36" i="3"/>
  <c r="M36" i="3"/>
  <c r="N36" i="3"/>
  <c r="I244" i="9"/>
  <c r="H244" i="9" s="1"/>
  <c r="G10" i="9" s="1"/>
  <c r="L43" i="3"/>
  <c r="N43" i="3"/>
  <c r="M43" i="3"/>
  <c r="G103" i="9"/>
  <c r="M103" i="9"/>
  <c r="D103" i="9"/>
  <c r="J103" i="9"/>
  <c r="M166" i="9"/>
  <c r="D166" i="9"/>
  <c r="J166" i="9"/>
  <c r="G166" i="9"/>
  <c r="G197" i="9"/>
  <c r="M197" i="9"/>
  <c r="J197" i="9"/>
  <c r="D197" i="9"/>
  <c r="L17" i="5"/>
  <c r="N17" i="5"/>
  <c r="M17" i="5"/>
  <c r="L54" i="9"/>
  <c r="K54" i="9" s="1"/>
  <c r="J16" i="9" s="1"/>
  <c r="M161" i="9"/>
  <c r="G161" i="9"/>
  <c r="D161" i="9"/>
  <c r="J161" i="9"/>
  <c r="D114" i="9"/>
  <c r="J114" i="9"/>
  <c r="M114" i="9"/>
  <c r="G114" i="9"/>
  <c r="N18" i="3"/>
  <c r="L18" i="3"/>
  <c r="M18" i="3"/>
  <c r="J119" i="9"/>
  <c r="D119" i="9"/>
  <c r="G119" i="9"/>
  <c r="M119" i="9"/>
  <c r="M42" i="3"/>
  <c r="L42" i="3"/>
  <c r="N42" i="3"/>
  <c r="D65" i="9"/>
  <c r="G65" i="9"/>
  <c r="J65" i="9"/>
  <c r="M65" i="9"/>
  <c r="L16" i="3"/>
  <c r="N16" i="3"/>
  <c r="M16" i="3"/>
  <c r="J79" i="9"/>
  <c r="M79" i="9"/>
  <c r="G79" i="9"/>
  <c r="D79" i="9"/>
  <c r="D33" i="9"/>
  <c r="J33" i="9"/>
  <c r="M33" i="9"/>
  <c r="G33" i="9"/>
  <c r="M60" i="3"/>
  <c r="N60" i="3"/>
  <c r="L60" i="3"/>
  <c r="L19" i="5"/>
  <c r="N19" i="5"/>
  <c r="M19" i="5"/>
  <c r="D150" i="9"/>
  <c r="M150" i="9"/>
  <c r="G150" i="9"/>
  <c r="J150" i="9"/>
  <c r="G51" i="9"/>
  <c r="M51" i="9"/>
  <c r="D51" i="9"/>
  <c r="J51" i="9"/>
  <c r="J72" i="9"/>
  <c r="G72" i="9"/>
  <c r="D72" i="9"/>
  <c r="M72" i="9"/>
  <c r="J67" i="3"/>
  <c r="H67" i="3"/>
  <c r="I67" i="3"/>
  <c r="D261" i="9"/>
  <c r="J261" i="9"/>
  <c r="G261" i="9"/>
  <c r="M261" i="9"/>
  <c r="F282" i="9"/>
  <c r="E282" i="9" s="1"/>
  <c r="D14" i="9" s="1"/>
  <c r="D188" i="9"/>
  <c r="J188" i="9"/>
  <c r="M188" i="9"/>
  <c r="G188" i="9"/>
  <c r="G154" i="9"/>
  <c r="J154" i="9"/>
  <c r="D154" i="9"/>
  <c r="M154" i="9"/>
  <c r="G137" i="9"/>
  <c r="D137" i="9"/>
  <c r="M137" i="9"/>
  <c r="J137" i="9"/>
  <c r="P35" i="3"/>
  <c r="Q35" i="3"/>
  <c r="R35" i="3"/>
  <c r="Q43" i="3"/>
  <c r="P43" i="3"/>
  <c r="R43" i="3"/>
  <c r="R40" i="3"/>
  <c r="P40" i="3"/>
  <c r="Q40" i="3"/>
  <c r="F54" i="9"/>
  <c r="N25" i="5"/>
  <c r="M25" i="5"/>
  <c r="L25" i="5"/>
  <c r="L57" i="3"/>
  <c r="N57" i="3"/>
  <c r="M57" i="3"/>
  <c r="L59" i="3"/>
  <c r="M59" i="3"/>
  <c r="N59" i="3"/>
  <c r="L7" i="3"/>
  <c r="N7" i="3"/>
  <c r="M7" i="3"/>
  <c r="D187" i="9"/>
  <c r="J187" i="9"/>
  <c r="M187" i="9"/>
  <c r="G187" i="9"/>
  <c r="L22" i="3"/>
  <c r="M22" i="3"/>
  <c r="N22" i="3"/>
  <c r="J250" i="9"/>
  <c r="M250" i="9"/>
  <c r="G250" i="9"/>
  <c r="D250" i="9"/>
  <c r="C282" i="9"/>
  <c r="M58" i="3"/>
  <c r="L58" i="3"/>
  <c r="N58" i="3"/>
  <c r="M217" i="9"/>
  <c r="G217" i="9"/>
  <c r="J217" i="9"/>
  <c r="D217" i="9"/>
  <c r="M20" i="3"/>
  <c r="L20" i="3"/>
  <c r="N20" i="3"/>
  <c r="J184" i="9"/>
  <c r="G184" i="9"/>
  <c r="D184" i="9"/>
  <c r="M184" i="9"/>
  <c r="J38" i="9"/>
  <c r="D38" i="9"/>
  <c r="G38" i="9"/>
  <c r="M38" i="9"/>
  <c r="G46" i="9"/>
  <c r="J46" i="9"/>
  <c r="M46" i="9"/>
  <c r="D46" i="9"/>
  <c r="D193" i="9"/>
  <c r="G193" i="9"/>
  <c r="M193" i="9"/>
  <c r="J193" i="9"/>
  <c r="G174" i="9"/>
  <c r="J174" i="9"/>
  <c r="D174" i="9"/>
  <c r="M174" i="9"/>
  <c r="C206" i="9"/>
  <c r="G44" i="9"/>
  <c r="J44" i="9"/>
  <c r="D44" i="9"/>
  <c r="M44" i="9"/>
  <c r="M110" i="9"/>
  <c r="G110" i="9"/>
  <c r="J110" i="9"/>
  <c r="D110" i="9"/>
  <c r="G78" i="9"/>
  <c r="D78" i="9"/>
  <c r="J78" i="9"/>
  <c r="M78" i="9"/>
  <c r="O130" i="9"/>
  <c r="N130" i="9" s="1"/>
  <c r="M6" i="9" s="1"/>
  <c r="G30" i="9"/>
  <c r="D30" i="9"/>
  <c r="M30" i="9"/>
  <c r="J30" i="9"/>
  <c r="R75" i="3"/>
  <c r="Q75" i="3"/>
  <c r="P75" i="3"/>
  <c r="J152" i="9"/>
  <c r="G152" i="9"/>
  <c r="D152" i="9"/>
  <c r="M152" i="9"/>
  <c r="M67" i="3"/>
  <c r="L67" i="3"/>
  <c r="N67" i="3"/>
  <c r="M241" i="9"/>
  <c r="G241" i="9"/>
  <c r="J241" i="9"/>
  <c r="D241" i="9"/>
  <c r="M127" i="9"/>
  <c r="D127" i="9"/>
  <c r="J127" i="9"/>
  <c r="G127" i="9"/>
  <c r="D212" i="9"/>
  <c r="J212" i="9"/>
  <c r="C244" i="9"/>
  <c r="G212" i="9"/>
  <c r="M212" i="9"/>
  <c r="L244" i="9"/>
  <c r="K244" i="9" s="1"/>
  <c r="J10" i="9" s="1"/>
  <c r="J66" i="3"/>
  <c r="H66" i="3"/>
  <c r="I66" i="3"/>
  <c r="J48" i="9"/>
  <c r="M48" i="9"/>
  <c r="D48" i="9"/>
  <c r="G48" i="9"/>
  <c r="P73" i="3"/>
  <c r="Q73" i="3"/>
  <c r="R73" i="3"/>
  <c r="M17" i="3"/>
  <c r="L17" i="3"/>
  <c r="N17" i="3"/>
  <c r="D25" i="9"/>
  <c r="G25" i="9"/>
  <c r="J25" i="9"/>
  <c r="M25" i="9"/>
  <c r="J234" i="9"/>
  <c r="D234" i="9"/>
  <c r="M234" i="9"/>
  <c r="G234" i="9"/>
  <c r="D143" i="9"/>
  <c r="M143" i="9"/>
  <c r="J143" i="9"/>
  <c r="G143" i="9"/>
  <c r="I206" i="9"/>
  <c r="H206" i="9" s="1"/>
  <c r="G8" i="9" s="1"/>
  <c r="F206" i="9"/>
  <c r="E206" i="9" s="1"/>
  <c r="D8" i="9" s="1"/>
  <c r="M48" i="3"/>
  <c r="N48" i="3"/>
  <c r="L48" i="3"/>
  <c r="G277" i="9"/>
  <c r="J277" i="9"/>
  <c r="D277" i="9"/>
  <c r="M277" i="9"/>
  <c r="P34" i="3"/>
  <c r="R34" i="3"/>
  <c r="Q34" i="3"/>
  <c r="J34" i="9"/>
  <c r="D34" i="9"/>
  <c r="M34" i="9"/>
  <c r="G34" i="9"/>
  <c r="D81" i="9"/>
  <c r="G81" i="9"/>
  <c r="M81" i="9"/>
  <c r="J81" i="9"/>
  <c r="G123" i="9"/>
  <c r="M123" i="9"/>
  <c r="D123" i="9"/>
  <c r="J123" i="9"/>
  <c r="G62" i="9"/>
  <c r="D62" i="9"/>
  <c r="M62" i="9"/>
  <c r="J62" i="9"/>
  <c r="M32" i="3"/>
  <c r="L32" i="3"/>
  <c r="N32" i="3"/>
  <c r="R47" i="3"/>
  <c r="Q47" i="3"/>
  <c r="P47" i="3"/>
  <c r="H46" i="3"/>
  <c r="J46" i="3"/>
  <c r="I46" i="3"/>
  <c r="G151" i="9"/>
  <c r="M151" i="9"/>
  <c r="D151" i="9"/>
  <c r="J151" i="9"/>
  <c r="M24" i="3"/>
  <c r="L24" i="3"/>
  <c r="N24" i="3"/>
  <c r="G41" i="9"/>
  <c r="J41" i="9"/>
  <c r="D41" i="9"/>
  <c r="M41" i="9"/>
  <c r="G80" i="9"/>
  <c r="M80" i="9"/>
  <c r="D80" i="9"/>
  <c r="J80" i="9"/>
  <c r="M254" i="9"/>
  <c r="D254" i="9"/>
  <c r="G254" i="9"/>
  <c r="J254" i="9"/>
  <c r="G216" i="9"/>
  <c r="D216" i="9"/>
  <c r="J216" i="9"/>
  <c r="M216" i="9"/>
  <c r="G31" i="9"/>
  <c r="J31" i="9"/>
  <c r="D31" i="9"/>
  <c r="M31" i="9"/>
  <c r="R65" i="3"/>
  <c r="Q65" i="3"/>
  <c r="P65" i="3"/>
  <c r="Q67" i="3"/>
  <c r="R67" i="3"/>
  <c r="P67" i="3"/>
  <c r="J141" i="9"/>
  <c r="M141" i="9"/>
  <c r="G141" i="9"/>
  <c r="D141" i="9"/>
  <c r="M32" i="9"/>
  <c r="D32" i="9"/>
  <c r="J32" i="9"/>
  <c r="G32" i="9"/>
  <c r="M37" i="3"/>
  <c r="L37" i="3"/>
  <c r="N37" i="3"/>
  <c r="M257" i="9"/>
  <c r="J257" i="9"/>
  <c r="G257" i="9"/>
  <c r="D257" i="9"/>
  <c r="L8" i="3"/>
  <c r="N8" i="3"/>
  <c r="M8" i="3"/>
  <c r="O282" i="9"/>
  <c r="N282" i="9" s="1"/>
  <c r="M14" i="9" s="1"/>
  <c r="J88" i="9"/>
  <c r="D88" i="9"/>
  <c r="M88" i="9"/>
  <c r="G88" i="9"/>
  <c r="M145" i="9"/>
  <c r="G145" i="9"/>
  <c r="D145" i="9"/>
  <c r="J145" i="9"/>
  <c r="H58" i="3"/>
  <c r="I58" i="3"/>
  <c r="J58" i="3"/>
  <c r="D124" i="9"/>
  <c r="G124" i="9"/>
  <c r="J124" i="9"/>
  <c r="M124" i="9"/>
  <c r="D126" i="9"/>
  <c r="J126" i="9"/>
  <c r="M126" i="9"/>
  <c r="G126" i="9"/>
  <c r="G252" i="9"/>
  <c r="D252" i="9"/>
  <c r="J252" i="9"/>
  <c r="M252" i="9"/>
  <c r="J227" i="9"/>
  <c r="M227" i="9"/>
  <c r="G227" i="9"/>
  <c r="D227" i="9"/>
  <c r="H39" i="3"/>
  <c r="J39" i="3"/>
  <c r="I39" i="3"/>
  <c r="D69" i="9"/>
  <c r="J69" i="9"/>
  <c r="M69" i="9"/>
  <c r="G69" i="9"/>
  <c r="M239" i="9"/>
  <c r="J239" i="9"/>
  <c r="D239" i="9"/>
  <c r="G239" i="9"/>
  <c r="F168" i="9"/>
  <c r="E168" i="9" s="1"/>
  <c r="D12" i="9" s="1"/>
  <c r="D45" i="9"/>
  <c r="M45" i="9"/>
  <c r="J45" i="9"/>
  <c r="G45" i="9"/>
  <c r="M179" i="9"/>
  <c r="G179" i="9"/>
  <c r="J179" i="9"/>
  <c r="D179" i="9"/>
  <c r="D190" i="9"/>
  <c r="G190" i="9"/>
  <c r="J190" i="9"/>
  <c r="M190" i="9"/>
  <c r="G42" i="9"/>
  <c r="M42" i="9"/>
  <c r="J42" i="9"/>
  <c r="D42" i="9"/>
  <c r="J214" i="9"/>
  <c r="M214" i="9"/>
  <c r="D214" i="9"/>
  <c r="G214" i="9"/>
  <c r="M89" i="9"/>
  <c r="D89" i="9"/>
  <c r="G89" i="9"/>
  <c r="J89" i="9"/>
  <c r="G109" i="9"/>
  <c r="M109" i="9"/>
  <c r="J109" i="9"/>
  <c r="D109" i="9"/>
  <c r="D185" i="9"/>
  <c r="J185" i="9"/>
  <c r="G185" i="9"/>
  <c r="M185" i="9"/>
  <c r="J41" i="3"/>
  <c r="I41" i="3"/>
  <c r="H41" i="3"/>
  <c r="D29" i="9"/>
  <c r="M29" i="9"/>
  <c r="G29" i="9"/>
  <c r="J29" i="9"/>
  <c r="M226" i="9"/>
  <c r="J226" i="9"/>
  <c r="D226" i="9"/>
  <c r="G226" i="9"/>
  <c r="M112" i="9"/>
  <c r="G112" i="9"/>
  <c r="D112" i="9"/>
  <c r="J112" i="9"/>
  <c r="M204" i="9"/>
  <c r="J204" i="9"/>
  <c r="G204" i="9"/>
  <c r="D204" i="9"/>
  <c r="N46" i="3"/>
  <c r="M46" i="3"/>
  <c r="L46" i="3"/>
  <c r="R56" i="3"/>
  <c r="P56" i="3"/>
  <c r="Q56" i="3"/>
  <c r="M242" i="9"/>
  <c r="D242" i="9"/>
  <c r="J242" i="9"/>
  <c r="G242" i="9"/>
  <c r="N64" i="3"/>
  <c r="M64" i="3"/>
  <c r="L64" i="3"/>
  <c r="H37" i="3"/>
  <c r="J37" i="3"/>
  <c r="I37" i="3"/>
  <c r="L14" i="3"/>
  <c r="M14" i="3"/>
  <c r="N14" i="3"/>
  <c r="J49" i="9"/>
  <c r="D49" i="9"/>
  <c r="G49" i="9"/>
  <c r="M49" i="9"/>
  <c r="J115" i="9"/>
  <c r="D115" i="9"/>
  <c r="M115" i="9"/>
  <c r="G115" i="9"/>
  <c r="P39" i="3"/>
  <c r="R39" i="3"/>
  <c r="Q39" i="3"/>
  <c r="D189" i="9"/>
  <c r="J189" i="9"/>
  <c r="M189" i="9"/>
  <c r="G189" i="9"/>
  <c r="I64" i="3"/>
  <c r="J64" i="3"/>
  <c r="H64" i="3"/>
  <c r="C92" i="9"/>
  <c r="J60" i="9"/>
  <c r="G60" i="9"/>
  <c r="M60" i="9"/>
  <c r="D60" i="9"/>
  <c r="M37" i="9"/>
  <c r="G37" i="9"/>
  <c r="D37" i="9"/>
  <c r="J37" i="9"/>
  <c r="G52" i="9"/>
  <c r="D52" i="9"/>
  <c r="J52" i="9"/>
  <c r="M52" i="9"/>
  <c r="M220" i="9"/>
  <c r="D220" i="9"/>
  <c r="J220" i="9"/>
  <c r="G220" i="9"/>
  <c r="M107" i="9"/>
  <c r="J107" i="9"/>
  <c r="G107" i="9"/>
  <c r="D107" i="9"/>
  <c r="D98" i="9"/>
  <c r="M98" i="9"/>
  <c r="G98" i="9"/>
  <c r="C130" i="9"/>
  <c r="J98" i="9"/>
  <c r="M148" i="9"/>
  <c r="G148" i="9"/>
  <c r="D148" i="9"/>
  <c r="J148" i="9"/>
  <c r="G67" i="9"/>
  <c r="M67" i="9"/>
  <c r="D67" i="9"/>
  <c r="J67" i="9"/>
  <c r="J180" i="9"/>
  <c r="D180" i="9"/>
  <c r="G180" i="9"/>
  <c r="M180" i="9"/>
  <c r="D266" i="9"/>
  <c r="M266" i="9"/>
  <c r="J266" i="9"/>
  <c r="G266" i="9"/>
  <c r="J42" i="3"/>
  <c r="I42" i="3"/>
  <c r="H42" i="3"/>
  <c r="M36" i="9"/>
  <c r="J36" i="9"/>
  <c r="D36" i="9"/>
  <c r="G36" i="9"/>
  <c r="H63" i="3"/>
  <c r="J63" i="3"/>
  <c r="I63" i="3"/>
  <c r="L206" i="9"/>
  <c r="K206" i="9" s="1"/>
  <c r="J8" i="9" s="1"/>
  <c r="N24" i="5"/>
  <c r="L24" i="5"/>
  <c r="M24" i="5"/>
  <c r="G262" i="9"/>
  <c r="J262" i="9"/>
  <c r="M262" i="9"/>
  <c r="D262" i="9"/>
  <c r="H75" i="3"/>
  <c r="I75" i="3"/>
  <c r="J75" i="3"/>
  <c r="M12" i="3"/>
  <c r="N12" i="3"/>
  <c r="L12" i="3"/>
  <c r="R45" i="3"/>
  <c r="P45" i="3"/>
  <c r="Q45" i="3"/>
  <c r="D224" i="9"/>
  <c r="J224" i="9"/>
  <c r="M224" i="9"/>
  <c r="G224" i="9"/>
  <c r="N44" i="3"/>
  <c r="M44" i="3"/>
  <c r="L44" i="3"/>
  <c r="Q68" i="3"/>
  <c r="R68" i="3"/>
  <c r="P68" i="3"/>
  <c r="G182" i="9"/>
  <c r="D182" i="9"/>
  <c r="M182" i="9"/>
  <c r="J182" i="9"/>
  <c r="J68" i="9"/>
  <c r="M68" i="9"/>
  <c r="G68" i="9"/>
  <c r="D68" i="9"/>
  <c r="I168" i="9"/>
  <c r="H168" i="9" s="1"/>
  <c r="G12" i="9" s="1"/>
  <c r="J23" i="9"/>
  <c r="D23" i="9"/>
  <c r="G23" i="9"/>
  <c r="M23" i="9"/>
  <c r="R66" i="3"/>
  <c r="P66" i="3"/>
  <c r="Q66" i="3"/>
  <c r="J116" i="9"/>
  <c r="M116" i="9"/>
  <c r="D116" i="9"/>
  <c r="G116" i="9"/>
  <c r="I36" i="3"/>
  <c r="H36" i="3"/>
  <c r="J36" i="3"/>
  <c r="N13" i="5"/>
  <c r="M13" i="5"/>
  <c r="L13" i="5"/>
  <c r="D40" i="9"/>
  <c r="J40" i="9"/>
  <c r="M40" i="9"/>
  <c r="G40" i="9"/>
  <c r="M269" i="9"/>
  <c r="D269" i="9"/>
  <c r="J269" i="9"/>
  <c r="G269" i="9"/>
  <c r="P59" i="3"/>
  <c r="Q59" i="3"/>
  <c r="R59" i="3"/>
  <c r="D237" i="9"/>
  <c r="J237" i="9"/>
  <c r="G237" i="9"/>
  <c r="M237" i="9"/>
  <c r="Q57" i="3"/>
  <c r="R57" i="3"/>
  <c r="P57" i="3"/>
  <c r="H59" i="3"/>
  <c r="J59" i="3"/>
  <c r="I59" i="3"/>
  <c r="G176" i="9"/>
  <c r="J176" i="9"/>
  <c r="M176" i="9"/>
  <c r="D176" i="9"/>
  <c r="L130" i="9"/>
  <c r="K130" i="9" s="1"/>
  <c r="J6" i="9" s="1"/>
  <c r="I60" i="3"/>
  <c r="H60" i="3"/>
  <c r="J60" i="3"/>
  <c r="D90" i="9"/>
  <c r="G90" i="9"/>
  <c r="M90" i="9"/>
  <c r="J90" i="9"/>
  <c r="Q37" i="3"/>
  <c r="R37" i="3"/>
  <c r="P37" i="3"/>
  <c r="J32" i="3"/>
  <c r="H32" i="3"/>
  <c r="I32" i="3"/>
  <c r="M39" i="3"/>
  <c r="L39" i="3"/>
  <c r="N39" i="3"/>
  <c r="F244" i="9"/>
  <c r="E244" i="9" s="1"/>
  <c r="D10" i="9" s="1"/>
  <c r="D87" i="9"/>
  <c r="M87" i="9"/>
  <c r="J87" i="9"/>
  <c r="G87" i="9"/>
  <c r="J71" i="3"/>
  <c r="H71" i="3"/>
  <c r="I71" i="3"/>
  <c r="J24" i="9"/>
  <c r="D24" i="9"/>
  <c r="G24" i="9"/>
  <c r="M24" i="9"/>
  <c r="Q46" i="3"/>
  <c r="P46" i="3"/>
  <c r="R46" i="3"/>
  <c r="M264" i="9"/>
  <c r="J264" i="9"/>
  <c r="D264" i="9"/>
  <c r="G264" i="9"/>
  <c r="I56" i="3"/>
  <c r="H56" i="3"/>
  <c r="J56" i="3"/>
  <c r="F92" i="9"/>
  <c r="E92" i="9" s="1"/>
  <c r="D4" i="9" s="1"/>
  <c r="D232" i="9"/>
  <c r="G232" i="9"/>
  <c r="J232" i="9"/>
  <c r="M232" i="9"/>
  <c r="J121" i="9"/>
  <c r="M121" i="9"/>
  <c r="D121" i="9"/>
  <c r="G121" i="9"/>
  <c r="D157" i="9"/>
  <c r="J157" i="9"/>
  <c r="M157" i="9"/>
  <c r="G157" i="9"/>
  <c r="P61" i="3"/>
  <c r="R61" i="3"/>
  <c r="Q61" i="3"/>
  <c r="M194" i="9"/>
  <c r="G194" i="9"/>
  <c r="J194" i="9"/>
  <c r="D194" i="9"/>
  <c r="I35" i="3"/>
  <c r="J35" i="3"/>
  <c r="H35" i="3"/>
  <c r="I47" i="3"/>
  <c r="J47" i="3"/>
  <c r="H47" i="3"/>
  <c r="M12" i="5"/>
  <c r="N12" i="5"/>
  <c r="L12" i="5"/>
  <c r="D26" i="9"/>
  <c r="J26" i="9"/>
  <c r="M26" i="9"/>
  <c r="G26" i="9"/>
  <c r="M102" i="9"/>
  <c r="J102" i="9"/>
  <c r="G102" i="9"/>
  <c r="D102" i="9"/>
  <c r="M268" i="9"/>
  <c r="G268" i="9"/>
  <c r="J268" i="9"/>
  <c r="D268" i="9"/>
  <c r="L62" i="3"/>
  <c r="N62" i="3"/>
  <c r="M62" i="3"/>
  <c r="Q74" i="3"/>
  <c r="P74" i="3"/>
  <c r="R74" i="3"/>
  <c r="D162" i="9"/>
  <c r="J162" i="9"/>
  <c r="M162" i="9"/>
  <c r="G162" i="9"/>
  <c r="R69" i="3"/>
  <c r="P69" i="3"/>
  <c r="Q69" i="3"/>
  <c r="G144" i="9"/>
  <c r="J144" i="9"/>
  <c r="M144" i="9"/>
  <c r="D144" i="9"/>
  <c r="D191" i="9"/>
  <c r="G191" i="9"/>
  <c r="J191" i="9"/>
  <c r="M191" i="9"/>
  <c r="G235" i="9"/>
  <c r="J235" i="9"/>
  <c r="M235" i="9"/>
  <c r="D235" i="9"/>
  <c r="O92" i="9"/>
  <c r="N92" i="9" s="1"/>
  <c r="M4" i="9" s="1"/>
  <c r="J203" i="9"/>
  <c r="D203" i="9"/>
  <c r="G203" i="9"/>
  <c r="M203" i="9"/>
  <c r="J44" i="3"/>
  <c r="H44" i="3"/>
  <c r="I44" i="3"/>
  <c r="M73" i="3"/>
  <c r="N73" i="3"/>
  <c r="L73" i="3"/>
  <c r="J31" i="3"/>
  <c r="H31" i="3"/>
  <c r="I31" i="3"/>
  <c r="J270" i="9"/>
  <c r="M270" i="9"/>
  <c r="D270" i="9"/>
  <c r="G270" i="9"/>
  <c r="M47" i="3"/>
  <c r="L47" i="3"/>
  <c r="N47" i="3"/>
  <c r="J85" i="9"/>
  <c r="M85" i="9"/>
  <c r="D85" i="9"/>
  <c r="G85" i="9"/>
  <c r="G213" i="9"/>
  <c r="M213" i="9"/>
  <c r="J213" i="9"/>
  <c r="D213" i="9"/>
  <c r="D77" i="9"/>
  <c r="J77" i="9"/>
  <c r="M77" i="9"/>
  <c r="G77" i="9"/>
  <c r="G274" i="9"/>
  <c r="M274" i="9"/>
  <c r="J274" i="9"/>
  <c r="D274" i="9"/>
  <c r="L16" i="5"/>
  <c r="M16" i="5"/>
  <c r="N16" i="5"/>
  <c r="D122" i="9"/>
  <c r="G122" i="9"/>
  <c r="M122" i="9"/>
  <c r="J122" i="9"/>
  <c r="L71" i="3"/>
  <c r="M71" i="3"/>
  <c r="N71" i="3"/>
  <c r="L92" i="9"/>
  <c r="K92" i="9" s="1"/>
  <c r="J4" i="9" s="1"/>
  <c r="M63" i="9"/>
  <c r="D63" i="9"/>
  <c r="J63" i="9"/>
  <c r="G63" i="9"/>
  <c r="N49" i="3"/>
  <c r="M49" i="3"/>
  <c r="L49" i="3"/>
  <c r="M117" i="9"/>
  <c r="G117" i="9"/>
  <c r="D117" i="9"/>
  <c r="J117" i="9"/>
  <c r="M125" i="9"/>
  <c r="D125" i="9"/>
  <c r="G125" i="9"/>
  <c r="J125" i="9"/>
  <c r="P64" i="3"/>
  <c r="R64" i="3"/>
  <c r="Q64" i="3"/>
  <c r="M255" i="9"/>
  <c r="J255" i="9"/>
  <c r="G255" i="9"/>
  <c r="D255" i="9"/>
  <c r="Q72" i="3"/>
  <c r="R72" i="3"/>
  <c r="P72" i="3"/>
  <c r="D39" i="9"/>
  <c r="G39" i="9"/>
  <c r="M39" i="9"/>
  <c r="J39" i="9"/>
  <c r="N14" i="5"/>
  <c r="L14" i="5"/>
  <c r="M14" i="5"/>
  <c r="L35" i="3"/>
  <c r="N35" i="3"/>
  <c r="M35" i="3"/>
  <c r="M149" i="9"/>
  <c r="J149" i="9"/>
  <c r="D149" i="9"/>
  <c r="G149" i="9"/>
  <c r="J240" i="9"/>
  <c r="M240" i="9"/>
  <c r="D240" i="9"/>
  <c r="G240" i="9"/>
  <c r="G104" i="9"/>
  <c r="D104" i="9"/>
  <c r="M104" i="9"/>
  <c r="J104" i="9"/>
  <c r="L70" i="3"/>
  <c r="N70" i="3"/>
  <c r="M70" i="3"/>
  <c r="N13" i="3"/>
  <c r="M13" i="3"/>
  <c r="L13" i="3"/>
  <c r="I130" i="9"/>
  <c r="H130" i="9" s="1"/>
  <c r="G6" i="9" s="1"/>
  <c r="M8" i="5"/>
  <c r="L8" i="5"/>
  <c r="N8" i="5"/>
  <c r="M21" i="5"/>
  <c r="L21" i="5"/>
  <c r="N21" i="5"/>
  <c r="M228" i="9"/>
  <c r="G228" i="9"/>
  <c r="D228" i="9"/>
  <c r="J228" i="9"/>
  <c r="G138" i="9"/>
  <c r="J138" i="9"/>
  <c r="D138" i="9"/>
  <c r="M138" i="9"/>
  <c r="G177" i="9"/>
  <c r="D177" i="9"/>
  <c r="J177" i="9"/>
  <c r="M177" i="9"/>
  <c r="Q48" i="3"/>
  <c r="R48" i="3"/>
  <c r="P48" i="3"/>
  <c r="N6" i="3"/>
  <c r="M6" i="3"/>
  <c r="L6" i="3"/>
  <c r="M165" i="9"/>
  <c r="J165" i="9"/>
  <c r="G165" i="9"/>
  <c r="D165" i="9"/>
  <c r="L63" i="3"/>
  <c r="M63" i="3"/>
  <c r="N63" i="3"/>
  <c r="O54" i="9"/>
  <c r="N54" i="9" s="1"/>
  <c r="M16" i="9" s="1"/>
  <c r="G147" i="9"/>
  <c r="D147" i="9"/>
  <c r="M147" i="9"/>
  <c r="J147" i="9"/>
  <c r="D202" i="9"/>
  <c r="G202" i="9"/>
  <c r="J202" i="9"/>
  <c r="M202" i="9"/>
  <c r="D195" i="9"/>
  <c r="J195" i="9"/>
  <c r="G195" i="9"/>
  <c r="M195" i="9"/>
  <c r="M40" i="3"/>
  <c r="L40" i="3"/>
  <c r="N40" i="3"/>
  <c r="I48" i="3"/>
  <c r="H48" i="3"/>
  <c r="J48" i="3"/>
  <c r="P42" i="3"/>
  <c r="R42" i="3"/>
  <c r="Q42" i="3"/>
  <c r="D200" i="9"/>
  <c r="J200" i="9"/>
  <c r="G200" i="9"/>
  <c r="M200" i="9"/>
  <c r="N15" i="5"/>
  <c r="M15" i="5"/>
  <c r="L15" i="5"/>
  <c r="N69" i="3"/>
  <c r="M69" i="3"/>
  <c r="L69" i="3"/>
  <c r="M272" i="9"/>
  <c r="G272" i="9"/>
  <c r="J272" i="9"/>
  <c r="D272" i="9"/>
  <c r="G105" i="9"/>
  <c r="J105" i="9"/>
  <c r="D105" i="9"/>
  <c r="M105" i="9"/>
  <c r="I92" i="9"/>
  <c r="H92" i="9" s="1"/>
  <c r="G4" i="9" s="1"/>
  <c r="M231" i="9"/>
  <c r="G231" i="9"/>
  <c r="D231" i="9"/>
  <c r="J231" i="9"/>
  <c r="R31" i="3"/>
  <c r="Q31" i="3"/>
  <c r="P31" i="3"/>
  <c r="J69" i="3"/>
  <c r="I69" i="3"/>
  <c r="H69" i="3"/>
  <c r="M10" i="3"/>
  <c r="N10" i="3"/>
  <c r="L10" i="3"/>
  <c r="J263" i="9"/>
  <c r="D263" i="9"/>
  <c r="M263" i="9"/>
  <c r="G263" i="9"/>
  <c r="R50" i="3"/>
  <c r="P50" i="3"/>
  <c r="Q50" i="3"/>
  <c r="M31" i="3"/>
  <c r="L31" i="3"/>
  <c r="N31" i="3"/>
  <c r="H73" i="3"/>
  <c r="I73" i="3"/>
  <c r="J73" i="3"/>
  <c r="O206" i="9"/>
  <c r="N206" i="9" s="1"/>
  <c r="M8" i="9" s="1"/>
  <c r="C168" i="9"/>
  <c r="G136" i="9"/>
  <c r="M136" i="9"/>
  <c r="J136" i="9"/>
  <c r="D136" i="9"/>
  <c r="O168" i="9"/>
  <c r="N168" i="9" s="1"/>
  <c r="M12" i="9" s="1"/>
  <c r="N23" i="3"/>
  <c r="M23" i="3"/>
  <c r="L23" i="3"/>
  <c r="M15" i="3"/>
  <c r="N15" i="3"/>
  <c r="L15" i="3"/>
  <c r="J22" i="9"/>
  <c r="M22" i="9"/>
  <c r="C54" i="9"/>
  <c r="G22" i="9"/>
  <c r="D22" i="9"/>
  <c r="N21" i="3"/>
  <c r="M21" i="3"/>
  <c r="L21" i="3"/>
  <c r="G279" i="9"/>
  <c r="J279" i="9"/>
  <c r="M279" i="9"/>
  <c r="D279" i="9"/>
  <c r="J158" i="9"/>
  <c r="G158" i="9"/>
  <c r="D158" i="9"/>
  <c r="M158" i="9"/>
  <c r="D192" i="9"/>
  <c r="M192" i="9"/>
  <c r="G192" i="9"/>
  <c r="J192" i="9"/>
  <c r="M19" i="3"/>
  <c r="N19" i="3"/>
  <c r="L19" i="3"/>
  <c r="D259" i="9"/>
  <c r="M259" i="9"/>
  <c r="G259" i="9"/>
  <c r="J259" i="9"/>
  <c r="G118" i="9"/>
  <c r="J118" i="9"/>
  <c r="M118" i="9"/>
  <c r="D118" i="9"/>
  <c r="N65" i="3"/>
  <c r="M65" i="3"/>
  <c r="L65" i="3"/>
  <c r="J61" i="9"/>
  <c r="G61" i="9"/>
  <c r="D61" i="9"/>
  <c r="M61" i="9"/>
  <c r="J70" i="3"/>
  <c r="H70" i="3"/>
  <c r="I70" i="3"/>
  <c r="D106" i="9"/>
  <c r="G106" i="9"/>
  <c r="M106" i="9"/>
  <c r="J106" i="9"/>
  <c r="M100" i="9"/>
  <c r="G100" i="9"/>
  <c r="J100" i="9"/>
  <c r="D100" i="9"/>
  <c r="D218" i="9"/>
  <c r="J218" i="9"/>
  <c r="G218" i="9"/>
  <c r="M218" i="9"/>
  <c r="M276" i="9"/>
  <c r="D276" i="9"/>
  <c r="G276" i="9"/>
  <c r="J276" i="9"/>
  <c r="G199" i="9"/>
  <c r="J199" i="9"/>
  <c r="M199" i="9"/>
  <c r="D199" i="9"/>
  <c r="R38" i="3"/>
  <c r="Q38" i="3"/>
  <c r="P38" i="3"/>
  <c r="I54" i="9"/>
  <c r="H54" i="9" s="1"/>
  <c r="G16" i="9" s="1"/>
  <c r="M35" i="9"/>
  <c r="D35" i="9"/>
  <c r="G35" i="9"/>
  <c r="J35" i="9"/>
  <c r="H43" i="3"/>
  <c r="I43" i="3"/>
  <c r="J43" i="3"/>
  <c r="D66" i="9"/>
  <c r="M66" i="9"/>
  <c r="J66" i="9"/>
  <c r="G66" i="9"/>
  <c r="G198" i="9"/>
  <c r="D198" i="9"/>
  <c r="M198" i="9"/>
  <c r="J198" i="9"/>
  <c r="M142" i="9"/>
  <c r="G142" i="9"/>
  <c r="D142" i="9"/>
  <c r="J142" i="9"/>
  <c r="G111" i="9"/>
  <c r="J111" i="9"/>
  <c r="D111" i="9"/>
  <c r="M111" i="9"/>
  <c r="N74" i="3"/>
  <c r="L74" i="3"/>
  <c r="M74" i="3"/>
  <c r="G70" i="9"/>
  <c r="M70" i="9"/>
  <c r="D70" i="9"/>
  <c r="J70" i="9"/>
  <c r="M99" i="9"/>
  <c r="D99" i="9"/>
  <c r="J99" i="9"/>
  <c r="G99" i="9"/>
  <c r="O244" i="9"/>
  <c r="N244" i="9" s="1"/>
  <c r="M10" i="9" s="1"/>
  <c r="M45" i="3"/>
  <c r="L45" i="3"/>
  <c r="N45" i="3"/>
  <c r="D163" i="9"/>
  <c r="M163" i="9"/>
  <c r="J163" i="9"/>
  <c r="G163" i="9"/>
  <c r="J275" i="9"/>
  <c r="M275" i="9"/>
  <c r="D275" i="9"/>
  <c r="G275" i="9"/>
  <c r="J181" i="9"/>
  <c r="D181" i="9"/>
  <c r="G181" i="9"/>
  <c r="M181" i="9"/>
  <c r="J27" i="9"/>
  <c r="D27" i="9"/>
  <c r="M27" i="9"/>
  <c r="G27" i="9"/>
  <c r="Q60" i="3"/>
  <c r="R60" i="3"/>
  <c r="P60" i="3"/>
  <c r="Q32" i="3"/>
  <c r="P32" i="3"/>
  <c r="R32" i="3"/>
  <c r="Q44" i="3"/>
  <c r="R44" i="3"/>
  <c r="P44" i="3"/>
  <c r="P70" i="3"/>
  <c r="Q70" i="3"/>
  <c r="R70" i="3"/>
  <c r="M38" i="3"/>
  <c r="L38" i="3"/>
  <c r="N38" i="3"/>
  <c r="M64" i="9"/>
  <c r="J64" i="9"/>
  <c r="D64" i="9"/>
  <c r="G64" i="9"/>
  <c r="J50" i="3"/>
  <c r="I50" i="3"/>
  <c r="H50" i="3"/>
  <c r="I282" i="9"/>
  <c r="H282" i="9" s="1"/>
  <c r="G14" i="9" s="1"/>
  <c r="J45" i="3"/>
  <c r="H45" i="3"/>
  <c r="I45" i="3"/>
  <c r="H72" i="3"/>
  <c r="J72" i="3"/>
  <c r="I72" i="3"/>
  <c r="G164" i="9"/>
  <c r="M164" i="9"/>
  <c r="J164" i="9"/>
  <c r="D164" i="9"/>
  <c r="H34" i="3"/>
  <c r="I34" i="3"/>
  <c r="J34" i="3"/>
  <c r="M120" i="9"/>
  <c r="J120" i="9"/>
  <c r="D120" i="9"/>
  <c r="G120" i="9"/>
  <c r="L66" i="3"/>
  <c r="N66" i="3"/>
  <c r="M66" i="3"/>
  <c r="M84" i="9"/>
  <c r="D84" i="9"/>
  <c r="G84" i="9"/>
  <c r="J84" i="9"/>
  <c r="Q36" i="3"/>
  <c r="P36" i="3"/>
  <c r="R36" i="3"/>
  <c r="J86" i="9"/>
  <c r="D86" i="9"/>
  <c r="M86" i="9"/>
  <c r="G86" i="9"/>
  <c r="G186" i="9"/>
  <c r="M186" i="9"/>
  <c r="D186" i="9"/>
  <c r="J186" i="9"/>
  <c r="M75" i="3"/>
  <c r="L75" i="3"/>
  <c r="N75" i="3"/>
  <c r="G156" i="9"/>
  <c r="M156" i="9"/>
  <c r="D156" i="9"/>
  <c r="J156" i="9"/>
  <c r="D155" i="9"/>
  <c r="M155" i="9"/>
  <c r="G155" i="9"/>
  <c r="J155" i="9"/>
  <c r="D159" i="9"/>
  <c r="J159" i="9"/>
  <c r="M159" i="9"/>
  <c r="G159" i="9"/>
  <c r="N6" i="5"/>
  <c r="M6" i="5"/>
  <c r="L6" i="5"/>
  <c r="M18" i="5"/>
  <c r="L18" i="5"/>
  <c r="N18" i="5"/>
  <c r="P49" i="3"/>
  <c r="R49" i="3"/>
  <c r="Q49" i="3"/>
  <c r="J49" i="3"/>
  <c r="H49" i="3"/>
  <c r="I49" i="3"/>
  <c r="L41" i="3"/>
  <c r="M41" i="3"/>
  <c r="N41" i="3"/>
  <c r="G128" i="9"/>
  <c r="D128" i="9"/>
  <c r="M128" i="9"/>
  <c r="J128" i="9"/>
  <c r="G256" i="9"/>
  <c r="J256" i="9"/>
  <c r="M256" i="9"/>
  <c r="D256" i="9"/>
  <c r="J40" i="3"/>
  <c r="H40" i="3"/>
  <c r="I40" i="3"/>
  <c r="L11" i="3"/>
  <c r="N11" i="3"/>
  <c r="M11" i="3"/>
  <c r="G175" i="9"/>
  <c r="J175" i="9"/>
  <c r="M175" i="9"/>
  <c r="D175" i="9"/>
  <c r="M76" i="9"/>
  <c r="J76" i="9"/>
  <c r="D76" i="9"/>
  <c r="G76" i="9"/>
  <c r="R41" i="3"/>
  <c r="Q41" i="3"/>
  <c r="P41" i="3"/>
  <c r="J238" i="9"/>
  <c r="D238" i="9"/>
  <c r="M238" i="9"/>
  <c r="G238" i="9"/>
  <c r="G50" i="9"/>
  <c r="J50" i="9"/>
  <c r="M50" i="9"/>
  <c r="D50" i="9"/>
  <c r="L72" i="3"/>
  <c r="M72" i="3"/>
  <c r="N72" i="3"/>
  <c r="D73" i="9"/>
  <c r="G73" i="9"/>
  <c r="J73" i="9"/>
  <c r="M73" i="9"/>
  <c r="G113" i="9"/>
  <c r="D113" i="9"/>
  <c r="J113" i="9"/>
  <c r="M113" i="9"/>
  <c r="I65" i="3"/>
  <c r="J65" i="3"/>
  <c r="H65" i="3"/>
  <c r="R58" i="3"/>
  <c r="P58" i="3"/>
  <c r="Q58" i="3"/>
  <c r="M34" i="3"/>
  <c r="N34" i="3"/>
  <c r="L34" i="3"/>
  <c r="G229" i="9"/>
  <c r="J229" i="9"/>
  <c r="M229" i="9"/>
  <c r="D229" i="9"/>
  <c r="J68" i="3"/>
  <c r="H68" i="3"/>
  <c r="I68" i="3"/>
  <c r="I38" i="3"/>
  <c r="J38" i="3"/>
  <c r="H38" i="3"/>
  <c r="M50" i="3"/>
  <c r="N50" i="3"/>
  <c r="L50" i="3"/>
  <c r="D233" i="9"/>
  <c r="M233" i="9"/>
  <c r="J233" i="9"/>
  <c r="G233" i="9"/>
  <c r="D230" i="9"/>
  <c r="M230" i="9"/>
  <c r="G230" i="9"/>
  <c r="J230" i="9"/>
  <c r="M47" i="9"/>
  <c r="G47" i="9"/>
  <c r="J47" i="9"/>
  <c r="D47" i="9"/>
  <c r="N56" i="3"/>
  <c r="M56" i="3"/>
  <c r="L56" i="3"/>
  <c r="M183" i="9"/>
  <c r="G183" i="9"/>
  <c r="D183" i="9"/>
  <c r="J183" i="9"/>
  <c r="J82" i="9"/>
  <c r="D82" i="9"/>
  <c r="G82" i="9"/>
  <c r="M82" i="9"/>
  <c r="J265" i="9"/>
  <c r="D265" i="9"/>
  <c r="M265" i="9"/>
  <c r="G265" i="9"/>
  <c r="N68" i="3"/>
  <c r="M68" i="3"/>
  <c r="L68" i="3"/>
  <c r="M146" i="9"/>
  <c r="D146" i="9"/>
  <c r="J146" i="9"/>
  <c r="G146" i="9"/>
  <c r="N11" i="5"/>
  <c r="L11" i="5"/>
  <c r="M11" i="5"/>
  <c r="D140" i="9"/>
  <c r="G140" i="9"/>
  <c r="M140" i="9"/>
  <c r="J140" i="9"/>
  <c r="P62" i="3"/>
  <c r="R62" i="3"/>
  <c r="Q62" i="3"/>
  <c r="L23" i="5"/>
  <c r="N23" i="5"/>
  <c r="M23" i="5"/>
  <c r="J101" i="9"/>
  <c r="D101" i="9"/>
  <c r="G101" i="9"/>
  <c r="M101" i="9"/>
  <c r="M71" i="9"/>
  <c r="J71" i="9"/>
  <c r="G71" i="9"/>
  <c r="D71" i="9"/>
  <c r="R71" i="3"/>
  <c r="Q71" i="3"/>
  <c r="P71" i="3"/>
  <c r="G236" i="9"/>
  <c r="D236" i="9"/>
  <c r="M236" i="9"/>
  <c r="J236" i="9"/>
  <c r="G225" i="9"/>
  <c r="J225" i="9"/>
  <c r="D225" i="9"/>
  <c r="M225" i="9"/>
  <c r="M75" i="9"/>
  <c r="G75" i="9"/>
  <c r="D75" i="9"/>
  <c r="J75" i="9"/>
  <c r="M273" i="9"/>
  <c r="G273" i="9"/>
  <c r="J273" i="9"/>
  <c r="D273" i="9"/>
  <c r="N33" i="3"/>
  <c r="M33" i="3"/>
  <c r="L33" i="3"/>
  <c r="F130" i="9"/>
  <c r="E130" i="9" s="1"/>
  <c r="D6" i="9" s="1"/>
  <c r="J251" i="9"/>
  <c r="M251" i="9"/>
  <c r="G251" i="9"/>
  <c r="D251" i="9"/>
  <c r="G108" i="9"/>
  <c r="M108" i="9"/>
  <c r="D108" i="9"/>
  <c r="J108" i="9"/>
  <c r="L61" i="3"/>
  <c r="N61" i="3"/>
  <c r="M61" i="3"/>
  <c r="I74" i="3"/>
  <c r="J74" i="3"/>
  <c r="H74" i="3"/>
  <c r="N9" i="3"/>
  <c r="L9" i="3"/>
  <c r="M9" i="3"/>
  <c r="J278" i="9"/>
  <c r="D278" i="9"/>
  <c r="G278" i="9"/>
  <c r="M278" i="9"/>
  <c r="P63" i="3"/>
  <c r="R63" i="3"/>
  <c r="Q63" i="3"/>
  <c r="L168" i="9"/>
  <c r="K168" i="9" s="1"/>
  <c r="J12" i="9" s="1"/>
  <c r="J62" i="3"/>
  <c r="I62" i="3"/>
  <c r="H62" i="3"/>
  <c r="G258" i="9"/>
  <c r="J258" i="9"/>
  <c r="D258" i="9"/>
  <c r="M258" i="9"/>
  <c r="M219" i="9"/>
  <c r="G219" i="9"/>
  <c r="D219" i="9"/>
  <c r="J219" i="9"/>
  <c r="G28" i="9"/>
  <c r="J28" i="9"/>
  <c r="D28" i="9"/>
  <c r="M28" i="9"/>
  <c r="H57" i="3"/>
  <c r="J57" i="3"/>
  <c r="I57" i="3"/>
  <c r="N10" i="5"/>
  <c r="L10" i="5"/>
  <c r="M10" i="5"/>
  <c r="M253" i="9"/>
  <c r="G253" i="9"/>
  <c r="D253" i="9"/>
  <c r="J253" i="9"/>
  <c r="M271" i="9"/>
  <c r="G271" i="9"/>
  <c r="J271" i="9"/>
  <c r="D271" i="9"/>
  <c r="D223" i="9"/>
  <c r="J223" i="9"/>
  <c r="G223" i="9"/>
  <c r="M223" i="9"/>
  <c r="N9" i="5"/>
  <c r="M9" i="5"/>
  <c r="L9" i="5"/>
  <c r="J260" i="9"/>
  <c r="M260" i="9"/>
  <c r="G260" i="9"/>
  <c r="D260" i="9"/>
  <c r="L282" i="9"/>
  <c r="K282" i="9" s="1"/>
  <c r="J14" i="9" s="1"/>
  <c r="J33" i="3"/>
  <c r="I33" i="3"/>
  <c r="H33" i="3"/>
  <c r="M43" i="9"/>
  <c r="G43" i="9"/>
  <c r="D43" i="9"/>
  <c r="J43" i="9"/>
  <c r="P33" i="3"/>
  <c r="R33" i="3"/>
  <c r="Q33" i="3"/>
  <c r="L22" i="5"/>
  <c r="N22" i="5"/>
  <c r="M22" i="5"/>
  <c r="M25" i="3"/>
  <c r="N25" i="3"/>
  <c r="L25" i="3"/>
  <c r="M153" i="9"/>
  <c r="D153" i="9"/>
  <c r="J153" i="9"/>
  <c r="G153" i="9"/>
  <c r="M83" i="9"/>
  <c r="J83" i="9"/>
  <c r="D83" i="9"/>
  <c r="G83" i="9"/>
  <c r="D74" i="9"/>
  <c r="G74" i="9"/>
  <c r="M74" i="9"/>
  <c r="J74" i="9"/>
  <c r="M7" i="5"/>
  <c r="N7" i="5"/>
  <c r="L7" i="5"/>
  <c r="M280" i="9"/>
  <c r="D280" i="9"/>
  <c r="G280" i="9"/>
  <c r="J280" i="9"/>
  <c r="J215" i="9"/>
  <c r="D215" i="9"/>
  <c r="G215" i="9"/>
  <c r="M215" i="9"/>
  <c r="J221" i="9"/>
  <c r="G221" i="9"/>
  <c r="M221" i="9"/>
  <c r="D221" i="9"/>
  <c r="J54" i="9" l="1"/>
  <c r="G244" i="9"/>
  <c r="G54" i="9"/>
  <c r="J168" i="9"/>
  <c r="G130" i="9"/>
  <c r="M92" i="9"/>
  <c r="D206" i="9"/>
  <c r="M282" i="9"/>
  <c r="D54" i="9"/>
  <c r="G282" i="9"/>
  <c r="M168" i="9"/>
  <c r="M130" i="9"/>
  <c r="G92" i="9"/>
  <c r="J244" i="9"/>
  <c r="J206" i="9"/>
  <c r="J282" i="9"/>
  <c r="E54" i="9"/>
  <c r="D16" i="9" s="1"/>
  <c r="B12" i="9" s="1"/>
  <c r="B15" i="9"/>
  <c r="B11" i="9"/>
  <c r="B4" i="9"/>
  <c r="B6" i="9"/>
  <c r="B14" i="9"/>
  <c r="B7" i="9"/>
  <c r="B8" i="9"/>
  <c r="B13" i="9"/>
  <c r="B9" i="9"/>
  <c r="D168" i="9"/>
  <c r="D92" i="9"/>
  <c r="M206" i="9"/>
  <c r="M54" i="9"/>
  <c r="G168" i="9"/>
  <c r="J130" i="9"/>
  <c r="D130" i="9"/>
  <c r="J92" i="9"/>
  <c r="M244" i="9"/>
  <c r="D244" i="9"/>
  <c r="G206" i="9"/>
  <c r="D282" i="9"/>
  <c r="B3" i="9" l="1"/>
  <c r="B10" i="9"/>
  <c r="B5" i="9"/>
  <c r="B16" i="9"/>
</calcChain>
</file>

<file path=xl/sharedStrings.xml><?xml version="1.0" encoding="utf-8"?>
<sst xmlns="http://schemas.openxmlformats.org/spreadsheetml/2006/main" count="6241" uniqueCount="331">
  <si>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</si>
  <si>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</si>
  <si>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</si>
  <si>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</si>
  <si>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</si>
  <si>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</si>
  <si>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</si>
  <si>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</si>
  <si>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</si>
  <si>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</si>
  <si>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</si>
  <si>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</si>
  <si>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</si>
  <si>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</si>
  <si>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</si>
  <si>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</si>
  <si>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</si>
  <si>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</si>
  <si>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</si>
  <si>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</si>
  <si>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</si>
  <si>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</si>
  <si>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</si>
  <si>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</si>
  <si>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</si>
  <si>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</si>
  <si>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</si>
  <si>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</si>
  <si>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</si>
  <si>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</si>
  <si>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</si>
  <si>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</si>
  <si>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</si>
  <si>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</si>
  <si>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</si>
  <si>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</si>
  <si>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</si>
  <si>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</si>
  <si>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</si>
  <si>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</si>
  <si>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</si>
  <si>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</si>
  <si>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</si>
  <si>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</si>
  <si>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</si>
  <si>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</si>
  <si>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</si>
  <si>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</si>
  <si>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</si>
  <si>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</si>
  <si>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</si>
  <si>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</si>
  <si>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</si>
  <si>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</si>
  <si>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</si>
  <si>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</si>
  <si>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</si>
  <si>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</si>
  <si>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</si>
  <si>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</si>
  <si>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</si>
  <si>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</si>
  <si>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</si>
  <si>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</si>
  <si>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</si>
  <si>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</si>
  <si>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</si>
  <si>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</si>
  <si>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</si>
  <si>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</si>
  <si>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</si>
  <si>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</si>
  <si>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</si>
  <si>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</si>
  <si>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</si>
  <si>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</si>
  <si>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</si>
  <si>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</si>
  <si>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</si>
  <si>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</si>
  <si>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</si>
  <si>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</si>
  <si>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</si>
  <si>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</si>
  <si>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</si>
  <si>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</si>
  <si>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</si>
  <si>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</si>
  <si>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</si>
  <si>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</si>
  <si>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</si>
  <si>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</si>
  <si>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</si>
  <si>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</si>
  <si>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</si>
  <si>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</si>
  <si>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</si>
  <si>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</si>
  <si>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</si>
  <si>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</si>
  <si>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</si>
  <si>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</si>
  <si>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</si>
  <si>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</si>
  <si>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</si>
  <si>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</si>
  <si>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</si>
  <si>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</si>
  <si>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</si>
  <si>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</si>
  <si>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</si>
  <si>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</si>
  <si>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</si>
  <si>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</si>
  <si>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</si>
  <si>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</si>
  <si>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</si>
  <si>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</si>
  <si>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</si>
  <si>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</si>
  <si>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</si>
  <si>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</si>
  <si>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</si>
  <si>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</si>
  <si>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</si>
  <si>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</si>
  <si>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</si>
  <si>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</si>
  <si>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</si>
  <si>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</si>
  <si>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</si>
  <si>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</si>
  <si>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</si>
  <si>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</si>
  <si>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</si>
  <si>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</si>
  <si>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</si>
  <si>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</si>
  <si>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</si>
  <si>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</si>
  <si>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</si>
  <si>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</si>
  <si>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</si>
  <si>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</si>
  <si>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</si>
  <si>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</si>
  <si>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</si>
  <si>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</si>
  <si>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</si>
  <si>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</si>
  <si>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</si>
  <si>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</si>
  <si>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</si>
  <si>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</si>
  <si>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</si>
  <si>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</si>
  <si>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</si>
  <si>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</si>
  <si>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</si>
  <si>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</si>
  <si>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</si>
  <si>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</si>
  <si>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</si>
  <si>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</si>
  <si>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</si>
  <si>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</si>
  <si>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</si>
  <si>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</si>
  <si>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</si>
  <si>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</si>
  <si>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</si>
  <si>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</si>
  <si>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</si>
  <si>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</si>
  <si>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</si>
  <si>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</si>
  <si>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</si>
  <si>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</si>
  <si>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</si>
  <si>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</si>
  <si>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</si>
  <si>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</si>
  <si>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</si>
  <si>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</si>
  <si>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</si>
  <si>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</si>
  <si>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</si>
  <si>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</si>
  <si>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</si>
  <si>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</si>
  <si>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</si>
  <si>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</si>
  <si>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</si>
  <si>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</si>
  <si>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</si>
  <si>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</si>
  <si>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</si>
  <si>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</si>
  <si>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</si>
  <si>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</si>
  <si>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</si>
  <si>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</si>
  <si>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</si>
  <si>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</si>
  <si>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</si>
  <si>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</si>
  <si>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</si>
  <si>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</si>
  <si>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</si>
  <si>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</si>
  <si>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</si>
  <si>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</si>
  <si>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</si>
  <si>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</si>
  <si>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</si>
  <si>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</si>
  <si>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</si>
  <si>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</si>
  <si>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</si>
  <si>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</si>
  <si>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</si>
  <si>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</si>
  <si>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</si>
  <si>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</si>
  <si>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</si>
  <si>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</si>
  <si>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</si>
  <si>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</si>
  <si>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</si>
  <si>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</si>
  <si>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</si>
  <si>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</si>
  <si>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</si>
  <si>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</si>
  <si>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</si>
  <si>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</si>
  <si>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</si>
  <si>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</si>
  <si>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</si>
  <si>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</si>
  <si>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</si>
  <si>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</si>
  <si>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</si>
  <si>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</si>
  <si>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</si>
  <si>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</si>
  <si>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</si>
  <si>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</si>
  <si>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</si>
  <si>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</si>
  <si>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</si>
  <si>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</si>
  <si>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</si>
  <si>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</si>
  <si>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</si>
  <si>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</si>
  <si>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</si>
  <si>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</si>
  <si>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</si>
  <si>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</si>
  <si>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</si>
  <si>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</si>
  <si>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</si>
  <si>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</si>
  <si>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</si>
  <si>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</si>
  <si>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</si>
  <si>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</si>
  <si>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</si>
  <si>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</si>
  <si>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</si>
  <si>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</si>
  <si>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</si>
  <si>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</si>
  <si>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</si>
  <si>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</si>
  <si>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</si>
  <si>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</si>
  <si>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</si>
  <si>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</si>
  <si>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</si>
  <si>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</si>
  <si>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</si>
  <si>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</si>
  <si>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</si>
  <si>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</si>
  <si>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</si>
  <si>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</si>
  <si>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</si>
  <si>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</si>
  <si>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</si>
  <si>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</si>
  <si>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</si>
  <si>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</si>
  <si>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</si>
  <si>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</si>
  <si>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</si>
  <si>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</si>
  <si>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</si>
  <si>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</si>
  <si>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</si>
  <si>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</si>
  <si>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</si>
  <si>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</si>
  <si>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</si>
  <si>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</si>
  <si>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</si>
  <si>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</si>
  <si>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</si>
  <si>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</si>
  <si>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</si>
  <si>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</si>
  <si>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</si>
  <si>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</si>
  <si>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</si>
  <si>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</si>
  <si>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</si>
  <si>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</si>
  <si>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</si>
  <si>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</si>
  <si>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</si>
  <si>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</si>
  <si>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</si>
  <si>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</si>
  <si>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</si>
  <si>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</si>
  <si>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</si>
  <si>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</si>
  <si>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</si>
  <si>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</si>
  <si>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2021.08.14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</si>
</sst>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139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18">
        <v>44287</v>
      </c>
      <c r="H1" s="219"/>
      <c r="I1" s="220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" t="s">
        <v>3</v>
      </c>
      <c r="B2" s="221" t="s">
        <v>4</v>
      </c>
      <c r="C2" s="222"/>
      <c r="D2" s="222"/>
      <c r="E2" s="222"/>
      <c r="F2" s="223"/>
      <c r="G2" s="224" t="s">
        <v>46</v>
      </c>
      <c r="H2" s="225"/>
      <c r="I2" s="226"/>
      <c r="J2" s="1" t="s">
        <v>3</v>
      </c>
      <c r="K2" s="221" t="s">
        <v>5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4" t="s">
        <v>7</v>
      </c>
      <c r="B3" s="227" t="s">
        <v>8</v>
      </c>
      <c r="C3" s="228"/>
      <c r="D3" s="228"/>
      <c r="E3" s="228"/>
      <c r="F3" s="229"/>
      <c r="G3" s="23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1"/>
      <c r="I3" s="232"/>
      <c r="J3" s="4" t="s">
        <v>7</v>
      </c>
      <c r="K3" s="227" t="s">
        <v>9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7" t="s">
        <v>12</v>
      </c>
      <c r="C4" s="228"/>
      <c r="D4" s="228"/>
      <c r="E4" s="228"/>
      <c r="F4" s="229"/>
      <c r="G4" s="224" t="s">
        <v>44</v>
      </c>
      <c r="H4" s="225"/>
      <c r="I4" s="226"/>
      <c r="J4" s="4" t="s">
        <v>11</v>
      </c>
      <c r="K4" s="227" t="s">
        <v>13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7" t="s">
        <v>16</v>
      </c>
      <c r="C5" s="228"/>
      <c r="D5" s="228"/>
      <c r="E5" s="228"/>
      <c r="F5" s="229"/>
      <c r="G5" s="23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1"/>
      <c r="I5" s="232"/>
      <c r="J5" s="4" t="s">
        <v>15</v>
      </c>
      <c r="K5" s="227" t="s">
        <v>17</v>
      </c>
      <c r="L5" s="228"/>
      <c r="M5" s="228"/>
      <c r="N5" s="228"/>
      <c r="O5" s="229"/>
    </row>
    <row r="6" spans="1:19">
      <c r="A6" s="4" t="s">
        <v>18</v>
      </c>
      <c r="B6" s="227" t="s">
        <v>19</v>
      </c>
      <c r="C6" s="228"/>
      <c r="D6" s="228"/>
      <c r="E6" s="228"/>
      <c r="F6" s="229"/>
      <c r="G6" s="224" t="s">
        <v>45</v>
      </c>
      <c r="H6" s="225"/>
      <c r="I6" s="226"/>
      <c r="J6" s="4" t="s">
        <v>18</v>
      </c>
      <c r="K6" s="227" t="s">
        <v>20</v>
      </c>
      <c r="L6" s="228"/>
      <c r="M6" s="228"/>
      <c r="N6" s="228"/>
      <c r="O6" s="229"/>
    </row>
    <row r="7" spans="1:19" ht="17.25" thickBot="1">
      <c r="A7" s="4" t="s">
        <v>21</v>
      </c>
      <c r="B7" s="227" t="s">
        <v>22</v>
      </c>
      <c r="C7" s="228"/>
      <c r="D7" s="228"/>
      <c r="E7" s="228"/>
      <c r="F7" s="229"/>
      <c r="G7" s="23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1"/>
      <c r="I7" s="232"/>
      <c r="J7" s="4" t="s">
        <v>21</v>
      </c>
      <c r="K7" s="227" t="s">
        <v>23</v>
      </c>
      <c r="L7" s="228"/>
      <c r="M7" s="228"/>
      <c r="N7" s="228"/>
      <c r="O7" s="229"/>
    </row>
    <row r="8" spans="1:19" ht="17.25" thickBot="1">
      <c r="A8" s="4" t="s">
        <v>24</v>
      </c>
      <c r="B8" s="227" t="s">
        <v>25</v>
      </c>
      <c r="C8" s="228"/>
      <c r="D8" s="228"/>
      <c r="E8" s="228"/>
      <c r="F8" s="229"/>
      <c r="G8" s="224" t="s">
        <v>255</v>
      </c>
      <c r="H8" s="225"/>
      <c r="I8" s="226"/>
      <c r="J8" s="4" t="s">
        <v>24</v>
      </c>
      <c r="K8" s="227" t="s">
        <v>26</v>
      </c>
      <c r="L8" s="228"/>
      <c r="M8" s="228"/>
      <c r="N8" s="228"/>
      <c r="O8" s="229"/>
      <c r="Q8" s="215" t="s">
        <v>27</v>
      </c>
      <c r="R8" s="217"/>
    </row>
    <row r="9" spans="1:19" ht="17.25" thickBot="1">
      <c r="A9" s="4" t="s">
        <v>28</v>
      </c>
      <c r="B9" s="227"/>
      <c r="C9" s="228"/>
      <c r="D9" s="228"/>
      <c r="E9" s="228"/>
      <c r="F9" s="229"/>
      <c r="G9" s="23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1"/>
      <c r="I9" s="232"/>
      <c r="J9" s="4" t="s">
        <v>28</v>
      </c>
      <c r="K9" s="227" t="s">
        <v>263</v>
      </c>
      <c r="L9" s="228"/>
      <c r="M9" s="228"/>
      <c r="N9" s="228"/>
      <c r="O9" s="229"/>
      <c r="Q9" s="2" t="s">
        <v>29</v>
      </c>
      <c r="R9" s="6">
        <v>10</v>
      </c>
    </row>
    <row r="10" spans="1:19">
      <c r="A10" s="4" t="s">
        <v>30</v>
      </c>
      <c r="B10" s="227"/>
      <c r="C10" s="228"/>
      <c r="D10" s="228"/>
      <c r="E10" s="228"/>
      <c r="F10" s="229"/>
      <c r="G10" s="224" t="s">
        <v>47</v>
      </c>
      <c r="H10" s="225"/>
      <c r="I10" s="226"/>
      <c r="J10" s="4" t="s">
        <v>30</v>
      </c>
      <c r="K10" s="227"/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7" t="s">
        <v>32</v>
      </c>
      <c r="B11" s="233"/>
      <c r="C11" s="234"/>
      <c r="D11" s="234"/>
      <c r="E11" s="234"/>
      <c r="F11" s="235"/>
      <c r="G11" s="23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1"/>
      <c r="I11" s="232"/>
      <c r="J11" s="7" t="s">
        <v>32</v>
      </c>
      <c r="K11" s="233"/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36"/>
      <c r="R13" s="236"/>
      <c r="S13" s="236"/>
    </row>
    <row r="14" spans="1:19" ht="17.25" customHeight="1" thickBot="1">
      <c r="A14" s="111" t="s">
        <v>35</v>
      </c>
      <c r="B14" s="215" t="s">
        <v>36</v>
      </c>
      <c r="C14" s="217"/>
      <c r="D14" s="215" t="s">
        <v>37</v>
      </c>
      <c r="E14" s="216"/>
      <c r="F14" s="217"/>
      <c r="G14" s="242">
        <f>_xlfn.IFNA(VLOOKUP(B14, 현재가테이블!$B$2:$D$200, 2, FALSE), "-")</f>
        <v>53976000</v>
      </c>
      <c r="H14" s="243"/>
      <c r="I14" s="244"/>
      <c r="J14" s="215" t="s">
        <v>38</v>
      </c>
      <c r="K14" s="216"/>
      <c r="L14" s="217"/>
      <c r="M14" s="245">
        <f>_xlfn.IFNA(VLOOKUP(B14, 현재가테이블!$B$2:$D$200, 3, FALSE), "-")</f>
        <v>-2.1216407400000001E-2</v>
      </c>
      <c r="N14" s="246"/>
      <c r="O14" s="247"/>
      <c r="Q14" s="236"/>
      <c r="R14" s="236"/>
      <c r="S14" s="236"/>
    </row>
    <row r="15" spans="1:19" ht="17.25" customHeight="1" thickBot="1">
      <c r="A15" s="237" t="s">
        <v>39</v>
      </c>
      <c r="B15" s="248" t="str">
        <f>TEXT($G$1, "[$-ko-KR]yyyy-mm-dd(ddd) ") &amp; "오전 00:00"</f>
        <v>2021-04-01(목) 오전 00:00</v>
      </c>
      <c r="C15" s="249"/>
      <c r="D15" s="238" t="str">
        <f>TEXT($G$1, "[$-ko-KR]yyyy-mm-dd(ddd) ") &amp; "오후 14:00"</f>
        <v>2021-04-01(목) 오후 14:00</v>
      </c>
      <c r="E15" s="239"/>
      <c r="F15" s="240"/>
      <c r="G15" s="238" t="str">
        <f>TEXT($G$1, "[$-ko-KR]yyyy-mm-dd(ddd) ") &amp; "오후 19:00"</f>
        <v>2021-04-01(목) 오후 19:00</v>
      </c>
      <c r="H15" s="239"/>
      <c r="I15" s="240"/>
      <c r="J15" s="238" t="str">
        <f>TEXT($G$1, "[$-ko-KR]yyyy-mm-dd(ddd) ") &amp; "오후 21:00"</f>
        <v>2021-04-01(목) 오후 21:00</v>
      </c>
      <c r="K15" s="239"/>
      <c r="L15" s="240"/>
      <c r="M15" s="238" t="str">
        <f>TEXT($G$1+1, "[$-ko-KR]yyyy-mm-dd(ddd) ") &amp; "오전 00:00"</f>
        <v>2021-04-02(금) 오전 00:00</v>
      </c>
      <c r="N15" s="239"/>
      <c r="O15" s="240"/>
      <c r="Q15" s="236"/>
      <c r="R15" s="236"/>
      <c r="S15" s="236"/>
    </row>
    <row r="16" spans="1:19" ht="17.25" customHeight="1" thickBot="1">
      <c r="A16" s="23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1"/>
      <c r="R16" s="241"/>
      <c r="S16" s="24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6"/>
      <c r="R17" s="236"/>
      <c r="S17" s="23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6"/>
      <c r="R18" s="236"/>
      <c r="S18" s="23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1"/>
      <c r="R19" s="241"/>
      <c r="S19" s="24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1"/>
      <c r="R20" s="241"/>
      <c r="S20" s="24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1"/>
      <c r="R21" s="241"/>
      <c r="S21" s="24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1"/>
      <c r="R22" s="241"/>
      <c r="S22" s="24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1"/>
      <c r="R23" s="241"/>
      <c r="S23" s="24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1"/>
      <c r="R24" s="241"/>
      <c r="S24" s="24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0"/>
      <c r="R26" s="251"/>
      <c r="S26" s="25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3"/>
      <c r="R27" s="254"/>
      <c r="S27" s="25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6"/>
      <c r="R28" s="257"/>
      <c r="S28" s="25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1"/>
      <c r="R29" s="241"/>
      <c r="S29" s="24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6"/>
      <c r="R30" s="236"/>
      <c r="S30" s="23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6"/>
      <c r="R31" s="236"/>
      <c r="S31" s="23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1"/>
      <c r="R32" s="241"/>
      <c r="S32" s="24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1"/>
      <c r="R33" s="241"/>
      <c r="S33" s="24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1"/>
      <c r="R34" s="241"/>
      <c r="S34" s="24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3"/>
      <c r="R35" s="264"/>
      <c r="S35" s="26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6"/>
      <c r="R36" s="267"/>
      <c r="S36" s="268"/>
    </row>
    <row r="37" spans="1:19" ht="17.25" customHeight="1" thickBot="1">
      <c r="A37" s="26" t="s">
        <v>42</v>
      </c>
      <c r="B37" s="272">
        <v>300000</v>
      </c>
      <c r="C37" s="27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69"/>
      <c r="R37" s="270"/>
      <c r="S37" s="27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36"/>
      <c r="R40" s="236"/>
      <c r="S40" s="236"/>
    </row>
    <row r="41" spans="1:19" ht="17.25" customHeight="1" thickBot="1">
      <c r="A41" s="111" t="s">
        <v>267</v>
      </c>
      <c r="B41" s="215" t="s">
        <v>49</v>
      </c>
      <c r="C41" s="217"/>
      <c r="D41" s="215" t="s">
        <v>58</v>
      </c>
      <c r="E41" s="216"/>
      <c r="F41" s="217"/>
      <c r="G41" s="242">
        <f>_xlfn.IFNA(VLOOKUP(B41, 현재가테이블!$B$2:$D$200, 2, FALSE), "-")</f>
        <v>53976000</v>
      </c>
      <c r="H41" s="243"/>
      <c r="I41" s="244"/>
      <c r="J41" s="215" t="s">
        <v>59</v>
      </c>
      <c r="K41" s="216"/>
      <c r="L41" s="217"/>
      <c r="M41" s="245">
        <f>_xlfn.IFNA(VLOOKUP(B41, 현재가테이블!$B$2:$D$200, 3, FALSE), "-")</f>
        <v>-2.1216407400000001E-2</v>
      </c>
      <c r="N41" s="246"/>
      <c r="O41" s="247"/>
      <c r="Q41" s="236"/>
      <c r="R41" s="236"/>
      <c r="S41" s="236"/>
    </row>
    <row r="42" spans="1:19" ht="17.25" customHeight="1" thickBot="1">
      <c r="A42" s="259" t="s">
        <v>55</v>
      </c>
      <c r="B42" s="261" t="str">
        <f>TEXT($G$1, "[$-ko-KR]yyyy-mm-dd(ddd) ") &amp; "오전 00:00"</f>
        <v>2021-04-01(목) 오전 00:00</v>
      </c>
      <c r="C42" s="262"/>
      <c r="D42" s="238" t="str">
        <f>TEXT($G$1, "[$-ko-KR]yyyy-mm-dd(ddd) ") &amp; "오후 14:00"</f>
        <v>2021-04-01(목) 오후 14:00</v>
      </c>
      <c r="E42" s="239"/>
      <c r="F42" s="240"/>
      <c r="G42" s="238" t="str">
        <f>TEXT($G$1, "[$-ko-KR]yyyy-mm-dd(ddd) ") &amp; "오후 19:00"</f>
        <v>2021-04-01(목) 오후 19:00</v>
      </c>
      <c r="H42" s="239"/>
      <c r="I42" s="240"/>
      <c r="J42" s="238" t="str">
        <f>TEXT($G$1, "[$-ko-KR]yyyy-mm-dd(ddd) ") &amp; "오후 21:00"</f>
        <v>2021-04-01(목) 오후 21:00</v>
      </c>
      <c r="K42" s="239"/>
      <c r="L42" s="240"/>
      <c r="M42" s="238" t="str">
        <f>TEXT($G$1+1, "[$-ko-KR]yyyy-mm-dd(ddd) ") &amp; "오전 00:00"</f>
        <v>2021-04-02(금) 오전 00:00</v>
      </c>
      <c r="N42" s="239"/>
      <c r="O42" s="240"/>
      <c r="Q42" s="236"/>
      <c r="R42" s="236"/>
      <c r="S42" s="236"/>
    </row>
    <row r="43" spans="1:19" ht="17.25" customHeight="1" thickBot="1">
      <c r="A43" s="260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1"/>
      <c r="R43" s="241"/>
      <c r="S43" s="24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6"/>
      <c r="R44" s="236"/>
      <c r="S44" s="23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6"/>
      <c r="R45" s="236"/>
      <c r="S45" s="23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1"/>
      <c r="R46" s="241"/>
      <c r="S46" s="24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1"/>
      <c r="R47" s="241"/>
      <c r="S47" s="24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1"/>
      <c r="R48" s="241"/>
      <c r="S48" s="24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1"/>
      <c r="R49" s="241"/>
      <c r="S49" s="24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1"/>
      <c r="R50" s="241"/>
      <c r="S50" s="24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1"/>
      <c r="R51" s="241"/>
      <c r="S51" s="24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0"/>
      <c r="R53" s="251"/>
      <c r="S53" s="25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3"/>
      <c r="R54" s="254"/>
      <c r="S54" s="25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6"/>
      <c r="R55" s="257"/>
      <c r="S55" s="25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1"/>
      <c r="R56" s="241"/>
      <c r="S56" s="24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6"/>
      <c r="R57" s="236"/>
      <c r="S57" s="23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6"/>
      <c r="R58" s="236"/>
      <c r="S58" s="23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1"/>
      <c r="R59" s="241"/>
      <c r="S59" s="24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1"/>
      <c r="R60" s="241"/>
      <c r="S60" s="24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1"/>
      <c r="R61" s="241"/>
      <c r="S61" s="24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3"/>
      <c r="R62" s="264"/>
      <c r="S62" s="26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6"/>
      <c r="R63" s="267"/>
      <c r="S63" s="268"/>
    </row>
    <row r="64" spans="1:19" ht="17.25" customHeight="1" thickBot="1">
      <c r="A64" s="26" t="s">
        <v>270</v>
      </c>
      <c r="B64" s="272">
        <f>$B$37</f>
        <v>300000</v>
      </c>
      <c r="C64" s="273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69"/>
      <c r="R64" s="270"/>
      <c r="S64" s="27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36"/>
      <c r="R67" s="236"/>
      <c r="S67" s="236"/>
    </row>
    <row r="68" spans="1:19" ht="17.25" thickBot="1">
      <c r="A68" s="111" t="s">
        <v>267</v>
      </c>
      <c r="B68" s="215" t="s">
        <v>49</v>
      </c>
      <c r="C68" s="217"/>
      <c r="D68" s="215" t="s">
        <v>58</v>
      </c>
      <c r="E68" s="216"/>
      <c r="F68" s="217"/>
      <c r="G68" s="242">
        <f>_xlfn.IFNA(VLOOKUP(B68, 현재가테이블!$B$2:$D$200, 2, FALSE), "-")</f>
        <v>53976000</v>
      </c>
      <c r="H68" s="243"/>
      <c r="I68" s="244"/>
      <c r="J68" s="215" t="s">
        <v>59</v>
      </c>
      <c r="K68" s="216"/>
      <c r="L68" s="217"/>
      <c r="M68" s="245">
        <f>_xlfn.IFNA(VLOOKUP(B68, 현재가테이블!$B$2:$D$200, 3, FALSE), "-")</f>
        <v>-2.1216407400000001E-2</v>
      </c>
      <c r="N68" s="246"/>
      <c r="O68" s="247"/>
      <c r="Q68" s="236"/>
      <c r="R68" s="236"/>
      <c r="S68" s="236"/>
    </row>
    <row r="69" spans="1:19" ht="17.25" thickBot="1">
      <c r="A69" s="259" t="s">
        <v>55</v>
      </c>
      <c r="B69" s="261" t="str">
        <f>TEXT($G$1, "[$-ko-KR]yyyy-mm-dd(ddd) ") &amp; "오전 00:00"</f>
        <v>2021-04-01(목) 오전 00:00</v>
      </c>
      <c r="C69" s="262"/>
      <c r="D69" s="238" t="str">
        <f>TEXT($G$1, "[$-ko-KR]yyyy-mm-dd(ddd) ") &amp; "오후 14:00"</f>
        <v>2021-04-01(목) 오후 14:00</v>
      </c>
      <c r="E69" s="239"/>
      <c r="F69" s="240"/>
      <c r="G69" s="238" t="str">
        <f>TEXT($G$1, "[$-ko-KR]yyyy-mm-dd(ddd) ") &amp; "오후 19:00"</f>
        <v>2021-04-01(목) 오후 19:00</v>
      </c>
      <c r="H69" s="239"/>
      <c r="I69" s="240"/>
      <c r="J69" s="238" t="str">
        <f>TEXT($G$1, "[$-ko-KR]yyyy-mm-dd(ddd) ") &amp; "오후 21:00"</f>
        <v>2021-04-01(목) 오후 21:00</v>
      </c>
      <c r="K69" s="239"/>
      <c r="L69" s="240"/>
      <c r="M69" s="238" t="str">
        <f>TEXT($G$1+1, "[$-ko-KR]yyyy-mm-dd(ddd) ") &amp; "오전 00:00"</f>
        <v>2021-04-02(금) 오전 00:00</v>
      </c>
      <c r="N69" s="239"/>
      <c r="O69" s="240"/>
      <c r="Q69" s="236"/>
      <c r="R69" s="236"/>
      <c r="S69" s="236"/>
    </row>
    <row r="70" spans="1:19" ht="17.25" thickBot="1">
      <c r="A70" s="260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1"/>
      <c r="R70" s="241"/>
      <c r="S70" s="24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6"/>
      <c r="R71" s="236"/>
      <c r="S71" s="23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6"/>
      <c r="R72" s="236"/>
      <c r="S72" s="23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1"/>
      <c r="R73" s="241"/>
      <c r="S73" s="24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1"/>
      <c r="R74" s="241"/>
      <c r="S74" s="24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1"/>
      <c r="R75" s="241"/>
      <c r="S75" s="24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1"/>
      <c r="R76" s="241"/>
      <c r="S76" s="24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1"/>
      <c r="R77" s="241"/>
      <c r="S77" s="24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1"/>
      <c r="R78" s="241"/>
      <c r="S78" s="24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0"/>
      <c r="R80" s="251"/>
      <c r="S80" s="25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3"/>
      <c r="R81" s="254"/>
      <c r="S81" s="25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6"/>
      <c r="R82" s="257"/>
      <c r="S82" s="25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1"/>
      <c r="R83" s="241"/>
      <c r="S83" s="24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6"/>
      <c r="R84" s="236"/>
      <c r="S84" s="23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6"/>
      <c r="R85" s="236"/>
      <c r="S85" s="23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1"/>
      <c r="R86" s="241"/>
      <c r="S86" s="24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1"/>
      <c r="R87" s="241"/>
      <c r="S87" s="24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1"/>
      <c r="R88" s="241"/>
      <c r="S88" s="24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3"/>
      <c r="R89" s="264"/>
      <c r="S89" s="26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6"/>
      <c r="R90" s="267"/>
      <c r="S90" s="268"/>
    </row>
    <row r="91" spans="1:19" ht="17.25" thickBot="1">
      <c r="A91" s="26" t="s">
        <v>270</v>
      </c>
      <c r="B91" s="272">
        <f>$B$37</f>
        <v>300000</v>
      </c>
      <c r="C91" s="273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69"/>
      <c r="R91" s="270"/>
      <c r="S91" s="27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36"/>
      <c r="R94" s="236"/>
      <c r="S94" s="236"/>
    </row>
    <row r="95" spans="1:19" ht="17.25" thickBot="1">
      <c r="A95" s="111" t="s">
        <v>267</v>
      </c>
      <c r="B95" s="215" t="s">
        <v>49</v>
      </c>
      <c r="C95" s="217"/>
      <c r="D95" s="215" t="s">
        <v>58</v>
      </c>
      <c r="E95" s="216"/>
      <c r="F95" s="217"/>
      <c r="G95" s="242">
        <f>_xlfn.IFNA(VLOOKUP(B95, 현재가테이블!$B$2:$D$200, 2, FALSE), "-")</f>
        <v>53976000</v>
      </c>
      <c r="H95" s="243"/>
      <c r="I95" s="244"/>
      <c r="J95" s="215" t="s">
        <v>59</v>
      </c>
      <c r="K95" s="216"/>
      <c r="L95" s="217"/>
      <c r="M95" s="245">
        <f>_xlfn.IFNA(VLOOKUP(B95, 현재가테이블!$B$2:$D$200, 3, FALSE), "-")</f>
        <v>-2.1216407400000001E-2</v>
      </c>
      <c r="N95" s="246"/>
      <c r="O95" s="247"/>
      <c r="Q95" s="236"/>
      <c r="R95" s="236"/>
      <c r="S95" s="236"/>
    </row>
    <row r="96" spans="1:19" ht="17.25" thickBot="1">
      <c r="A96" s="259" t="s">
        <v>55</v>
      </c>
      <c r="B96" s="261" t="str">
        <f>TEXT($G$1, "[$-ko-KR]yyyy-mm-dd(ddd) ") &amp; "오전 00:00"</f>
        <v>2021-04-01(목) 오전 00:00</v>
      </c>
      <c r="C96" s="262"/>
      <c r="D96" s="238" t="str">
        <f>TEXT($G$1, "[$-ko-KR]yyyy-mm-dd(ddd) ") &amp; "오후 14:00"</f>
        <v>2021-04-01(목) 오후 14:00</v>
      </c>
      <c r="E96" s="239"/>
      <c r="F96" s="240"/>
      <c r="G96" s="238" t="str">
        <f>TEXT($G$1, "[$-ko-KR]yyyy-mm-dd(ddd) ") &amp; "오후 19:00"</f>
        <v>2021-04-01(목) 오후 19:00</v>
      </c>
      <c r="H96" s="239"/>
      <c r="I96" s="240"/>
      <c r="J96" s="238" t="str">
        <f>TEXT($G$1, "[$-ko-KR]yyyy-mm-dd(ddd) ") &amp; "오후 21:00"</f>
        <v>2021-04-01(목) 오후 21:00</v>
      </c>
      <c r="K96" s="239"/>
      <c r="L96" s="240"/>
      <c r="M96" s="238" t="str">
        <f>TEXT($G$1+1, "[$-ko-KR]yyyy-mm-dd(ddd) ") &amp; "오전 00:00"</f>
        <v>2021-04-02(금) 오전 00:00</v>
      </c>
      <c r="N96" s="239"/>
      <c r="O96" s="240"/>
      <c r="Q96" s="236"/>
      <c r="R96" s="236"/>
      <c r="S96" s="236"/>
    </row>
    <row r="97" spans="1:19" ht="17.25" thickBot="1">
      <c r="A97" s="260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1"/>
      <c r="R97" s="241"/>
      <c r="S97" s="24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6"/>
      <c r="R98" s="236"/>
      <c r="S98" s="23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6"/>
      <c r="R99" s="236"/>
      <c r="S99" s="23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1"/>
      <c r="R100" s="241"/>
      <c r="S100" s="24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1"/>
      <c r="R101" s="241"/>
      <c r="S101" s="24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1"/>
      <c r="R102" s="241"/>
      <c r="S102" s="24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1"/>
      <c r="R103" s="241"/>
      <c r="S103" s="24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1"/>
      <c r="R104" s="241"/>
      <c r="S104" s="24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1"/>
      <c r="R105" s="241"/>
      <c r="S105" s="24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0"/>
      <c r="R107" s="251"/>
      <c r="S107" s="25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3"/>
      <c r="R108" s="254"/>
      <c r="S108" s="25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6"/>
      <c r="R109" s="257"/>
      <c r="S109" s="25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1"/>
      <c r="R110" s="241"/>
      <c r="S110" s="24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6"/>
      <c r="R111" s="236"/>
      <c r="S111" s="23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6"/>
      <c r="R112" s="236"/>
      <c r="S112" s="23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1"/>
      <c r="R113" s="241"/>
      <c r="S113" s="24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1"/>
      <c r="R114" s="241"/>
      <c r="S114" s="24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1"/>
      <c r="R115" s="241"/>
      <c r="S115" s="24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3"/>
      <c r="R116" s="264"/>
      <c r="S116" s="26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6"/>
      <c r="R117" s="267"/>
      <c r="S117" s="268"/>
    </row>
    <row r="118" spans="1:19" ht="17.25" thickBot="1">
      <c r="A118" s="26" t="s">
        <v>270</v>
      </c>
      <c r="B118" s="272">
        <f>$B$37</f>
        <v>300000</v>
      </c>
      <c r="C118" s="273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69"/>
      <c r="R118" s="270"/>
      <c r="S118" s="27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36"/>
      <c r="R121" s="236"/>
      <c r="S121" s="236"/>
    </row>
    <row r="122" spans="1:19" ht="17.25" thickBot="1">
      <c r="A122" s="111" t="s">
        <v>267</v>
      </c>
      <c r="B122" s="215" t="s">
        <v>49</v>
      </c>
      <c r="C122" s="217"/>
      <c r="D122" s="215" t="s">
        <v>58</v>
      </c>
      <c r="E122" s="216"/>
      <c r="F122" s="217"/>
      <c r="G122" s="242">
        <f>_xlfn.IFNA(VLOOKUP(B122, 현재가테이블!$B$2:$D$200, 2, FALSE), "-")</f>
        <v>53976000</v>
      </c>
      <c r="H122" s="243"/>
      <c r="I122" s="244"/>
      <c r="J122" s="215" t="s">
        <v>59</v>
      </c>
      <c r="K122" s="216"/>
      <c r="L122" s="217"/>
      <c r="M122" s="245">
        <f>_xlfn.IFNA(VLOOKUP(B122, 현재가테이블!$B$2:$D$200, 3, FALSE), "-")</f>
        <v>-2.1216407400000001E-2</v>
      </c>
      <c r="N122" s="246"/>
      <c r="O122" s="247"/>
      <c r="Q122" s="236"/>
      <c r="R122" s="236"/>
      <c r="S122" s="236"/>
    </row>
    <row r="123" spans="1:19" ht="17.25" thickBot="1">
      <c r="A123" s="259" t="s">
        <v>55</v>
      </c>
      <c r="B123" s="261" t="str">
        <f>TEXT($G$1, "[$-ko-KR]yyyy-mm-dd(ddd) ") &amp; "오전 00:00"</f>
        <v>2021-04-01(목) 오전 00:00</v>
      </c>
      <c r="C123" s="262"/>
      <c r="D123" s="238" t="str">
        <f>TEXT($G$1, "[$-ko-KR]yyyy-mm-dd(ddd) ") &amp; "오후 14:00"</f>
        <v>2021-04-01(목) 오후 14:00</v>
      </c>
      <c r="E123" s="239"/>
      <c r="F123" s="240"/>
      <c r="G123" s="238" t="str">
        <f>TEXT($G$1, "[$-ko-KR]yyyy-mm-dd(ddd) ") &amp; "오후 19:00"</f>
        <v>2021-04-01(목) 오후 19:00</v>
      </c>
      <c r="H123" s="239"/>
      <c r="I123" s="240"/>
      <c r="J123" s="238" t="str">
        <f>TEXT($G$1, "[$-ko-KR]yyyy-mm-dd(ddd) ") &amp; "오후 21:00"</f>
        <v>2021-04-01(목) 오후 21:00</v>
      </c>
      <c r="K123" s="239"/>
      <c r="L123" s="240"/>
      <c r="M123" s="238" t="str">
        <f>TEXT($G$1+1, "[$-ko-KR]yyyy-mm-dd(ddd) ") &amp; "오전 00:00"</f>
        <v>2021-04-02(금) 오전 00:00</v>
      </c>
      <c r="N123" s="239"/>
      <c r="O123" s="240"/>
      <c r="Q123" s="236"/>
      <c r="R123" s="236"/>
      <c r="S123" s="236"/>
    </row>
    <row r="124" spans="1:19" ht="17.25" thickBot="1">
      <c r="A124" s="260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1"/>
      <c r="R124" s="241"/>
      <c r="S124" s="24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6"/>
      <c r="R125" s="236"/>
      <c r="S125" s="23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6"/>
      <c r="R126" s="236"/>
      <c r="S126" s="23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1"/>
      <c r="R127" s="241"/>
      <c r="S127" s="24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1"/>
      <c r="R128" s="241"/>
      <c r="S128" s="24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1"/>
      <c r="R129" s="241"/>
      <c r="S129" s="24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1"/>
      <c r="R130" s="241"/>
      <c r="S130" s="24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1"/>
      <c r="R131" s="241"/>
      <c r="S131" s="24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1"/>
      <c r="R132" s="241"/>
      <c r="S132" s="24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0"/>
      <c r="R134" s="251"/>
      <c r="S134" s="25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3"/>
      <c r="R135" s="254"/>
      <c r="S135" s="25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6"/>
      <c r="R136" s="257"/>
      <c r="S136" s="25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1"/>
      <c r="R137" s="241"/>
      <c r="S137" s="24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6"/>
      <c r="R138" s="236"/>
      <c r="S138" s="23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6"/>
      <c r="R139" s="236"/>
      <c r="S139" s="23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1"/>
      <c r="R140" s="241"/>
      <c r="S140" s="24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1"/>
      <c r="R141" s="241"/>
      <c r="S141" s="24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1"/>
      <c r="R142" s="241"/>
      <c r="S142" s="24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3"/>
      <c r="R143" s="264"/>
      <c r="S143" s="26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6"/>
      <c r="R144" s="267"/>
      <c r="S144" s="268"/>
    </row>
    <row r="145" spans="1:19" ht="17.25" thickBot="1">
      <c r="A145" s="26" t="s">
        <v>270</v>
      </c>
      <c r="B145" s="272">
        <f>$B$37</f>
        <v>300000</v>
      </c>
      <c r="C145" s="273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69"/>
      <c r="R145" s="270"/>
      <c r="S145" s="27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36"/>
      <c r="R148" s="236"/>
      <c r="S148" s="236"/>
    </row>
    <row r="149" spans="1:19" ht="17.25" thickBot="1">
      <c r="A149" s="111" t="s">
        <v>267</v>
      </c>
      <c r="B149" s="215" t="s">
        <v>49</v>
      </c>
      <c r="C149" s="217"/>
      <c r="D149" s="215" t="s">
        <v>58</v>
      </c>
      <c r="E149" s="216"/>
      <c r="F149" s="217"/>
      <c r="G149" s="242">
        <f>_xlfn.IFNA(VLOOKUP(B149, 현재가테이블!$B$2:$D$200, 2, FALSE), "-")</f>
        <v>53976000</v>
      </c>
      <c r="H149" s="243"/>
      <c r="I149" s="244"/>
      <c r="J149" s="215" t="s">
        <v>59</v>
      </c>
      <c r="K149" s="216"/>
      <c r="L149" s="217"/>
      <c r="M149" s="245">
        <f>_xlfn.IFNA(VLOOKUP(B149, 현재가테이블!$B$2:$D$200, 3, FALSE), "-")</f>
        <v>-2.1216407400000001E-2</v>
      </c>
      <c r="N149" s="246"/>
      <c r="O149" s="247"/>
      <c r="Q149" s="236"/>
      <c r="R149" s="236"/>
      <c r="S149" s="236"/>
    </row>
    <row r="150" spans="1:19" ht="17.25" thickBot="1">
      <c r="A150" s="259" t="s">
        <v>55</v>
      </c>
      <c r="B150" s="261" t="str">
        <f>TEXT($G$1, "[$-ko-KR]yyyy-mm-dd(ddd) ") &amp; "오전 00:00"</f>
        <v>2021-04-01(목) 오전 00:00</v>
      </c>
      <c r="C150" s="262"/>
      <c r="D150" s="238" t="str">
        <f>TEXT($G$1, "[$-ko-KR]yyyy-mm-dd(ddd) ") &amp; "오후 14:00"</f>
        <v>2021-04-01(목) 오후 14:00</v>
      </c>
      <c r="E150" s="239"/>
      <c r="F150" s="240"/>
      <c r="G150" s="238" t="str">
        <f>TEXT($G$1, "[$-ko-KR]yyyy-mm-dd(ddd) ") &amp; "오후 19:00"</f>
        <v>2021-04-01(목) 오후 19:00</v>
      </c>
      <c r="H150" s="239"/>
      <c r="I150" s="240"/>
      <c r="J150" s="238" t="str">
        <f>TEXT($G$1, "[$-ko-KR]yyyy-mm-dd(ddd) ") &amp; "오후 21:00"</f>
        <v>2021-04-01(목) 오후 21:00</v>
      </c>
      <c r="K150" s="239"/>
      <c r="L150" s="240"/>
      <c r="M150" s="238" t="str">
        <f>TEXT($G$1+1, "[$-ko-KR]yyyy-mm-dd(ddd) ") &amp; "오전 00:00"</f>
        <v>2021-04-02(금) 오전 00:00</v>
      </c>
      <c r="N150" s="239"/>
      <c r="O150" s="240"/>
      <c r="Q150" s="236"/>
      <c r="R150" s="236"/>
      <c r="S150" s="236"/>
    </row>
    <row r="151" spans="1:19" ht="17.25" thickBot="1">
      <c r="A151" s="260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1"/>
      <c r="R151" s="241"/>
      <c r="S151" s="24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6"/>
      <c r="R152" s="236"/>
      <c r="S152" s="23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6"/>
      <c r="R153" s="236"/>
      <c r="S153" s="23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1"/>
      <c r="R154" s="241"/>
      <c r="S154" s="24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1"/>
      <c r="R155" s="241"/>
      <c r="S155" s="24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1"/>
      <c r="R156" s="241"/>
      <c r="S156" s="24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1"/>
      <c r="R157" s="241"/>
      <c r="S157" s="24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1"/>
      <c r="R158" s="241"/>
      <c r="S158" s="24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1"/>
      <c r="R159" s="241"/>
      <c r="S159" s="24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0"/>
      <c r="R161" s="251"/>
      <c r="S161" s="25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3"/>
      <c r="R162" s="254"/>
      <c r="S162" s="25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6"/>
      <c r="R163" s="257"/>
      <c r="S163" s="25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1"/>
      <c r="R164" s="241"/>
      <c r="S164" s="24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6"/>
      <c r="R165" s="236"/>
      <c r="S165" s="23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6"/>
      <c r="R166" s="236"/>
      <c r="S166" s="23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1"/>
      <c r="R167" s="241"/>
      <c r="S167" s="24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1"/>
      <c r="R168" s="241"/>
      <c r="S168" s="24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1"/>
      <c r="R169" s="241"/>
      <c r="S169" s="24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3"/>
      <c r="R170" s="264"/>
      <c r="S170" s="26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6"/>
      <c r="R171" s="267"/>
      <c r="S171" s="268"/>
    </row>
    <row r="172" spans="1:19" ht="17.25" thickBot="1">
      <c r="A172" s="26" t="s">
        <v>270</v>
      </c>
      <c r="B172" s="272">
        <f>$B$37</f>
        <v>300000</v>
      </c>
      <c r="C172" s="273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69"/>
      <c r="R172" s="270"/>
      <c r="S172" s="27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36"/>
      <c r="R175" s="236"/>
      <c r="S175" s="236"/>
    </row>
    <row r="176" spans="1:19" ht="17.25" thickBot="1">
      <c r="A176" s="111" t="s">
        <v>267</v>
      </c>
      <c r="B176" s="215" t="s">
        <v>49</v>
      </c>
      <c r="C176" s="217"/>
      <c r="D176" s="215" t="s">
        <v>58</v>
      </c>
      <c r="E176" s="216"/>
      <c r="F176" s="217"/>
      <c r="G176" s="242">
        <f>_xlfn.IFNA(VLOOKUP(B176, 현재가테이블!$B$2:$D$200, 2, FALSE), "-")</f>
        <v>53976000</v>
      </c>
      <c r="H176" s="243"/>
      <c r="I176" s="244"/>
      <c r="J176" s="215" t="s">
        <v>59</v>
      </c>
      <c r="K176" s="216"/>
      <c r="L176" s="217"/>
      <c r="M176" s="245">
        <f>_xlfn.IFNA(VLOOKUP(B176, 현재가테이블!$B$2:$D$200, 3, FALSE), "-")</f>
        <v>-2.1216407400000001E-2</v>
      </c>
      <c r="N176" s="246"/>
      <c r="O176" s="247"/>
      <c r="Q176" s="236"/>
      <c r="R176" s="236"/>
      <c r="S176" s="236"/>
    </row>
    <row r="177" spans="1:19" ht="17.25" thickBot="1">
      <c r="A177" s="259" t="s">
        <v>55</v>
      </c>
      <c r="B177" s="261" t="str">
        <f>TEXT($G$1, "[$-ko-KR]yyyy-mm-dd(ddd) ") &amp; "오전 00:00"</f>
        <v>2021-04-01(목) 오전 00:00</v>
      </c>
      <c r="C177" s="262"/>
      <c r="D177" s="238" t="str">
        <f>TEXT($G$1, "[$-ko-KR]yyyy-mm-dd(ddd) ") &amp; "오후 14:00"</f>
        <v>2021-04-01(목) 오후 14:00</v>
      </c>
      <c r="E177" s="239"/>
      <c r="F177" s="240"/>
      <c r="G177" s="238" t="str">
        <f>TEXT($G$1, "[$-ko-KR]yyyy-mm-dd(ddd) ") &amp; "오후 19:00"</f>
        <v>2021-04-01(목) 오후 19:00</v>
      </c>
      <c r="H177" s="239"/>
      <c r="I177" s="240"/>
      <c r="J177" s="238" t="str">
        <f>TEXT($G$1, "[$-ko-KR]yyyy-mm-dd(ddd) ") &amp; "오후 21:00"</f>
        <v>2021-04-01(목) 오후 21:00</v>
      </c>
      <c r="K177" s="239"/>
      <c r="L177" s="240"/>
      <c r="M177" s="238" t="str">
        <f>TEXT($G$1+1, "[$-ko-KR]yyyy-mm-dd(ddd) ") &amp; "오전 00:00"</f>
        <v>2021-04-02(금) 오전 00:00</v>
      </c>
      <c r="N177" s="239"/>
      <c r="O177" s="240"/>
      <c r="Q177" s="236"/>
      <c r="R177" s="236"/>
      <c r="S177" s="236"/>
    </row>
    <row r="178" spans="1:19" ht="17.25" thickBot="1">
      <c r="A178" s="260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1"/>
      <c r="R178" s="241"/>
      <c r="S178" s="24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6"/>
      <c r="R179" s="236"/>
      <c r="S179" s="23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6"/>
      <c r="R180" s="236"/>
      <c r="S180" s="23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1"/>
      <c r="R181" s="241"/>
      <c r="S181" s="24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1"/>
      <c r="R182" s="241"/>
      <c r="S182" s="24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1"/>
      <c r="R183" s="241"/>
      <c r="S183" s="24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1"/>
      <c r="R184" s="241"/>
      <c r="S184" s="24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1"/>
      <c r="R185" s="241"/>
      <c r="S185" s="24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1"/>
      <c r="R186" s="241"/>
      <c r="S186" s="24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0"/>
      <c r="R188" s="251"/>
      <c r="S188" s="25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3"/>
      <c r="R189" s="254"/>
      <c r="S189" s="25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6"/>
      <c r="R190" s="257"/>
      <c r="S190" s="25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1"/>
      <c r="R191" s="241"/>
      <c r="S191" s="24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6"/>
      <c r="R192" s="236"/>
      <c r="S192" s="23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6"/>
      <c r="R193" s="236"/>
      <c r="S193" s="23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1"/>
      <c r="R194" s="241"/>
      <c r="S194" s="24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1"/>
      <c r="R195" s="241"/>
      <c r="S195" s="24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1"/>
      <c r="R196" s="241"/>
      <c r="S196" s="24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3"/>
      <c r="R197" s="264"/>
      <c r="S197" s="26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6"/>
      <c r="R198" s="267"/>
      <c r="S198" s="268"/>
    </row>
    <row r="199" spans="1:19" ht="17.25" thickBot="1">
      <c r="A199" s="26" t="s">
        <v>270</v>
      </c>
      <c r="B199" s="272">
        <f>$B$37</f>
        <v>300000</v>
      </c>
      <c r="C199" s="273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69"/>
      <c r="R199" s="270"/>
      <c r="S199" s="27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13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13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13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13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3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3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3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3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3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2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28" priority="157">
      <formula>AND($N17 &gt; 0, ISNUMBER($N17))</formula>
    </cfRule>
    <cfRule type="expression" dxfId="3127" priority="158">
      <formula>AND($N17 = 0 * ISNUMBER($N17))</formula>
    </cfRule>
    <cfRule type="expression" dxfId="3126" priority="159">
      <formula>AND($N17 &lt; 0, ISNUMBER($N17))</formula>
    </cfRule>
  </conditionalFormatting>
  <conditionalFormatting sqref="A17:F36">
    <cfRule type="expression" dxfId="3125" priority="166">
      <formula>AND($E17 &gt; 0, ISNUMBER($E17))</formula>
    </cfRule>
    <cfRule type="expression" dxfId="3124" priority="167">
      <formula>AND($E17 = 0 * ISNUMBER($E17))</formula>
    </cfRule>
    <cfRule type="expression" dxfId="3123" priority="168">
      <formula>AND($E17 &lt; 0, ISNUMBER($E17))</formula>
    </cfRule>
  </conditionalFormatting>
  <conditionalFormatting sqref="A17:C36 G17:I36">
    <cfRule type="expression" dxfId="3122" priority="163">
      <formula>AND($H17 &gt; 0, ISNUMBER($H17))</formula>
    </cfRule>
    <cfRule type="expression" dxfId="3121" priority="164">
      <formula>AND($H17 = 0 * ISNUMBER($H17))</formula>
    </cfRule>
    <cfRule type="expression" dxfId="3120" priority="165">
      <formula>AND($H17 &lt; 0, ISNUMBER($H17))</formula>
    </cfRule>
  </conditionalFormatting>
  <conditionalFormatting sqref="A17:C36 J17:L36">
    <cfRule type="expression" dxfId="3119" priority="160">
      <formula>AND($K17 &gt; 0, ISNUMBER($K17))</formula>
    </cfRule>
    <cfRule type="expression" dxfId="3118" priority="161">
      <formula>AND($K17 = 0 * ISNUMBER($K17))</formula>
    </cfRule>
    <cfRule type="expression" dxfId="3117" priority="162">
      <formula>AND($K17 &lt; 0, ISNUMBER($K17))</formula>
    </cfRule>
  </conditionalFormatting>
  <conditionalFormatting sqref="D15:F16 E37:F37">
    <cfRule type="expression" dxfId="3116" priority="154">
      <formula>$E$37 &gt; 0</formula>
    </cfRule>
    <cfRule type="expression" dxfId="3115" priority="155">
      <formula>$E$37 = 0</formula>
    </cfRule>
    <cfRule type="expression" dxfId="3114" priority="156">
      <formula>$E$37 &lt; 0</formula>
    </cfRule>
  </conditionalFormatting>
  <conditionalFormatting sqref="G15:I16 H37:I37">
    <cfRule type="expression" dxfId="3113" priority="151">
      <formula>$H$37 &gt; 0</formula>
    </cfRule>
    <cfRule type="expression" dxfId="3112" priority="152">
      <formula>$H$37 = 0</formula>
    </cfRule>
    <cfRule type="expression" dxfId="3111" priority="153">
      <formula>$H$37 &lt; 0</formula>
    </cfRule>
  </conditionalFormatting>
  <conditionalFormatting sqref="J15:L16 K37:L37">
    <cfRule type="expression" dxfId="3110" priority="148">
      <formula>$K$37 &gt; 0</formula>
    </cfRule>
    <cfRule type="expression" dxfId="3109" priority="149">
      <formula>$K$37 = 0</formula>
    </cfRule>
    <cfRule type="expression" dxfId="3108" priority="150">
      <formula>$K$37 &lt; 0</formula>
    </cfRule>
  </conditionalFormatting>
  <conditionalFormatting sqref="M15:O16 N37:O37">
    <cfRule type="expression" dxfId="3107" priority="145">
      <formula>$N$37 &gt; 0</formula>
    </cfRule>
    <cfRule type="expression" dxfId="3106" priority="146">
      <formula>$N$37 = 0</formula>
    </cfRule>
    <cfRule type="expression" dxfId="3105" priority="147">
      <formula>$N$37 &lt; 0</formula>
    </cfRule>
  </conditionalFormatting>
  <conditionalFormatting sqref="A44:C63 M44:O63">
    <cfRule type="expression" dxfId="3104" priority="133">
      <formula>AND($N44 &gt; 0, ISNUMBER($N44))</formula>
    </cfRule>
    <cfRule type="expression" dxfId="3103" priority="134">
      <formula>AND($N44 = 0 * ISNUMBER($N44))</formula>
    </cfRule>
    <cfRule type="expression" dxfId="3102" priority="135">
      <formula>AND($N44 &lt; 0, ISNUMBER($N44))</formula>
    </cfRule>
  </conditionalFormatting>
  <conditionalFormatting sqref="A44:F63">
    <cfRule type="expression" dxfId="3101" priority="142">
      <formula>AND($E44 &gt; 0, ISNUMBER($E44))</formula>
    </cfRule>
    <cfRule type="expression" dxfId="3100" priority="143">
      <formula>AND($E44 = 0 * ISNUMBER($E44))</formula>
    </cfRule>
    <cfRule type="expression" dxfId="3099" priority="144">
      <formula>AND($E44 &lt; 0, ISNUMBER($E44))</formula>
    </cfRule>
  </conditionalFormatting>
  <conditionalFormatting sqref="A44:C63 G44:I63">
    <cfRule type="expression" dxfId="3098" priority="139">
      <formula>AND($H44 &gt; 0, ISNUMBER($H44))</formula>
    </cfRule>
    <cfRule type="expression" dxfId="3097" priority="140">
      <formula>AND($H44 = 0 * ISNUMBER($H44))</formula>
    </cfRule>
    <cfRule type="expression" dxfId="3096" priority="141">
      <formula>AND($H44 &lt; 0, ISNUMBER($H44))</formula>
    </cfRule>
  </conditionalFormatting>
  <conditionalFormatting sqref="A44:C63 J44:L63">
    <cfRule type="expression" dxfId="3095" priority="136">
      <formula>AND($K44 &gt; 0, ISNUMBER($K44))</formula>
    </cfRule>
    <cfRule type="expression" dxfId="3094" priority="137">
      <formula>AND($K44 = 0 * ISNUMBER($K44))</formula>
    </cfRule>
    <cfRule type="expression" dxfId="3093" priority="138">
      <formula>AND($K44 &lt; 0, ISNUMBER($K44))</formula>
    </cfRule>
  </conditionalFormatting>
  <conditionalFormatting sqref="D42:F43 E64:F64">
    <cfRule type="expression" dxfId="3092" priority="130">
      <formula>$E$64 &gt; 0</formula>
    </cfRule>
    <cfRule type="expression" dxfId="3091" priority="131">
      <formula>$E$64 = 0</formula>
    </cfRule>
    <cfRule type="expression" dxfId="3090" priority="132">
      <formula>$E$64 &lt; 0</formula>
    </cfRule>
  </conditionalFormatting>
  <conditionalFormatting sqref="G42:I43 H64:I64">
    <cfRule type="expression" dxfId="3089" priority="127">
      <formula>$H$64 &gt; 0</formula>
    </cfRule>
    <cfRule type="expression" dxfId="3088" priority="128">
      <formula>$H$64 = 0</formula>
    </cfRule>
    <cfRule type="expression" dxfId="3087" priority="129">
      <formula>$H$64 &lt; 0</formula>
    </cfRule>
  </conditionalFormatting>
  <conditionalFormatting sqref="J42:L43 K64:L64">
    <cfRule type="expression" dxfId="3086" priority="124">
      <formula>$K$64 &gt; 0</formula>
    </cfRule>
    <cfRule type="expression" dxfId="3085" priority="125">
      <formula>$K$64 = 0</formula>
    </cfRule>
    <cfRule type="expression" dxfId="3084" priority="126">
      <formula>$K$64 &lt; 0</formula>
    </cfRule>
  </conditionalFormatting>
  <conditionalFormatting sqref="M42:O43 N64:O64">
    <cfRule type="expression" dxfId="3083" priority="121">
      <formula>$N$64 &gt; 0</formula>
    </cfRule>
    <cfRule type="expression" dxfId="3082" priority="122">
      <formula>$N$64 = 0</formula>
    </cfRule>
    <cfRule type="expression" dxfId="3081" priority="123">
      <formula>$N$64 &lt; 0</formula>
    </cfRule>
  </conditionalFormatting>
  <conditionalFormatting sqref="A71:C90 M71:O90">
    <cfRule type="expression" dxfId="3080" priority="109">
      <formula>AND($N71 &gt; 0, ISNUMBER($N71))</formula>
    </cfRule>
    <cfRule type="expression" dxfId="3079" priority="110">
      <formula>AND($N71 = 0 * ISNUMBER($N71))</formula>
    </cfRule>
    <cfRule type="expression" dxfId="3078" priority="111">
      <formula>AND($N71 &lt; 0, ISNUMBER($N71))</formula>
    </cfRule>
  </conditionalFormatting>
  <conditionalFormatting sqref="A71:F90">
    <cfRule type="expression" dxfId="3077" priority="118">
      <formula>AND($E71 &gt; 0, ISNUMBER($E71))</formula>
    </cfRule>
    <cfRule type="expression" dxfId="3076" priority="119">
      <formula>AND($E71 = 0 * ISNUMBER($E71))</formula>
    </cfRule>
    <cfRule type="expression" dxfId="3075" priority="120">
      <formula>AND($E71 &lt; 0, ISNUMBER($E71))</formula>
    </cfRule>
  </conditionalFormatting>
  <conditionalFormatting sqref="A71:C90 G71:I90">
    <cfRule type="expression" dxfId="3074" priority="115">
      <formula>AND($H71 &gt; 0, ISNUMBER($H71))</formula>
    </cfRule>
    <cfRule type="expression" dxfId="3073" priority="116">
      <formula>AND($H71 = 0 * ISNUMBER($H71))</formula>
    </cfRule>
    <cfRule type="expression" dxfId="3072" priority="117">
      <formula>AND($H71 &lt; 0, ISNUMBER($H71))</formula>
    </cfRule>
  </conditionalFormatting>
  <conditionalFormatting sqref="A71:C90 J71:L90">
    <cfRule type="expression" dxfId="3071" priority="112">
      <formula>AND($K71 &gt; 0, ISNUMBER($K71))</formula>
    </cfRule>
    <cfRule type="expression" dxfId="3070" priority="113">
      <formula>AND($K71 = 0 * ISNUMBER($K71))</formula>
    </cfRule>
    <cfRule type="expression" dxfId="3069" priority="114">
      <formula>AND($K71 &lt; 0, ISNUMBER($K71))</formula>
    </cfRule>
  </conditionalFormatting>
  <conditionalFormatting sqref="D69:F70 E91:F91">
    <cfRule type="expression" dxfId="3068" priority="106">
      <formula>$E$91 &gt; 0</formula>
    </cfRule>
    <cfRule type="expression" dxfId="3067" priority="107">
      <formula>$E$91 = 0</formula>
    </cfRule>
    <cfRule type="expression" dxfId="3066" priority="108">
      <formula>$E$91 &lt; 0</formula>
    </cfRule>
  </conditionalFormatting>
  <conditionalFormatting sqref="G69:I70 H91:I91">
    <cfRule type="expression" dxfId="3065" priority="103">
      <formula>$H$91 &gt; 0</formula>
    </cfRule>
    <cfRule type="expression" dxfId="3064" priority="104">
      <formula>$H$91 = 0</formula>
    </cfRule>
    <cfRule type="expression" dxfId="3063" priority="105">
      <formula>$H$91 &lt; 0</formula>
    </cfRule>
  </conditionalFormatting>
  <conditionalFormatting sqref="J69:L70 K91:L91">
    <cfRule type="expression" dxfId="3062" priority="100">
      <formula>$K$91 &gt; 0</formula>
    </cfRule>
    <cfRule type="expression" dxfId="3061" priority="101">
      <formula>$K$91 = 0</formula>
    </cfRule>
    <cfRule type="expression" dxfId="3060" priority="102">
      <formula>$K$91 &lt; 0</formula>
    </cfRule>
  </conditionalFormatting>
  <conditionalFormatting sqref="M69:O70 N91:O91">
    <cfRule type="expression" dxfId="3059" priority="97">
      <formula>$N$91 &gt; 0</formula>
    </cfRule>
    <cfRule type="expression" dxfId="3058" priority="98">
      <formula>$N$91 = 0</formula>
    </cfRule>
    <cfRule type="expression" dxfId="3057" priority="99">
      <formula>$N$91 &lt; 0</formula>
    </cfRule>
  </conditionalFormatting>
  <conditionalFormatting sqref="A98:C117 M98:O117">
    <cfRule type="expression" dxfId="3056" priority="85">
      <formula>AND($N98 &gt; 0, ISNUMBER($N98))</formula>
    </cfRule>
    <cfRule type="expression" dxfId="3055" priority="86">
      <formula>AND($N98 = 0 * ISNUMBER($N98))</formula>
    </cfRule>
    <cfRule type="expression" dxfId="3054" priority="87">
      <formula>AND($N98 &lt; 0, ISNUMBER($N98))</formula>
    </cfRule>
  </conditionalFormatting>
  <conditionalFormatting sqref="A98:F117">
    <cfRule type="expression" dxfId="3053" priority="94">
      <formula>AND($E98 &gt; 0, ISNUMBER($E98))</formula>
    </cfRule>
    <cfRule type="expression" dxfId="3052" priority="95">
      <formula>AND($E98 = 0 * ISNUMBER($E98))</formula>
    </cfRule>
    <cfRule type="expression" dxfId="3051" priority="96">
      <formula>AND($E98 &lt; 0, ISNUMBER($E98))</formula>
    </cfRule>
  </conditionalFormatting>
  <conditionalFormatting sqref="A98:C117 G98:I117">
    <cfRule type="expression" dxfId="3050" priority="91">
      <formula>AND($H98 &gt; 0, ISNUMBER($H98))</formula>
    </cfRule>
    <cfRule type="expression" dxfId="3049" priority="92">
      <formula>AND($H98 = 0 * ISNUMBER($H98))</formula>
    </cfRule>
    <cfRule type="expression" dxfId="3048" priority="93">
      <formula>AND($H98 &lt; 0, ISNUMBER($H98))</formula>
    </cfRule>
  </conditionalFormatting>
  <conditionalFormatting sqref="A98:C117 J98:L117">
    <cfRule type="expression" dxfId="3047" priority="88">
      <formula>AND($K98 &gt; 0, ISNUMBER($K98))</formula>
    </cfRule>
    <cfRule type="expression" dxfId="3046" priority="89">
      <formula>AND($K98 = 0 * ISNUMBER($K98))</formula>
    </cfRule>
    <cfRule type="expression" dxfId="3045" priority="90">
      <formula>AND($K98 &lt; 0, ISNUMBER($K98))</formula>
    </cfRule>
  </conditionalFormatting>
  <conditionalFormatting sqref="D96:F97 E118:F118">
    <cfRule type="expression" dxfId="3044" priority="82">
      <formula>$E$118 &gt; 0</formula>
    </cfRule>
    <cfRule type="expression" dxfId="3043" priority="83">
      <formula>$E$118 = 0</formula>
    </cfRule>
    <cfRule type="expression" dxfId="3042" priority="84">
      <formula>$E$118 &lt; 0</formula>
    </cfRule>
  </conditionalFormatting>
  <conditionalFormatting sqref="G96:I97 H118:I118">
    <cfRule type="expression" dxfId="3041" priority="79">
      <formula>$H$118 &gt; 0</formula>
    </cfRule>
    <cfRule type="expression" dxfId="3040" priority="80">
      <formula>$H$118 = 0</formula>
    </cfRule>
    <cfRule type="expression" dxfId="3039" priority="81">
      <formula>$H$118 &lt; 0</formula>
    </cfRule>
  </conditionalFormatting>
  <conditionalFormatting sqref="J96:L97 K118:L118">
    <cfRule type="expression" dxfId="3038" priority="76">
      <formula>$K$118 &gt; 0</formula>
    </cfRule>
    <cfRule type="expression" dxfId="3037" priority="77">
      <formula>$K$118 = 0</formula>
    </cfRule>
    <cfRule type="expression" dxfId="3036" priority="78">
      <formula>$K$118 &lt; 0</formula>
    </cfRule>
  </conditionalFormatting>
  <conditionalFormatting sqref="M96:O97 N118:O118">
    <cfRule type="expression" dxfId="3035" priority="73">
      <formula>$N$118 &gt; 0</formula>
    </cfRule>
    <cfRule type="expression" dxfId="3034" priority="74">
      <formula>$N$118 = 0</formula>
    </cfRule>
    <cfRule type="expression" dxfId="3033" priority="75">
      <formula>$N$118 &lt; 0</formula>
    </cfRule>
  </conditionalFormatting>
  <conditionalFormatting sqref="A125:C144 M125:O144">
    <cfRule type="expression" dxfId="3032" priority="61">
      <formula>AND($N125 &gt; 0, ISNUMBER($N125))</formula>
    </cfRule>
    <cfRule type="expression" dxfId="3031" priority="62">
      <formula>AND($N125 = 0 * ISNUMBER($N125))</formula>
    </cfRule>
    <cfRule type="expression" dxfId="3030" priority="63">
      <formula>AND($N125 &lt; 0, ISNUMBER($N125))</formula>
    </cfRule>
  </conditionalFormatting>
  <conditionalFormatting sqref="A125:F144">
    <cfRule type="expression" dxfId="3029" priority="70">
      <formula>AND($E125 &gt; 0, ISNUMBER($E125))</formula>
    </cfRule>
    <cfRule type="expression" dxfId="3028" priority="71">
      <formula>AND($E125 = 0 * ISNUMBER($E125))</formula>
    </cfRule>
    <cfRule type="expression" dxfId="3027" priority="72">
      <formula>AND($E125 &lt; 0, ISNUMBER($E125))</formula>
    </cfRule>
  </conditionalFormatting>
  <conditionalFormatting sqref="A125:C144 G125:I144">
    <cfRule type="expression" dxfId="3026" priority="67">
      <formula>AND($H125 &gt; 0, ISNUMBER($H125))</formula>
    </cfRule>
    <cfRule type="expression" dxfId="3025" priority="68">
      <formula>AND($H125 = 0 * ISNUMBER($H125))</formula>
    </cfRule>
    <cfRule type="expression" dxfId="3024" priority="69">
      <formula>AND($H125 &lt; 0, ISNUMBER($H125))</formula>
    </cfRule>
  </conditionalFormatting>
  <conditionalFormatting sqref="A125:C144 J125:L144">
    <cfRule type="expression" dxfId="3023" priority="64">
      <formula>AND($K125 &gt; 0, ISNUMBER($K125))</formula>
    </cfRule>
    <cfRule type="expression" dxfId="3022" priority="65">
      <formula>AND($K125 = 0 * ISNUMBER($K125))</formula>
    </cfRule>
    <cfRule type="expression" dxfId="3021" priority="66">
      <formula>AND($K125 &lt; 0, ISNUMBER($K125))</formula>
    </cfRule>
  </conditionalFormatting>
  <conditionalFormatting sqref="D123:F124 E145:F145">
    <cfRule type="expression" dxfId="3020" priority="58">
      <formula>$E$145 &gt; 0</formula>
    </cfRule>
    <cfRule type="expression" dxfId="3019" priority="59">
      <formula>$E$145 = 0</formula>
    </cfRule>
    <cfRule type="expression" dxfId="3018" priority="60">
      <formula>$E$145 &lt; 0</formula>
    </cfRule>
  </conditionalFormatting>
  <conditionalFormatting sqref="G123:I124 H145:I145">
    <cfRule type="expression" dxfId="3017" priority="55">
      <formula>$H$145 &gt; 0</formula>
    </cfRule>
    <cfRule type="expression" dxfId="3016" priority="56">
      <formula>$H$145 = 0</formula>
    </cfRule>
    <cfRule type="expression" dxfId="3015" priority="57">
      <formula>$H$145 &lt; 0</formula>
    </cfRule>
  </conditionalFormatting>
  <conditionalFormatting sqref="J123:L124 K145:L145">
    <cfRule type="expression" dxfId="3014" priority="52">
      <formula>$K$145 &gt; 0</formula>
    </cfRule>
    <cfRule type="expression" dxfId="3013" priority="53">
      <formula>$K$145 = 0</formula>
    </cfRule>
    <cfRule type="expression" dxfId="3012" priority="54">
      <formula>$K$145 &lt; 0</formula>
    </cfRule>
  </conditionalFormatting>
  <conditionalFormatting sqref="M123:O124 N145:O145">
    <cfRule type="expression" dxfId="3011" priority="49">
      <formula>$N$145 &gt; 0</formula>
    </cfRule>
    <cfRule type="expression" dxfId="3010" priority="50">
      <formula>$N$145 = 0</formula>
    </cfRule>
    <cfRule type="expression" dxfId="3009" priority="51">
      <formula>$N$145 &lt; 0</formula>
    </cfRule>
  </conditionalFormatting>
  <conditionalFormatting sqref="A152:C171 M152:O171">
    <cfRule type="expression" dxfId="3008" priority="37">
      <formula>AND($N152 &gt; 0, ISNUMBER($N152))</formula>
    </cfRule>
    <cfRule type="expression" dxfId="3007" priority="38">
      <formula>AND($N152 = 0 * ISNUMBER($N152))</formula>
    </cfRule>
    <cfRule type="expression" dxfId="3006" priority="39">
      <formula>AND($N152 &lt; 0, ISNUMBER($N152))</formula>
    </cfRule>
  </conditionalFormatting>
  <conditionalFormatting sqref="A152:F171">
    <cfRule type="expression" dxfId="3005" priority="46">
      <formula>AND($E152 &gt; 0, ISNUMBER($E152))</formula>
    </cfRule>
    <cfRule type="expression" dxfId="3004" priority="47">
      <formula>AND($E152 = 0 * ISNUMBER($E152))</formula>
    </cfRule>
    <cfRule type="expression" dxfId="3003" priority="48">
      <formula>AND($E152 &lt; 0, ISNUMBER($E152))</formula>
    </cfRule>
  </conditionalFormatting>
  <conditionalFormatting sqref="A152:C171 G152:I171">
    <cfRule type="expression" dxfId="3002" priority="43">
      <formula>AND($H152 &gt; 0, ISNUMBER($H152))</formula>
    </cfRule>
    <cfRule type="expression" dxfId="3001" priority="44">
      <formula>AND($H152 = 0 * ISNUMBER($H152))</formula>
    </cfRule>
    <cfRule type="expression" dxfId="3000" priority="45">
      <formula>AND($H152 &lt; 0, ISNUMBER($H152))</formula>
    </cfRule>
  </conditionalFormatting>
  <conditionalFormatting sqref="A152:C171 J152:L171">
    <cfRule type="expression" dxfId="2999" priority="40">
      <formula>AND($K152 &gt; 0, ISNUMBER($K152))</formula>
    </cfRule>
    <cfRule type="expression" dxfId="2998" priority="41">
      <formula>AND($K152 = 0 * ISNUMBER($K152))</formula>
    </cfRule>
    <cfRule type="expression" dxfId="2997" priority="42">
      <formula>AND($K152 &lt; 0, ISNUMBER($K152))</formula>
    </cfRule>
  </conditionalFormatting>
  <conditionalFormatting sqref="D150:F151 E172:F172">
    <cfRule type="expression" dxfId="2996" priority="34">
      <formula>$E$172 &gt; 0</formula>
    </cfRule>
    <cfRule type="expression" dxfId="2995" priority="35">
      <formula>$E$172 = 0</formula>
    </cfRule>
    <cfRule type="expression" dxfId="2994" priority="36">
      <formula>$E$172 &lt; 0</formula>
    </cfRule>
  </conditionalFormatting>
  <conditionalFormatting sqref="G150:I151 H172:I172">
    <cfRule type="expression" dxfId="2993" priority="31">
      <formula>$H$172 &gt; 0</formula>
    </cfRule>
    <cfRule type="expression" dxfId="2992" priority="32">
      <formula>$H$172 = 0</formula>
    </cfRule>
    <cfRule type="expression" dxfId="2991" priority="33">
      <formula>$H$172 &lt; 0</formula>
    </cfRule>
  </conditionalFormatting>
  <conditionalFormatting sqref="J150:L151 K172:L172">
    <cfRule type="expression" dxfId="2990" priority="28">
      <formula>$K$172 &gt; 0</formula>
    </cfRule>
    <cfRule type="expression" dxfId="2989" priority="29">
      <formula>$K$172 = 0</formula>
    </cfRule>
    <cfRule type="expression" dxfId="2988" priority="30">
      <formula>$K$172 &lt; 0</formula>
    </cfRule>
  </conditionalFormatting>
  <conditionalFormatting sqref="M150:O151 N172:O172">
    <cfRule type="expression" dxfId="2987" priority="25">
      <formula>$N$172 &gt; 0</formula>
    </cfRule>
    <cfRule type="expression" dxfId="2986" priority="26">
      <formula>$N$172 = 0</formula>
    </cfRule>
    <cfRule type="expression" dxfId="2985" priority="27">
      <formula>$N$172 &lt; 0</formula>
    </cfRule>
  </conditionalFormatting>
  <conditionalFormatting sqref="A179:C198 M179:O198">
    <cfRule type="expression" dxfId="2984" priority="13">
      <formula>AND($N179 &gt; 0, ISNUMBER($N179))</formula>
    </cfRule>
    <cfRule type="expression" dxfId="2983" priority="14">
      <formula>AND($N179 = 0 * ISNUMBER($N179))</formula>
    </cfRule>
    <cfRule type="expression" dxfId="2982" priority="15">
      <formula>AND($N179 &lt; 0, ISNUMBER($N179))</formula>
    </cfRule>
  </conditionalFormatting>
  <conditionalFormatting sqref="A179:F198">
    <cfRule type="expression" dxfId="2981" priority="22">
      <formula>AND($E179 &gt; 0, ISNUMBER($E179))</formula>
    </cfRule>
    <cfRule type="expression" dxfId="2980" priority="23">
      <formula>AND($E179 = 0 * ISNUMBER($E179))</formula>
    </cfRule>
    <cfRule type="expression" dxfId="2979" priority="24">
      <formula>AND($E179 &lt; 0, ISNUMBER($E179))</formula>
    </cfRule>
  </conditionalFormatting>
  <conditionalFormatting sqref="A179:C198 G179:I198">
    <cfRule type="expression" dxfId="2978" priority="19">
      <formula>AND($H179 &gt; 0, ISNUMBER($H179))</formula>
    </cfRule>
    <cfRule type="expression" dxfId="2977" priority="20">
      <formula>AND($H179 = 0 * ISNUMBER($H179))</formula>
    </cfRule>
    <cfRule type="expression" dxfId="2976" priority="21">
      <formula>AND($H179 &lt; 0, ISNUMBER($H179))</formula>
    </cfRule>
  </conditionalFormatting>
  <conditionalFormatting sqref="A179:C198 J179:L198">
    <cfRule type="expression" dxfId="2975" priority="16">
      <formula>AND($K179 &gt; 0, ISNUMBER($K179))</formula>
    </cfRule>
    <cfRule type="expression" dxfId="2974" priority="17">
      <formula>AND($K179 = 0 * ISNUMBER($K179))</formula>
    </cfRule>
    <cfRule type="expression" dxfId="2973" priority="18">
      <formula>AND($K179 &lt; 0, ISNUMBER($K179))</formula>
    </cfRule>
  </conditionalFormatting>
  <conditionalFormatting sqref="D177:F178 E199:F199">
    <cfRule type="expression" dxfId="2972" priority="10">
      <formula>$E$199 &gt; 0</formula>
    </cfRule>
    <cfRule type="expression" dxfId="2971" priority="11">
      <formula>$E$199 = 0</formula>
    </cfRule>
    <cfRule type="expression" dxfId="2970" priority="12">
      <formula>$E$199 &lt; 0</formula>
    </cfRule>
  </conditionalFormatting>
  <conditionalFormatting sqref="G177:I178 H199:I199">
    <cfRule type="expression" dxfId="2969" priority="7">
      <formula>$H$199 &gt; 0</formula>
    </cfRule>
    <cfRule type="expression" dxfId="2968" priority="8">
      <formula>$H$199 = 0</formula>
    </cfRule>
    <cfRule type="expression" dxfId="2967" priority="9">
      <formula>$H$199 &lt; 0</formula>
    </cfRule>
  </conditionalFormatting>
  <conditionalFormatting sqref="J177:L178 K199:L199">
    <cfRule type="expression" dxfId="2966" priority="4">
      <formula>$K$199 &gt; 0</formula>
    </cfRule>
    <cfRule type="expression" dxfId="2965" priority="5">
      <formula>$K$199 = 0</formula>
    </cfRule>
    <cfRule type="expression" dxfId="2964" priority="6">
      <formula>$K$199 &lt; 0</formula>
    </cfRule>
  </conditionalFormatting>
  <conditionalFormatting sqref="M177:O178 N199:O199">
    <cfRule type="expression" dxfId="2963" priority="1">
      <formula>$N$199 &gt; 0</formula>
    </cfRule>
    <cfRule type="expression" dxfId="2962" priority="2">
      <formula>$N$199 = 0</formula>
    </cfRule>
    <cfRule type="expression" dxfId="296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18">
        <v>44409</v>
      </c>
      <c r="H1" s="219"/>
      <c r="I1" s="220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24" t="s">
        <v>46</v>
      </c>
      <c r="H2" s="225"/>
      <c r="I2" s="226"/>
      <c r="J2" s="1" t="s">
        <v>3</v>
      </c>
      <c r="K2" s="221" t="s">
        <v>320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27" t="s">
        <v>328</v>
      </c>
      <c r="C3" s="228"/>
      <c r="D3" s="228"/>
      <c r="E3" s="228"/>
      <c r="F3" s="229"/>
      <c r="G3" s="23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1"/>
      <c r="I3" s="232"/>
      <c r="J3" s="4" t="s">
        <v>7</v>
      </c>
      <c r="K3" s="227" t="s">
        <v>321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7" t="s">
        <v>16</v>
      </c>
      <c r="C4" s="228"/>
      <c r="D4" s="228"/>
      <c r="E4" s="228"/>
      <c r="F4" s="229"/>
      <c r="G4" s="224" t="s">
        <v>44</v>
      </c>
      <c r="H4" s="225"/>
      <c r="I4" s="226"/>
      <c r="J4" s="4" t="s">
        <v>11</v>
      </c>
      <c r="K4" s="227" t="s">
        <v>322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7" t="s">
        <v>319</v>
      </c>
      <c r="C5" s="228"/>
      <c r="D5" s="228"/>
      <c r="E5" s="228"/>
      <c r="F5" s="229"/>
      <c r="G5" s="23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1"/>
      <c r="I5" s="232"/>
      <c r="J5" s="4" t="s">
        <v>15</v>
      </c>
      <c r="K5" s="227" t="s">
        <v>323</v>
      </c>
      <c r="L5" s="228"/>
      <c r="M5" s="228"/>
      <c r="N5" s="228"/>
      <c r="O5" s="229"/>
    </row>
    <row r="6" spans="1:19">
      <c r="A6" s="118" t="s">
        <v>18</v>
      </c>
      <c r="B6" s="227"/>
      <c r="C6" s="228"/>
      <c r="D6" s="228"/>
      <c r="E6" s="228"/>
      <c r="F6" s="229"/>
      <c r="G6" s="224" t="s">
        <v>45</v>
      </c>
      <c r="H6" s="225"/>
      <c r="I6" s="226"/>
      <c r="J6" s="4" t="s">
        <v>18</v>
      </c>
      <c r="K6" s="227" t="s">
        <v>324</v>
      </c>
      <c r="L6" s="228"/>
      <c r="M6" s="228"/>
      <c r="N6" s="228"/>
      <c r="O6" s="229"/>
    </row>
    <row r="7" spans="1:19" ht="17.25" thickBot="1">
      <c r="A7" s="118" t="s">
        <v>21</v>
      </c>
      <c r="B7" s="227"/>
      <c r="C7" s="228"/>
      <c r="D7" s="228"/>
      <c r="E7" s="228"/>
      <c r="F7" s="229"/>
      <c r="G7" s="23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1"/>
      <c r="I7" s="232"/>
      <c r="J7" s="4" t="s">
        <v>21</v>
      </c>
      <c r="K7" s="227" t="s">
        <v>325</v>
      </c>
      <c r="L7" s="228"/>
      <c r="M7" s="228"/>
      <c r="N7" s="228"/>
      <c r="O7" s="229"/>
    </row>
    <row r="8" spans="1:19" ht="17.25" thickBot="1">
      <c r="A8" s="118" t="s">
        <v>24</v>
      </c>
      <c r="B8" s="227"/>
      <c r="C8" s="228"/>
      <c r="D8" s="228"/>
      <c r="E8" s="228"/>
      <c r="F8" s="229"/>
      <c r="G8" s="224" t="s">
        <v>255</v>
      </c>
      <c r="H8" s="225"/>
      <c r="I8" s="226"/>
      <c r="J8" s="4" t="s">
        <v>24</v>
      </c>
      <c r="K8" s="227"/>
      <c r="L8" s="228"/>
      <c r="M8" s="228"/>
      <c r="N8" s="228"/>
      <c r="O8" s="229"/>
      <c r="Q8" s="215" t="s">
        <v>27</v>
      </c>
      <c r="R8" s="217"/>
    </row>
    <row r="9" spans="1:19" ht="17.25" thickBot="1">
      <c r="A9" s="118" t="s">
        <v>28</v>
      </c>
      <c r="B9" s="227"/>
      <c r="C9" s="228"/>
      <c r="D9" s="228"/>
      <c r="E9" s="228"/>
      <c r="F9" s="229"/>
      <c r="G9" s="23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1"/>
      <c r="I9" s="232"/>
      <c r="J9" s="4" t="s">
        <v>28</v>
      </c>
      <c r="K9" s="227"/>
      <c r="L9" s="228"/>
      <c r="M9" s="228"/>
      <c r="N9" s="228"/>
      <c r="O9" s="229"/>
      <c r="Q9" s="2" t="s">
        <v>29</v>
      </c>
      <c r="R9" s="6">
        <v>10</v>
      </c>
    </row>
    <row r="10" spans="1:19">
      <c r="A10" s="118" t="s">
        <v>30</v>
      </c>
      <c r="B10" s="227"/>
      <c r="C10" s="228"/>
      <c r="D10" s="228"/>
      <c r="E10" s="228"/>
      <c r="F10" s="229"/>
      <c r="G10" s="224" t="s">
        <v>47</v>
      </c>
      <c r="H10" s="225"/>
      <c r="I10" s="226"/>
      <c r="J10" s="4" t="s">
        <v>30</v>
      </c>
      <c r="K10" s="227" t="s">
        <v>326</v>
      </c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1"/>
      <c r="I11" s="232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36"/>
      <c r="R13" s="236"/>
      <c r="S13" s="236"/>
    </row>
    <row r="14" spans="1:19" ht="17.25" customHeight="1" thickBot="1">
      <c r="A14" s="116" t="s">
        <v>35</v>
      </c>
      <c r="B14" s="215" t="s">
        <v>36</v>
      </c>
      <c r="C14" s="217"/>
      <c r="D14" s="215" t="s">
        <v>37</v>
      </c>
      <c r="E14" s="216"/>
      <c r="F14" s="217"/>
      <c r="G14" s="242">
        <f>_xlfn.IFNA(VLOOKUP(B14, 현재가테이블!$B$2:$D$200, 2, FALSE), "-")</f>
        <v>53976000</v>
      </c>
      <c r="H14" s="243"/>
      <c r="I14" s="244"/>
      <c r="J14" s="215" t="s">
        <v>38</v>
      </c>
      <c r="K14" s="216"/>
      <c r="L14" s="217"/>
      <c r="M14" s="245">
        <f>_xlfn.IFNA(VLOOKUP(B14, 현재가테이블!$B$2:$D$200, 3, FALSE), "-")</f>
        <v>-2.1216407400000001E-2</v>
      </c>
      <c r="N14" s="246"/>
      <c r="O14" s="247"/>
      <c r="Q14" s="236"/>
      <c r="R14" s="236"/>
      <c r="S14" s="236"/>
    </row>
    <row r="15" spans="1:19" ht="17.25" customHeight="1" thickBot="1">
      <c r="A15" s="280" t="s">
        <v>39</v>
      </c>
      <c r="B15" s="281" t="str">
        <f>TEXT($G$1, "[$-ko-KR]yyyy-mm-dd(ddd) ") &amp; "오전 00:00"</f>
        <v>2021-08-01(일) 오전 00:00</v>
      </c>
      <c r="C15" s="282"/>
      <c r="D15" s="238" t="str">
        <f>TEXT($G$1, "[$-ko-KR]yyyy-mm-dd(ddd) ") &amp; "오후 14:00"</f>
        <v>2021-08-01(일) 오후 14:00</v>
      </c>
      <c r="E15" s="239"/>
      <c r="F15" s="240"/>
      <c r="G15" s="238" t="str">
        <f>TEXT($G$1, "[$-ko-KR]yyyy-mm-dd(ddd) ") &amp; "오후 19:00"</f>
        <v>2021-08-01(일) 오후 19:00</v>
      </c>
      <c r="H15" s="239"/>
      <c r="I15" s="240"/>
      <c r="J15" s="238" t="str">
        <f>TEXT($G$1, "[$-ko-KR]yyyy-mm-dd(ddd) ") &amp; "오후 21:00"</f>
        <v>2021-08-01(일) 오후 21:00</v>
      </c>
      <c r="K15" s="239"/>
      <c r="L15" s="240"/>
      <c r="M15" s="238" t="str">
        <f>TEXT($G$1+1, "[$-ko-KR]yyyy-mm-dd(ddd) ") &amp; "오전 00:00"</f>
        <v>2021-08-02(월) 오전 00:00</v>
      </c>
      <c r="N15" s="239"/>
      <c r="O15" s="240"/>
      <c r="Q15" s="236"/>
      <c r="R15" s="236"/>
      <c r="S15" s="236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41"/>
      <c r="R16" s="241"/>
      <c r="S16" s="24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6"/>
      <c r="R17" s="236"/>
      <c r="S17" s="23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6"/>
      <c r="R18" s="236"/>
      <c r="S18" s="23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1"/>
      <c r="R19" s="241"/>
      <c r="S19" s="24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1"/>
      <c r="R20" s="241"/>
      <c r="S20" s="24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1"/>
      <c r="R21" s="241"/>
      <c r="S21" s="24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1"/>
      <c r="R22" s="241"/>
      <c r="S22" s="24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1"/>
      <c r="R23" s="241"/>
      <c r="S23" s="24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1"/>
      <c r="R24" s="241"/>
      <c r="S24" s="24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0"/>
      <c r="R26" s="251"/>
      <c r="S26" s="25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3"/>
      <c r="R27" s="254"/>
      <c r="S27" s="25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6"/>
      <c r="R28" s="257"/>
      <c r="S28" s="25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1"/>
      <c r="R29" s="241"/>
      <c r="S29" s="24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6"/>
      <c r="R30" s="236"/>
      <c r="S30" s="23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6"/>
      <c r="R31" s="236"/>
      <c r="S31" s="23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1"/>
      <c r="R32" s="241"/>
      <c r="S32" s="24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1"/>
      <c r="R33" s="241"/>
      <c r="S33" s="24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1"/>
      <c r="R34" s="241"/>
      <c r="S34" s="24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3"/>
      <c r="R35" s="264"/>
      <c r="S35" s="26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6"/>
      <c r="R36" s="267"/>
      <c r="S36" s="268"/>
    </row>
    <row r="37" spans="1:19" ht="17.25" customHeight="1" thickBot="1">
      <c r="A37" s="132" t="s">
        <v>42</v>
      </c>
      <c r="B37" s="274">
        <v>100000</v>
      </c>
      <c r="C37" s="27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9"/>
      <c r="R37" s="270"/>
      <c r="S37" s="27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36"/>
      <c r="R40" s="236"/>
      <c r="S40" s="236"/>
    </row>
    <row r="41" spans="1:19" ht="17.25" customHeight="1" thickBot="1">
      <c r="A41" s="116" t="s">
        <v>267</v>
      </c>
      <c r="B41" s="215" t="s">
        <v>49</v>
      </c>
      <c r="C41" s="217"/>
      <c r="D41" s="215" t="s">
        <v>58</v>
      </c>
      <c r="E41" s="216"/>
      <c r="F41" s="217"/>
      <c r="G41" s="242">
        <f>_xlfn.IFNA(VLOOKUP(B41, 현재가테이블!$B$2:$D$200, 2, FALSE), "-")</f>
        <v>53976000</v>
      </c>
      <c r="H41" s="243"/>
      <c r="I41" s="244"/>
      <c r="J41" s="215" t="s">
        <v>59</v>
      </c>
      <c r="K41" s="216"/>
      <c r="L41" s="217"/>
      <c r="M41" s="245">
        <f>_xlfn.IFNA(VLOOKUP(B41, 현재가테이블!$B$2:$D$200, 3, FALSE), "-")</f>
        <v>-2.1216407400000001E-2</v>
      </c>
      <c r="N41" s="246"/>
      <c r="O41" s="247"/>
      <c r="Q41" s="236"/>
      <c r="R41" s="236"/>
      <c r="S41" s="236"/>
    </row>
    <row r="42" spans="1:19" ht="17.25" customHeight="1" thickBot="1">
      <c r="A42" s="276" t="s">
        <v>55</v>
      </c>
      <c r="B42" s="278" t="str">
        <f>TEXT($G$1, "[$-ko-KR]yyyy-mm-dd(ddd) ") &amp; "오전 00:00"</f>
        <v>2021-08-01(일) 오전 00:00</v>
      </c>
      <c r="C42" s="279"/>
      <c r="D42" s="238" t="str">
        <f>TEXT($G$1, "[$-ko-KR]yyyy-mm-dd(ddd) ") &amp; "오후 14:00"</f>
        <v>2021-08-01(일) 오후 14:00</v>
      </c>
      <c r="E42" s="239"/>
      <c r="F42" s="240"/>
      <c r="G42" s="238" t="str">
        <f>TEXT($G$1, "[$-ko-KR]yyyy-mm-dd(ddd) ") &amp; "오후 19:00"</f>
        <v>2021-08-01(일) 오후 19:00</v>
      </c>
      <c r="H42" s="239"/>
      <c r="I42" s="240"/>
      <c r="J42" s="238" t="str">
        <f>TEXT($G$1, "[$-ko-KR]yyyy-mm-dd(ddd) ") &amp; "오후 21:00"</f>
        <v>2021-08-01(일) 오후 21:00</v>
      </c>
      <c r="K42" s="239"/>
      <c r="L42" s="240"/>
      <c r="M42" s="238" t="str">
        <f>TEXT($G$1+1, "[$-ko-KR]yyyy-mm-dd(ddd) ") &amp; "오전 00:00"</f>
        <v>2021-08-02(월) 오전 00:00</v>
      </c>
      <c r="N42" s="239"/>
      <c r="O42" s="240"/>
      <c r="Q42" s="236"/>
      <c r="R42" s="236"/>
      <c r="S42" s="236"/>
    </row>
    <row r="43" spans="1:19" ht="17.25" customHeight="1" thickBot="1">
      <c r="A43" s="27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1"/>
      <c r="R43" s="241"/>
      <c r="S43" s="24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6"/>
      <c r="R44" s="236"/>
      <c r="S44" s="23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6"/>
      <c r="R45" s="236"/>
      <c r="S45" s="23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1"/>
      <c r="R46" s="241"/>
      <c r="S46" s="24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1"/>
      <c r="R47" s="241"/>
      <c r="S47" s="24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1"/>
      <c r="R48" s="241"/>
      <c r="S48" s="24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1"/>
      <c r="R49" s="241"/>
      <c r="S49" s="24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1"/>
      <c r="R50" s="241"/>
      <c r="S50" s="24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1"/>
      <c r="R51" s="241"/>
      <c r="S51" s="24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0"/>
      <c r="R53" s="251"/>
      <c r="S53" s="25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3"/>
      <c r="R54" s="254"/>
      <c r="S54" s="25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6"/>
      <c r="R55" s="257"/>
      <c r="S55" s="25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1"/>
      <c r="R56" s="241"/>
      <c r="S56" s="24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6"/>
      <c r="R57" s="236"/>
      <c r="S57" s="23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6"/>
      <c r="R58" s="236"/>
      <c r="S58" s="23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1"/>
      <c r="R59" s="241"/>
      <c r="S59" s="24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1"/>
      <c r="R60" s="241"/>
      <c r="S60" s="24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1"/>
      <c r="R61" s="241"/>
      <c r="S61" s="24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3"/>
      <c r="R62" s="264"/>
      <c r="S62" s="26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6"/>
      <c r="R63" s="267"/>
      <c r="S63" s="268"/>
    </row>
    <row r="64" spans="1:19" ht="17.25" customHeight="1" thickBot="1">
      <c r="A64" s="132" t="s">
        <v>270</v>
      </c>
      <c r="B64" s="274">
        <f>$B$37</f>
        <v>100000</v>
      </c>
      <c r="C64" s="275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69"/>
      <c r="R64" s="270"/>
      <c r="S64" s="27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36"/>
      <c r="R67" s="236"/>
      <c r="S67" s="236"/>
    </row>
    <row r="68" spans="1:19" ht="17.25" thickBot="1">
      <c r="A68" s="116" t="s">
        <v>267</v>
      </c>
      <c r="B68" s="215" t="s">
        <v>49</v>
      </c>
      <c r="C68" s="217"/>
      <c r="D68" s="215" t="s">
        <v>58</v>
      </c>
      <c r="E68" s="216"/>
      <c r="F68" s="217"/>
      <c r="G68" s="242">
        <f>_xlfn.IFNA(VLOOKUP(B68, 현재가테이블!$B$2:$D$200, 2, FALSE), "-")</f>
        <v>53976000</v>
      </c>
      <c r="H68" s="243"/>
      <c r="I68" s="244"/>
      <c r="J68" s="215" t="s">
        <v>59</v>
      </c>
      <c r="K68" s="216"/>
      <c r="L68" s="217"/>
      <c r="M68" s="245">
        <f>_xlfn.IFNA(VLOOKUP(B68, 현재가테이블!$B$2:$D$200, 3, FALSE), "-")</f>
        <v>-2.1216407400000001E-2</v>
      </c>
      <c r="N68" s="246"/>
      <c r="O68" s="247"/>
      <c r="Q68" s="236"/>
      <c r="R68" s="236"/>
      <c r="S68" s="236"/>
    </row>
    <row r="69" spans="1:19" ht="17.25" thickBot="1">
      <c r="A69" s="276" t="s">
        <v>55</v>
      </c>
      <c r="B69" s="278" t="str">
        <f>TEXT($G$1, "[$-ko-KR]yyyy-mm-dd(ddd) ") &amp; "오전 00:00"</f>
        <v>2021-08-01(일) 오전 00:00</v>
      </c>
      <c r="C69" s="279"/>
      <c r="D69" s="238" t="str">
        <f>TEXT($G$1, "[$-ko-KR]yyyy-mm-dd(ddd) ") &amp; "오후 14:00"</f>
        <v>2021-08-01(일) 오후 14:00</v>
      </c>
      <c r="E69" s="239"/>
      <c r="F69" s="240"/>
      <c r="G69" s="238" t="str">
        <f>TEXT($G$1, "[$-ko-KR]yyyy-mm-dd(ddd) ") &amp; "오후 19:00"</f>
        <v>2021-08-01(일) 오후 19:00</v>
      </c>
      <c r="H69" s="239"/>
      <c r="I69" s="240"/>
      <c r="J69" s="238" t="str">
        <f>TEXT($G$1, "[$-ko-KR]yyyy-mm-dd(ddd) ") &amp; "오후 21:00"</f>
        <v>2021-08-01(일) 오후 21:00</v>
      </c>
      <c r="K69" s="239"/>
      <c r="L69" s="240"/>
      <c r="M69" s="238" t="str">
        <f>TEXT($G$1+1, "[$-ko-KR]yyyy-mm-dd(ddd) ") &amp; "오전 00:00"</f>
        <v>2021-08-02(월) 오전 00:00</v>
      </c>
      <c r="N69" s="239"/>
      <c r="O69" s="240"/>
      <c r="Q69" s="236"/>
      <c r="R69" s="236"/>
      <c r="S69" s="236"/>
    </row>
    <row r="70" spans="1:19" ht="17.25" thickBot="1">
      <c r="A70" s="27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1"/>
      <c r="R70" s="241"/>
      <c r="S70" s="24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6"/>
      <c r="R71" s="236"/>
      <c r="S71" s="23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6"/>
      <c r="R72" s="236"/>
      <c r="S72" s="23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1"/>
      <c r="R73" s="241"/>
      <c r="S73" s="24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1"/>
      <c r="R74" s="241"/>
      <c r="S74" s="24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1"/>
      <c r="R75" s="241"/>
      <c r="S75" s="24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1"/>
      <c r="R76" s="241"/>
      <c r="S76" s="24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1"/>
      <c r="R77" s="241"/>
      <c r="S77" s="24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1"/>
      <c r="R78" s="241"/>
      <c r="S78" s="24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0"/>
      <c r="R80" s="251"/>
      <c r="S80" s="25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3"/>
      <c r="R81" s="254"/>
      <c r="S81" s="25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6"/>
      <c r="R82" s="257"/>
      <c r="S82" s="25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1"/>
      <c r="R83" s="241"/>
      <c r="S83" s="24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6"/>
      <c r="R84" s="236"/>
      <c r="S84" s="23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6"/>
      <c r="R85" s="236"/>
      <c r="S85" s="23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1"/>
      <c r="R86" s="241"/>
      <c r="S86" s="24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1"/>
      <c r="R87" s="241"/>
      <c r="S87" s="24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1"/>
      <c r="R88" s="241"/>
      <c r="S88" s="24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3"/>
      <c r="R89" s="264"/>
      <c r="S89" s="26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6"/>
      <c r="R90" s="267"/>
      <c r="S90" s="268"/>
    </row>
    <row r="91" spans="1:19" ht="17.25" thickBot="1">
      <c r="A91" s="132" t="s">
        <v>270</v>
      </c>
      <c r="B91" s="274">
        <f>$B$37</f>
        <v>100000</v>
      </c>
      <c r="C91" s="275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69"/>
      <c r="R91" s="270"/>
      <c r="S91" s="27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36"/>
      <c r="R94" s="236"/>
      <c r="S94" s="236"/>
    </row>
    <row r="95" spans="1:19" ht="17.25" thickBot="1">
      <c r="A95" s="116" t="s">
        <v>267</v>
      </c>
      <c r="B95" s="215" t="s">
        <v>49</v>
      </c>
      <c r="C95" s="217"/>
      <c r="D95" s="215" t="s">
        <v>58</v>
      </c>
      <c r="E95" s="216"/>
      <c r="F95" s="217"/>
      <c r="G95" s="242">
        <f>_xlfn.IFNA(VLOOKUP(B95, 현재가테이블!$B$2:$D$200, 2, FALSE), "-")</f>
        <v>53976000</v>
      </c>
      <c r="H95" s="243"/>
      <c r="I95" s="244"/>
      <c r="J95" s="215" t="s">
        <v>59</v>
      </c>
      <c r="K95" s="216"/>
      <c r="L95" s="217"/>
      <c r="M95" s="245">
        <f>_xlfn.IFNA(VLOOKUP(B95, 현재가테이블!$B$2:$D$200, 3, FALSE), "-")</f>
        <v>-2.1216407400000001E-2</v>
      </c>
      <c r="N95" s="246"/>
      <c r="O95" s="247"/>
      <c r="Q95" s="236"/>
      <c r="R95" s="236"/>
      <c r="S95" s="236"/>
    </row>
    <row r="96" spans="1:19" ht="17.25" thickBot="1">
      <c r="A96" s="276" t="s">
        <v>55</v>
      </c>
      <c r="B96" s="278" t="str">
        <f>TEXT($G$1, "[$-ko-KR]yyyy-mm-dd(ddd) ") &amp; "오전 00:00"</f>
        <v>2021-08-01(일) 오전 00:00</v>
      </c>
      <c r="C96" s="279"/>
      <c r="D96" s="238" t="str">
        <f>TEXT($G$1, "[$-ko-KR]yyyy-mm-dd(ddd) ") &amp; "오후 14:00"</f>
        <v>2021-08-01(일) 오후 14:00</v>
      </c>
      <c r="E96" s="239"/>
      <c r="F96" s="240"/>
      <c r="G96" s="238" t="str">
        <f>TEXT($G$1, "[$-ko-KR]yyyy-mm-dd(ddd) ") &amp; "오후 19:00"</f>
        <v>2021-08-01(일) 오후 19:00</v>
      </c>
      <c r="H96" s="239"/>
      <c r="I96" s="240"/>
      <c r="J96" s="238" t="str">
        <f>TEXT($G$1, "[$-ko-KR]yyyy-mm-dd(ddd) ") &amp; "오후 21:00"</f>
        <v>2021-08-01(일) 오후 21:00</v>
      </c>
      <c r="K96" s="239"/>
      <c r="L96" s="240"/>
      <c r="M96" s="238" t="str">
        <f>TEXT($G$1+1, "[$-ko-KR]yyyy-mm-dd(ddd) ") &amp; "오전 00:00"</f>
        <v>2021-08-02(월) 오전 00:00</v>
      </c>
      <c r="N96" s="239"/>
      <c r="O96" s="240"/>
      <c r="Q96" s="236"/>
      <c r="R96" s="236"/>
      <c r="S96" s="236"/>
    </row>
    <row r="97" spans="1:19" ht="17.25" thickBot="1">
      <c r="A97" s="27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1"/>
      <c r="R97" s="241"/>
      <c r="S97" s="24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6"/>
      <c r="R98" s="236"/>
      <c r="S98" s="23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6"/>
      <c r="R99" s="236"/>
      <c r="S99" s="23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1"/>
      <c r="R100" s="241"/>
      <c r="S100" s="24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1"/>
      <c r="R101" s="241"/>
      <c r="S101" s="24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1"/>
      <c r="R102" s="241"/>
      <c r="S102" s="24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1"/>
      <c r="R103" s="241"/>
      <c r="S103" s="24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1"/>
      <c r="R104" s="241"/>
      <c r="S104" s="24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1"/>
      <c r="R105" s="241"/>
      <c r="S105" s="24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0"/>
      <c r="R107" s="251"/>
      <c r="S107" s="25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3"/>
      <c r="R108" s="254"/>
      <c r="S108" s="25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6"/>
      <c r="R109" s="257"/>
      <c r="S109" s="25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1"/>
      <c r="R110" s="241"/>
      <c r="S110" s="24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6"/>
      <c r="R111" s="236"/>
      <c r="S111" s="23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6"/>
      <c r="R112" s="236"/>
      <c r="S112" s="23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1"/>
      <c r="R113" s="241"/>
      <c r="S113" s="24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1"/>
      <c r="R114" s="241"/>
      <c r="S114" s="24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1"/>
      <c r="R115" s="241"/>
      <c r="S115" s="24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3"/>
      <c r="R116" s="264"/>
      <c r="S116" s="26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6"/>
      <c r="R117" s="267"/>
      <c r="S117" s="268"/>
    </row>
    <row r="118" spans="1:19" ht="17.25" thickBot="1">
      <c r="A118" s="132" t="s">
        <v>270</v>
      </c>
      <c r="B118" s="274">
        <f>$B$37</f>
        <v>100000</v>
      </c>
      <c r="C118" s="275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69"/>
      <c r="R118" s="270"/>
      <c r="S118" s="27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36"/>
      <c r="R121" s="236"/>
      <c r="S121" s="236"/>
    </row>
    <row r="122" spans="1:19" ht="17.25" thickBot="1">
      <c r="A122" s="116" t="s">
        <v>267</v>
      </c>
      <c r="B122" s="215" t="s">
        <v>49</v>
      </c>
      <c r="C122" s="217"/>
      <c r="D122" s="215" t="s">
        <v>58</v>
      </c>
      <c r="E122" s="216"/>
      <c r="F122" s="217"/>
      <c r="G122" s="242">
        <f>_xlfn.IFNA(VLOOKUP(B122, 현재가테이블!$B$2:$D$200, 2, FALSE), "-")</f>
        <v>53976000</v>
      </c>
      <c r="H122" s="243"/>
      <c r="I122" s="244"/>
      <c r="J122" s="215" t="s">
        <v>59</v>
      </c>
      <c r="K122" s="216"/>
      <c r="L122" s="217"/>
      <c r="M122" s="245">
        <f>_xlfn.IFNA(VLOOKUP(B122, 현재가테이블!$B$2:$D$200, 3, FALSE), "-")</f>
        <v>-2.1216407400000001E-2</v>
      </c>
      <c r="N122" s="246"/>
      <c r="O122" s="247"/>
      <c r="Q122" s="236"/>
      <c r="R122" s="236"/>
      <c r="S122" s="236"/>
    </row>
    <row r="123" spans="1:19" ht="17.25" thickBot="1">
      <c r="A123" s="276" t="s">
        <v>55</v>
      </c>
      <c r="B123" s="278" t="str">
        <f>TEXT($G$1, "[$-ko-KR]yyyy-mm-dd(ddd) ") &amp; "오전 00:00"</f>
        <v>2021-08-01(일) 오전 00:00</v>
      </c>
      <c r="C123" s="279"/>
      <c r="D123" s="238" t="str">
        <f>TEXT($G$1, "[$-ko-KR]yyyy-mm-dd(ddd) ") &amp; "오후 14:00"</f>
        <v>2021-08-01(일) 오후 14:00</v>
      </c>
      <c r="E123" s="239"/>
      <c r="F123" s="240"/>
      <c r="G123" s="238" t="str">
        <f>TEXT($G$1, "[$-ko-KR]yyyy-mm-dd(ddd) ") &amp; "오후 19:00"</f>
        <v>2021-08-01(일) 오후 19:00</v>
      </c>
      <c r="H123" s="239"/>
      <c r="I123" s="240"/>
      <c r="J123" s="238" t="str">
        <f>TEXT($G$1, "[$-ko-KR]yyyy-mm-dd(ddd) ") &amp; "오후 21:00"</f>
        <v>2021-08-01(일) 오후 21:00</v>
      </c>
      <c r="K123" s="239"/>
      <c r="L123" s="240"/>
      <c r="M123" s="238" t="str">
        <f>TEXT($G$1+1, "[$-ko-KR]yyyy-mm-dd(ddd) ") &amp; "오전 00:00"</f>
        <v>2021-08-02(월) 오전 00:00</v>
      </c>
      <c r="N123" s="239"/>
      <c r="O123" s="240"/>
      <c r="Q123" s="236"/>
      <c r="R123" s="236"/>
      <c r="S123" s="236"/>
    </row>
    <row r="124" spans="1:19" ht="17.25" thickBot="1">
      <c r="A124" s="27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1"/>
      <c r="R124" s="241"/>
      <c r="S124" s="24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6"/>
      <c r="R125" s="236"/>
      <c r="S125" s="23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6"/>
      <c r="R126" s="236"/>
      <c r="S126" s="23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1"/>
      <c r="R127" s="241"/>
      <c r="S127" s="24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1"/>
      <c r="R128" s="241"/>
      <c r="S128" s="24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1"/>
      <c r="R129" s="241"/>
      <c r="S129" s="24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1"/>
      <c r="R130" s="241"/>
      <c r="S130" s="24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1"/>
      <c r="R131" s="241"/>
      <c r="S131" s="24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1"/>
      <c r="R132" s="241"/>
      <c r="S132" s="24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0"/>
      <c r="R134" s="251"/>
      <c r="S134" s="25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3"/>
      <c r="R135" s="254"/>
      <c r="S135" s="25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6"/>
      <c r="R136" s="257"/>
      <c r="S136" s="25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1"/>
      <c r="R137" s="241"/>
      <c r="S137" s="24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6"/>
      <c r="R138" s="236"/>
      <c r="S138" s="23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6"/>
      <c r="R139" s="236"/>
      <c r="S139" s="23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1"/>
      <c r="R140" s="241"/>
      <c r="S140" s="24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1"/>
      <c r="R141" s="241"/>
      <c r="S141" s="24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1"/>
      <c r="R142" s="241"/>
      <c r="S142" s="24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3"/>
      <c r="R143" s="264"/>
      <c r="S143" s="26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6"/>
      <c r="R144" s="267"/>
      <c r="S144" s="268"/>
    </row>
    <row r="145" spans="1:19" ht="17.25" thickBot="1">
      <c r="A145" s="132" t="s">
        <v>270</v>
      </c>
      <c r="B145" s="274">
        <f>$B$37</f>
        <v>100000</v>
      </c>
      <c r="C145" s="275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69"/>
      <c r="R145" s="270"/>
      <c r="S145" s="27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36"/>
      <c r="R148" s="236"/>
      <c r="S148" s="236"/>
    </row>
    <row r="149" spans="1:19" ht="17.25" thickBot="1">
      <c r="A149" s="116" t="s">
        <v>267</v>
      </c>
      <c r="B149" s="215" t="s">
        <v>49</v>
      </c>
      <c r="C149" s="217"/>
      <c r="D149" s="215" t="s">
        <v>58</v>
      </c>
      <c r="E149" s="216"/>
      <c r="F149" s="217"/>
      <c r="G149" s="242">
        <f>_xlfn.IFNA(VLOOKUP(B149, 현재가테이블!$B$2:$D$200, 2, FALSE), "-")</f>
        <v>53976000</v>
      </c>
      <c r="H149" s="243"/>
      <c r="I149" s="244"/>
      <c r="J149" s="215" t="s">
        <v>59</v>
      </c>
      <c r="K149" s="216"/>
      <c r="L149" s="217"/>
      <c r="M149" s="245">
        <f>_xlfn.IFNA(VLOOKUP(B149, 현재가테이블!$B$2:$D$200, 3, FALSE), "-")</f>
        <v>-2.1216407400000001E-2</v>
      </c>
      <c r="N149" s="246"/>
      <c r="O149" s="247"/>
      <c r="Q149" s="236"/>
      <c r="R149" s="236"/>
      <c r="S149" s="236"/>
    </row>
    <row r="150" spans="1:19" ht="17.25" thickBot="1">
      <c r="A150" s="276" t="s">
        <v>55</v>
      </c>
      <c r="B150" s="278" t="str">
        <f>TEXT($G$1, "[$-ko-KR]yyyy-mm-dd(ddd) ") &amp; "오전 00:00"</f>
        <v>2021-08-01(일) 오전 00:00</v>
      </c>
      <c r="C150" s="279"/>
      <c r="D150" s="238" t="str">
        <f>TEXT($G$1, "[$-ko-KR]yyyy-mm-dd(ddd) ") &amp; "오후 14:00"</f>
        <v>2021-08-01(일) 오후 14:00</v>
      </c>
      <c r="E150" s="239"/>
      <c r="F150" s="240"/>
      <c r="G150" s="238" t="str">
        <f>TEXT($G$1, "[$-ko-KR]yyyy-mm-dd(ddd) ") &amp; "오후 19:00"</f>
        <v>2021-08-01(일) 오후 19:00</v>
      </c>
      <c r="H150" s="239"/>
      <c r="I150" s="240"/>
      <c r="J150" s="238" t="str">
        <f>TEXT($G$1, "[$-ko-KR]yyyy-mm-dd(ddd) ") &amp; "오후 21:00"</f>
        <v>2021-08-01(일) 오후 21:00</v>
      </c>
      <c r="K150" s="239"/>
      <c r="L150" s="240"/>
      <c r="M150" s="238" t="str">
        <f>TEXT($G$1+1, "[$-ko-KR]yyyy-mm-dd(ddd) ") &amp; "오전 00:00"</f>
        <v>2021-08-02(월) 오전 00:00</v>
      </c>
      <c r="N150" s="239"/>
      <c r="O150" s="240"/>
      <c r="Q150" s="236"/>
      <c r="R150" s="236"/>
      <c r="S150" s="236"/>
    </row>
    <row r="151" spans="1:19" ht="17.25" thickBot="1">
      <c r="A151" s="27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1"/>
      <c r="R151" s="241"/>
      <c r="S151" s="24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6"/>
      <c r="R152" s="236"/>
      <c r="S152" s="23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6"/>
      <c r="R153" s="236"/>
      <c r="S153" s="23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1"/>
      <c r="R154" s="241"/>
      <c r="S154" s="24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1"/>
      <c r="R155" s="241"/>
      <c r="S155" s="24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1"/>
      <c r="R156" s="241"/>
      <c r="S156" s="24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1"/>
      <c r="R157" s="241"/>
      <c r="S157" s="24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1"/>
      <c r="R158" s="241"/>
      <c r="S158" s="24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1"/>
      <c r="R159" s="241"/>
      <c r="S159" s="24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0"/>
      <c r="R161" s="251"/>
      <c r="S161" s="25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3"/>
      <c r="R162" s="254"/>
      <c r="S162" s="25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6"/>
      <c r="R163" s="257"/>
      <c r="S163" s="25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1"/>
      <c r="R164" s="241"/>
      <c r="S164" s="24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6"/>
      <c r="R165" s="236"/>
      <c r="S165" s="23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6"/>
      <c r="R166" s="236"/>
      <c r="S166" s="23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1"/>
      <c r="R167" s="241"/>
      <c r="S167" s="24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1"/>
      <c r="R168" s="241"/>
      <c r="S168" s="24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1"/>
      <c r="R169" s="241"/>
      <c r="S169" s="24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3"/>
      <c r="R170" s="264"/>
      <c r="S170" s="26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6"/>
      <c r="R171" s="267"/>
      <c r="S171" s="268"/>
    </row>
    <row r="172" spans="1:19" ht="17.25" thickBot="1">
      <c r="A172" s="132" t="s">
        <v>270</v>
      </c>
      <c r="B172" s="274">
        <f>$B$37</f>
        <v>100000</v>
      </c>
      <c r="C172" s="275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69"/>
      <c r="R172" s="270"/>
      <c r="S172" s="27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36"/>
      <c r="R175" s="236"/>
      <c r="S175" s="236"/>
    </row>
    <row r="176" spans="1:19" ht="17.25" thickBot="1">
      <c r="A176" s="116" t="s">
        <v>267</v>
      </c>
      <c r="B176" s="215" t="s">
        <v>49</v>
      </c>
      <c r="C176" s="217"/>
      <c r="D176" s="215" t="s">
        <v>58</v>
      </c>
      <c r="E176" s="216"/>
      <c r="F176" s="217"/>
      <c r="G176" s="242">
        <f>_xlfn.IFNA(VLOOKUP(B176, 현재가테이블!$B$2:$D$200, 2, FALSE), "-")</f>
        <v>53976000</v>
      </c>
      <c r="H176" s="243"/>
      <c r="I176" s="244"/>
      <c r="J176" s="215" t="s">
        <v>59</v>
      </c>
      <c r="K176" s="216"/>
      <c r="L176" s="217"/>
      <c r="M176" s="245">
        <f>_xlfn.IFNA(VLOOKUP(B176, 현재가테이블!$B$2:$D$200, 3, FALSE), "-")</f>
        <v>-2.1216407400000001E-2</v>
      </c>
      <c r="N176" s="246"/>
      <c r="O176" s="247"/>
      <c r="Q176" s="236"/>
      <c r="R176" s="236"/>
      <c r="S176" s="236"/>
    </row>
    <row r="177" spans="1:19" ht="17.25" thickBot="1">
      <c r="A177" s="276" t="s">
        <v>55</v>
      </c>
      <c r="B177" s="278" t="str">
        <f>TEXT($G$1, "[$-ko-KR]yyyy-mm-dd(ddd) ") &amp; "오전 00:00"</f>
        <v>2021-08-01(일) 오전 00:00</v>
      </c>
      <c r="C177" s="279"/>
      <c r="D177" s="238" t="str">
        <f>TEXT($G$1, "[$-ko-KR]yyyy-mm-dd(ddd) ") &amp; "오후 14:00"</f>
        <v>2021-08-01(일) 오후 14:00</v>
      </c>
      <c r="E177" s="239"/>
      <c r="F177" s="240"/>
      <c r="G177" s="238" t="str">
        <f>TEXT($G$1, "[$-ko-KR]yyyy-mm-dd(ddd) ") &amp; "오후 19:00"</f>
        <v>2021-08-01(일) 오후 19:00</v>
      </c>
      <c r="H177" s="239"/>
      <c r="I177" s="240"/>
      <c r="J177" s="238" t="str">
        <f>TEXT($G$1, "[$-ko-KR]yyyy-mm-dd(ddd) ") &amp; "오후 21:00"</f>
        <v>2021-08-01(일) 오후 21:00</v>
      </c>
      <c r="K177" s="239"/>
      <c r="L177" s="240"/>
      <c r="M177" s="238" t="str">
        <f>TEXT($G$1+1, "[$-ko-KR]yyyy-mm-dd(ddd) ") &amp; "오전 00:00"</f>
        <v>2021-08-02(월) 오전 00:00</v>
      </c>
      <c r="N177" s="239"/>
      <c r="O177" s="240"/>
      <c r="Q177" s="236"/>
      <c r="R177" s="236"/>
      <c r="S177" s="236"/>
    </row>
    <row r="178" spans="1:19" ht="17.25" thickBot="1">
      <c r="A178" s="27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1"/>
      <c r="R178" s="241"/>
      <c r="S178" s="24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6"/>
      <c r="R179" s="236"/>
      <c r="S179" s="23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6"/>
      <c r="R180" s="236"/>
      <c r="S180" s="23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1"/>
      <c r="R181" s="241"/>
      <c r="S181" s="24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1"/>
      <c r="R182" s="241"/>
      <c r="S182" s="24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1"/>
      <c r="R183" s="241"/>
      <c r="S183" s="24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1"/>
      <c r="R184" s="241"/>
      <c r="S184" s="24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1"/>
      <c r="R185" s="241"/>
      <c r="S185" s="24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1"/>
      <c r="R186" s="241"/>
      <c r="S186" s="24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0"/>
      <c r="R188" s="251"/>
      <c r="S188" s="25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3"/>
      <c r="R189" s="254"/>
      <c r="S189" s="25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6"/>
      <c r="R190" s="257"/>
      <c r="S190" s="25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1"/>
      <c r="R191" s="241"/>
      <c r="S191" s="24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6"/>
      <c r="R192" s="236"/>
      <c r="S192" s="23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6"/>
      <c r="R193" s="236"/>
      <c r="S193" s="23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1"/>
      <c r="R194" s="241"/>
      <c r="S194" s="24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1"/>
      <c r="R195" s="241"/>
      <c r="S195" s="24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1"/>
      <c r="R196" s="241"/>
      <c r="S196" s="24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3"/>
      <c r="R197" s="264"/>
      <c r="S197" s="26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6"/>
      <c r="R198" s="267"/>
      <c r="S198" s="268"/>
    </row>
    <row r="199" spans="1:19" ht="17.25" thickBot="1">
      <c r="A199" s="132" t="s">
        <v>270</v>
      </c>
      <c r="B199" s="274">
        <f>$B$37</f>
        <v>100000</v>
      </c>
      <c r="C199" s="275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69"/>
      <c r="R199" s="270"/>
      <c r="S199" s="27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960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59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58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57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56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55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54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53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52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51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50" priority="289">
      <formula>AND($N17 &gt; 0, ISNUMBER($N17))</formula>
    </cfRule>
    <cfRule type="expression" dxfId="2949" priority="290">
      <formula>AND($N17 = 0 * ISNUMBER($N17))</formula>
    </cfRule>
    <cfRule type="expression" dxfId="2948" priority="291">
      <formula>AND($N17 &lt; 0, ISNUMBER($N17))</formula>
    </cfRule>
  </conditionalFormatting>
  <conditionalFormatting sqref="A17:C36 D17:F36">
    <cfRule type="expression" dxfId="2947" priority="298">
      <formula>AND($E17 &gt; 0, ISNUMBER($E17))</formula>
    </cfRule>
    <cfRule type="expression" dxfId="2946" priority="299">
      <formula>AND($E17 = 0 * ISNUMBER($E17))</formula>
    </cfRule>
    <cfRule type="expression" dxfId="2945" priority="300">
      <formula>AND($E17 &lt; 0, ISNUMBER($E17))</formula>
    </cfRule>
  </conditionalFormatting>
  <conditionalFormatting sqref="A17:C36 G17:I36">
    <cfRule type="expression" dxfId="2944" priority="295">
      <formula>AND($H17 &gt; 0, ISNUMBER($H17))</formula>
    </cfRule>
    <cfRule type="expression" dxfId="2943" priority="296">
      <formula>AND($H17 = 0 * ISNUMBER($H17))</formula>
    </cfRule>
    <cfRule type="expression" dxfId="2942" priority="297">
      <formula>AND($H17 &lt; 0, ISNUMBER($H17))</formula>
    </cfRule>
  </conditionalFormatting>
  <conditionalFormatting sqref="A17:C36 J17:L36">
    <cfRule type="expression" dxfId="2941" priority="292">
      <formula>AND($K17 &gt; 0, ISNUMBER($K17))</formula>
    </cfRule>
    <cfRule type="expression" dxfId="2940" priority="293">
      <formula>AND($K17 = 0 * ISNUMBER($K17))</formula>
    </cfRule>
    <cfRule type="expression" dxfId="2939" priority="294">
      <formula>AND($K17 &lt; 0, ISNUMBER($K17))</formula>
    </cfRule>
  </conditionalFormatting>
  <conditionalFormatting sqref="D15:F16 E37:F37">
    <cfRule type="expression" dxfId="2938" priority="286">
      <formula>$E$37 &gt; 0</formula>
    </cfRule>
    <cfRule type="expression" dxfId="2937" priority="287">
      <formula>$E$37 = 0</formula>
    </cfRule>
    <cfRule type="expression" dxfId="2936" priority="288">
      <formula>$E$37 &lt; 0</formula>
    </cfRule>
  </conditionalFormatting>
  <conditionalFormatting sqref="G15:I16 H37:I37">
    <cfRule type="expression" dxfId="2935" priority="283">
      <formula>$H$37 &gt; 0</formula>
    </cfRule>
    <cfRule type="expression" dxfId="2934" priority="284">
      <formula>$H$37 = 0</formula>
    </cfRule>
    <cfRule type="expression" dxfId="2933" priority="285">
      <formula>$H$37 &lt; 0</formula>
    </cfRule>
  </conditionalFormatting>
  <conditionalFormatting sqref="J15:L16 K37:L37">
    <cfRule type="expression" dxfId="2932" priority="280">
      <formula>$K$37 &gt; 0</formula>
    </cfRule>
    <cfRule type="expression" dxfId="2931" priority="281">
      <formula>$K$37 = 0</formula>
    </cfRule>
    <cfRule type="expression" dxfId="2930" priority="282">
      <formula>$K$37 &lt; 0</formula>
    </cfRule>
  </conditionalFormatting>
  <conditionalFormatting sqref="M15:O16 N37:O37">
    <cfRule type="expression" dxfId="2929" priority="277">
      <formula>$N$37 &gt; 0</formula>
    </cfRule>
    <cfRule type="expression" dxfId="2928" priority="278">
      <formula>$N$37 = 0</formula>
    </cfRule>
    <cfRule type="expression" dxfId="2927" priority="279">
      <formula>$N$37 &lt; 0</formula>
    </cfRule>
  </conditionalFormatting>
  <conditionalFormatting sqref="A44:C63 M44:O63">
    <cfRule type="expression" dxfId="2926" priority="265">
      <formula>AND($N44 &gt; 0, ISNUMBER($N44))</formula>
    </cfRule>
    <cfRule type="expression" dxfId="2925" priority="266">
      <formula>AND($N44 = 0 * ISNUMBER($N44))</formula>
    </cfRule>
    <cfRule type="expression" dxfId="2924" priority="267">
      <formula>AND($N44 &lt; 0, ISNUMBER($N44))</formula>
    </cfRule>
  </conditionalFormatting>
  <conditionalFormatting sqref="A44:F63">
    <cfRule type="expression" dxfId="2923" priority="274">
      <formula>AND($E44 &gt; 0, ISNUMBER($E44))</formula>
    </cfRule>
    <cfRule type="expression" dxfId="2922" priority="275">
      <formula>AND($E44 = 0 * ISNUMBER($E44))</formula>
    </cfRule>
    <cfRule type="expression" dxfId="2921" priority="276">
      <formula>AND($E44 &lt; 0, ISNUMBER($E44))</formula>
    </cfRule>
  </conditionalFormatting>
  <conditionalFormatting sqref="A44:C63 G44:I63">
    <cfRule type="expression" dxfId="2920" priority="271">
      <formula>AND($H44 &gt; 0, ISNUMBER($H44))</formula>
    </cfRule>
    <cfRule type="expression" dxfId="2919" priority="272">
      <formula>AND($H44 = 0 * ISNUMBER($H44))</formula>
    </cfRule>
    <cfRule type="expression" dxfId="2918" priority="273">
      <formula>AND($H44 &lt; 0, ISNUMBER($H44))</formula>
    </cfRule>
  </conditionalFormatting>
  <conditionalFormatting sqref="A44:C63 J44:L63">
    <cfRule type="expression" dxfId="2917" priority="268">
      <formula>AND($K44 &gt; 0, ISNUMBER($K44))</formula>
    </cfRule>
    <cfRule type="expression" dxfId="2916" priority="269">
      <formula>AND($K44 = 0 * ISNUMBER($K44))</formula>
    </cfRule>
    <cfRule type="expression" dxfId="2915" priority="270">
      <formula>AND($K44 &lt; 0, ISNUMBER($K44))</formula>
    </cfRule>
  </conditionalFormatting>
  <conditionalFormatting sqref="D42:F43 E64:F64">
    <cfRule type="expression" dxfId="2914" priority="262">
      <formula>$E$64 &gt; 0</formula>
    </cfRule>
    <cfRule type="expression" dxfId="2913" priority="263">
      <formula>$E$64 = 0</formula>
    </cfRule>
    <cfRule type="expression" dxfId="2912" priority="264">
      <formula>$E$64 &lt; 0</formula>
    </cfRule>
  </conditionalFormatting>
  <conditionalFormatting sqref="G42:I43 H64:I64">
    <cfRule type="expression" dxfId="2911" priority="259">
      <formula>$H$64 &gt; 0</formula>
    </cfRule>
    <cfRule type="expression" dxfId="2910" priority="260">
      <formula>$H$64 = 0</formula>
    </cfRule>
    <cfRule type="expression" dxfId="2909" priority="261">
      <formula>$H$64 &lt; 0</formula>
    </cfRule>
  </conditionalFormatting>
  <conditionalFormatting sqref="J42:L43 K64:L64">
    <cfRule type="expression" dxfId="2908" priority="256">
      <formula>$K$64 &gt; 0</formula>
    </cfRule>
    <cfRule type="expression" dxfId="2907" priority="257">
      <formula>$K$64 = 0</formula>
    </cfRule>
    <cfRule type="expression" dxfId="2906" priority="258">
      <formula>$K$64 &lt; 0</formula>
    </cfRule>
  </conditionalFormatting>
  <conditionalFormatting sqref="M42:O43 N64:O64">
    <cfRule type="expression" dxfId="2905" priority="253">
      <formula>$N$64 &gt; 0</formula>
    </cfRule>
    <cfRule type="expression" dxfId="2904" priority="254">
      <formula>$N$64 = 0</formula>
    </cfRule>
    <cfRule type="expression" dxfId="2903" priority="255">
      <formula>$N$64 &lt; 0</formula>
    </cfRule>
  </conditionalFormatting>
  <conditionalFormatting sqref="A71:C90 M71:O90">
    <cfRule type="expression" dxfId="2902" priority="109">
      <formula>AND($N71 &gt; 0, ISNUMBER($N71))</formula>
    </cfRule>
    <cfRule type="expression" dxfId="2901" priority="110">
      <formula>AND($N71 = 0 * ISNUMBER($N71))</formula>
    </cfRule>
    <cfRule type="expression" dxfId="2900" priority="111">
      <formula>AND($N71 &lt; 0, ISNUMBER($N71))</formula>
    </cfRule>
  </conditionalFormatting>
  <conditionalFormatting sqref="A71:F90">
    <cfRule type="expression" dxfId="2899" priority="118">
      <formula>AND($E71 &gt; 0, ISNUMBER($E71))</formula>
    </cfRule>
    <cfRule type="expression" dxfId="2898" priority="119">
      <formula>AND($E71 = 0 * ISNUMBER($E71))</formula>
    </cfRule>
    <cfRule type="expression" dxfId="2897" priority="120">
      <formula>AND($E71 &lt; 0, ISNUMBER($E71))</formula>
    </cfRule>
  </conditionalFormatting>
  <conditionalFormatting sqref="A71:C90 G71:I90">
    <cfRule type="expression" dxfId="2896" priority="115">
      <formula>AND($H71 &gt; 0, ISNUMBER($H71))</formula>
    </cfRule>
    <cfRule type="expression" dxfId="2895" priority="116">
      <formula>AND($H71 = 0 * ISNUMBER($H71))</formula>
    </cfRule>
    <cfRule type="expression" dxfId="2894" priority="117">
      <formula>AND($H71 &lt; 0, ISNUMBER($H71))</formula>
    </cfRule>
  </conditionalFormatting>
  <conditionalFormatting sqref="A71:C90 J71:L90">
    <cfRule type="expression" dxfId="2893" priority="112">
      <formula>AND($K71 &gt; 0, ISNUMBER($K71))</formula>
    </cfRule>
    <cfRule type="expression" dxfId="2892" priority="113">
      <formula>AND($K71 = 0 * ISNUMBER($K71))</formula>
    </cfRule>
    <cfRule type="expression" dxfId="2891" priority="114">
      <formula>AND($K71 &lt; 0, ISNUMBER($K71))</formula>
    </cfRule>
  </conditionalFormatting>
  <conditionalFormatting sqref="D69:F70 E91:F91">
    <cfRule type="expression" dxfId="2890" priority="106">
      <formula>$E$91 &gt; 0</formula>
    </cfRule>
    <cfRule type="expression" dxfId="2889" priority="107">
      <formula>$E$91 = 0</formula>
    </cfRule>
    <cfRule type="expression" dxfId="2888" priority="108">
      <formula>$E$91 &lt; 0</formula>
    </cfRule>
  </conditionalFormatting>
  <conditionalFormatting sqref="G69:I70 H91:I91">
    <cfRule type="expression" dxfId="2887" priority="103">
      <formula>$H$91 &gt; 0</formula>
    </cfRule>
    <cfRule type="expression" dxfId="2886" priority="104">
      <formula>$H$91 = 0</formula>
    </cfRule>
    <cfRule type="expression" dxfId="2885" priority="105">
      <formula>$H$91 &lt; 0</formula>
    </cfRule>
  </conditionalFormatting>
  <conditionalFormatting sqref="J69:L70 K91:L91">
    <cfRule type="expression" dxfId="2884" priority="100">
      <formula>$K$91 &gt; 0</formula>
    </cfRule>
    <cfRule type="expression" dxfId="2883" priority="101">
      <formula>$K$91 = 0</formula>
    </cfRule>
    <cfRule type="expression" dxfId="2882" priority="102">
      <formula>$K$91 &lt; 0</formula>
    </cfRule>
  </conditionalFormatting>
  <conditionalFormatting sqref="M69:O70 N91:O91">
    <cfRule type="expression" dxfId="2881" priority="97">
      <formula>$N$91 &gt; 0</formula>
    </cfRule>
    <cfRule type="expression" dxfId="2880" priority="98">
      <formula>$N$91 = 0</formula>
    </cfRule>
    <cfRule type="expression" dxfId="2879" priority="99">
      <formula>$N$91 &lt; 0</formula>
    </cfRule>
  </conditionalFormatting>
  <conditionalFormatting sqref="A98:C117 M98:O117">
    <cfRule type="expression" dxfId="2878" priority="85">
      <formula>AND($N98 &gt; 0, ISNUMBER($N98))</formula>
    </cfRule>
    <cfRule type="expression" dxfId="2877" priority="86">
      <formula>AND($N98 = 0 * ISNUMBER($N98))</formula>
    </cfRule>
    <cfRule type="expression" dxfId="2876" priority="87">
      <formula>AND($N98 &lt; 0, ISNUMBER($N98))</formula>
    </cfRule>
  </conditionalFormatting>
  <conditionalFormatting sqref="A98:F117">
    <cfRule type="expression" dxfId="2875" priority="94">
      <formula>AND($E98 &gt; 0, ISNUMBER($E98))</formula>
    </cfRule>
    <cfRule type="expression" dxfId="2874" priority="95">
      <formula>AND($E98 = 0 * ISNUMBER($E98))</formula>
    </cfRule>
    <cfRule type="expression" dxfId="2873" priority="96">
      <formula>AND($E98 &lt; 0, ISNUMBER($E98))</formula>
    </cfRule>
  </conditionalFormatting>
  <conditionalFormatting sqref="A98:C117 G98:I117">
    <cfRule type="expression" dxfId="2872" priority="91">
      <formula>AND($H98 &gt; 0, ISNUMBER($H98))</formula>
    </cfRule>
    <cfRule type="expression" dxfId="2871" priority="92">
      <formula>AND($H98 = 0 * ISNUMBER($H98))</formula>
    </cfRule>
    <cfRule type="expression" dxfId="2870" priority="93">
      <formula>AND($H98 &lt; 0, ISNUMBER($H98))</formula>
    </cfRule>
  </conditionalFormatting>
  <conditionalFormatting sqref="A98:C117 J98:L117">
    <cfRule type="expression" dxfId="2869" priority="88">
      <formula>AND($K98 &gt; 0, ISNUMBER($K98))</formula>
    </cfRule>
    <cfRule type="expression" dxfId="2868" priority="89">
      <formula>AND($K98 = 0 * ISNUMBER($K98))</formula>
    </cfRule>
    <cfRule type="expression" dxfId="2867" priority="90">
      <formula>AND($K98 &lt; 0, ISNUMBER($K98))</formula>
    </cfRule>
  </conditionalFormatting>
  <conditionalFormatting sqref="D96:F97 E118:F118">
    <cfRule type="expression" dxfId="2866" priority="82">
      <formula>$E$118 &gt; 0</formula>
    </cfRule>
    <cfRule type="expression" dxfId="2865" priority="83">
      <formula>$E$118 = 0</formula>
    </cfRule>
    <cfRule type="expression" dxfId="2864" priority="84">
      <formula>$E$118 &lt; 0</formula>
    </cfRule>
  </conditionalFormatting>
  <conditionalFormatting sqref="G96:I97 H118:I118">
    <cfRule type="expression" dxfId="2863" priority="79">
      <formula>$H$118 &gt; 0</formula>
    </cfRule>
    <cfRule type="expression" dxfId="2862" priority="80">
      <formula>$H$118 = 0</formula>
    </cfRule>
    <cfRule type="expression" dxfId="2861" priority="81">
      <formula>$H$118 &lt; 0</formula>
    </cfRule>
  </conditionalFormatting>
  <conditionalFormatting sqref="J96:L97 K118:L118">
    <cfRule type="expression" dxfId="2860" priority="76">
      <formula>$K$118 &gt; 0</formula>
    </cfRule>
    <cfRule type="expression" dxfId="2859" priority="77">
      <formula>$K$118 = 0</formula>
    </cfRule>
    <cfRule type="expression" dxfId="2858" priority="78">
      <formula>$K$118 &lt; 0</formula>
    </cfRule>
  </conditionalFormatting>
  <conditionalFormatting sqref="M96:O97 N118:O118">
    <cfRule type="expression" dxfId="2857" priority="73">
      <formula>$N$118 &gt; 0</formula>
    </cfRule>
    <cfRule type="expression" dxfId="2856" priority="74">
      <formula>$N$118 = 0</formula>
    </cfRule>
    <cfRule type="expression" dxfId="2855" priority="75">
      <formula>$N$118 &lt; 0</formula>
    </cfRule>
  </conditionalFormatting>
  <conditionalFormatting sqref="A125:C144 M125:O144">
    <cfRule type="expression" dxfId="2854" priority="61">
      <formula>AND($N125 &gt; 0, ISNUMBER($N125))</formula>
    </cfRule>
    <cfRule type="expression" dxfId="2853" priority="62">
      <formula>AND($N125 = 0 * ISNUMBER($N125))</formula>
    </cfRule>
    <cfRule type="expression" dxfId="2852" priority="63">
      <formula>AND($N125 &lt; 0, ISNUMBER($N125))</formula>
    </cfRule>
  </conditionalFormatting>
  <conditionalFormatting sqref="A125:F144">
    <cfRule type="expression" dxfId="2851" priority="70">
      <formula>AND($E125 &gt; 0, ISNUMBER($E125))</formula>
    </cfRule>
    <cfRule type="expression" dxfId="2850" priority="71">
      <formula>AND($E125 = 0 * ISNUMBER($E125))</formula>
    </cfRule>
    <cfRule type="expression" dxfId="2849" priority="72">
      <formula>AND($E125 &lt; 0, ISNUMBER($E125))</formula>
    </cfRule>
  </conditionalFormatting>
  <conditionalFormatting sqref="A125:C144 G125:I144">
    <cfRule type="expression" dxfId="2848" priority="67">
      <formula>AND($H125 &gt; 0, ISNUMBER($H125))</formula>
    </cfRule>
    <cfRule type="expression" dxfId="2847" priority="68">
      <formula>AND($H125 = 0 * ISNUMBER($H125))</formula>
    </cfRule>
    <cfRule type="expression" dxfId="2846" priority="69">
      <formula>AND($H125 &lt; 0, ISNUMBER($H125))</formula>
    </cfRule>
  </conditionalFormatting>
  <conditionalFormatting sqref="A125:C144 J125:L144">
    <cfRule type="expression" dxfId="2845" priority="64">
      <formula>AND($K125 &gt; 0, ISNUMBER($K125))</formula>
    </cfRule>
    <cfRule type="expression" dxfId="2844" priority="65">
      <formula>AND($K125 = 0 * ISNUMBER($K125))</formula>
    </cfRule>
    <cfRule type="expression" dxfId="2843" priority="66">
      <formula>AND($K125 &lt; 0, ISNUMBER($K125))</formula>
    </cfRule>
  </conditionalFormatting>
  <conditionalFormatting sqref="D123:F124 E145:F145">
    <cfRule type="expression" dxfId="2842" priority="58">
      <formula>$E$145 &gt; 0</formula>
    </cfRule>
    <cfRule type="expression" dxfId="2841" priority="59">
      <formula>$E$145 = 0</formula>
    </cfRule>
    <cfRule type="expression" dxfId="2840" priority="60">
      <formula>$E$145 &lt; 0</formula>
    </cfRule>
  </conditionalFormatting>
  <conditionalFormatting sqref="G123:I124 H145:I145">
    <cfRule type="expression" dxfId="2839" priority="55">
      <formula>$H$145 &gt; 0</formula>
    </cfRule>
    <cfRule type="expression" dxfId="2838" priority="56">
      <formula>$H$145 = 0</formula>
    </cfRule>
    <cfRule type="expression" dxfId="2837" priority="57">
      <formula>$H$145 &lt; 0</formula>
    </cfRule>
  </conditionalFormatting>
  <conditionalFormatting sqref="J123:L124 K145:L145">
    <cfRule type="expression" dxfId="2836" priority="52">
      <formula>$K$145 &gt; 0</formula>
    </cfRule>
    <cfRule type="expression" dxfId="2835" priority="53">
      <formula>$K$145 = 0</formula>
    </cfRule>
    <cfRule type="expression" dxfId="2834" priority="54">
      <formula>$K$145 &lt; 0</formula>
    </cfRule>
  </conditionalFormatting>
  <conditionalFormatting sqref="M123:O124 N145:O145">
    <cfRule type="expression" dxfId="2833" priority="49">
      <formula>$N$145 &gt; 0</formula>
    </cfRule>
    <cfRule type="expression" dxfId="2832" priority="50">
      <formula>$N$145 = 0</formula>
    </cfRule>
    <cfRule type="expression" dxfId="2831" priority="51">
      <formula>$N$145 &lt; 0</formula>
    </cfRule>
  </conditionalFormatting>
  <conditionalFormatting sqref="A152:C171 M152:O171">
    <cfRule type="expression" dxfId="2830" priority="37">
      <formula>AND($N152 &gt; 0, ISNUMBER($N152))</formula>
    </cfRule>
    <cfRule type="expression" dxfId="2829" priority="38">
      <formula>AND($N152 = 0 * ISNUMBER($N152))</formula>
    </cfRule>
    <cfRule type="expression" dxfId="2828" priority="39">
      <formula>AND($N152 &lt; 0, ISNUMBER($N152))</formula>
    </cfRule>
  </conditionalFormatting>
  <conditionalFormatting sqref="A152:F171">
    <cfRule type="expression" dxfId="2827" priority="46">
      <formula>AND($E152 &gt; 0, ISNUMBER($E152))</formula>
    </cfRule>
    <cfRule type="expression" dxfId="2826" priority="47">
      <formula>AND($E152 = 0 * ISNUMBER($E152))</formula>
    </cfRule>
    <cfRule type="expression" dxfId="2825" priority="48">
      <formula>AND($E152 &lt; 0, ISNUMBER($E152))</formula>
    </cfRule>
  </conditionalFormatting>
  <conditionalFormatting sqref="A152:C171 G152:I171">
    <cfRule type="expression" dxfId="2824" priority="43">
      <formula>AND($H152 &gt; 0, ISNUMBER($H152))</formula>
    </cfRule>
    <cfRule type="expression" dxfId="2823" priority="44">
      <formula>AND($H152 = 0 * ISNUMBER($H152))</formula>
    </cfRule>
    <cfRule type="expression" dxfId="2822" priority="45">
      <formula>AND($H152 &lt; 0, ISNUMBER($H152))</formula>
    </cfRule>
  </conditionalFormatting>
  <conditionalFormatting sqref="A152:C171 J152:L171">
    <cfRule type="expression" dxfId="2821" priority="40">
      <formula>AND($K152 &gt; 0, ISNUMBER($K152))</formula>
    </cfRule>
    <cfRule type="expression" dxfId="2820" priority="41">
      <formula>AND($K152 = 0 * ISNUMBER($K152))</formula>
    </cfRule>
    <cfRule type="expression" dxfId="2819" priority="42">
      <formula>AND($K152 &lt; 0, ISNUMBER($K152))</formula>
    </cfRule>
  </conditionalFormatting>
  <conditionalFormatting sqref="D150:F151 E172:F172">
    <cfRule type="expression" dxfId="2818" priority="34">
      <formula>$E$172 &gt; 0</formula>
    </cfRule>
    <cfRule type="expression" dxfId="2817" priority="35">
      <formula>$E$172 = 0</formula>
    </cfRule>
    <cfRule type="expression" dxfId="2816" priority="36">
      <formula>$E$172 &lt; 0</formula>
    </cfRule>
  </conditionalFormatting>
  <conditionalFormatting sqref="G150:I151 H172:I172">
    <cfRule type="expression" dxfId="2815" priority="31">
      <formula>$H$172 &gt; 0</formula>
    </cfRule>
    <cfRule type="expression" dxfId="2814" priority="32">
      <formula>$H$172 = 0</formula>
    </cfRule>
    <cfRule type="expression" dxfId="2813" priority="33">
      <formula>$H$172 &lt; 0</formula>
    </cfRule>
  </conditionalFormatting>
  <conditionalFormatting sqref="J150:L151 K172:L172">
    <cfRule type="expression" dxfId="2812" priority="28">
      <formula>$K$172 &gt; 0</formula>
    </cfRule>
    <cfRule type="expression" dxfId="2811" priority="29">
      <formula>$K$172 = 0</formula>
    </cfRule>
    <cfRule type="expression" dxfId="2810" priority="30">
      <formula>$K$172 &lt; 0</formula>
    </cfRule>
  </conditionalFormatting>
  <conditionalFormatting sqref="M150:O151 N172:O172">
    <cfRule type="expression" dxfId="2809" priority="25">
      <formula>$N$172 &gt; 0</formula>
    </cfRule>
    <cfRule type="expression" dxfId="2808" priority="26">
      <formula>$N$172 = 0</formula>
    </cfRule>
    <cfRule type="expression" dxfId="2807" priority="27">
      <formula>$N$172 &lt; 0</formula>
    </cfRule>
  </conditionalFormatting>
  <conditionalFormatting sqref="A179:C198 M179:O198">
    <cfRule type="expression" dxfId="2806" priority="13">
      <formula>AND($N179 &gt; 0, ISNUMBER($N179))</formula>
    </cfRule>
    <cfRule type="expression" dxfId="2805" priority="14">
      <formula>AND($N179 = 0 * ISNUMBER($N179))</formula>
    </cfRule>
    <cfRule type="expression" dxfId="2804" priority="15">
      <formula>AND($N179 &lt; 0, ISNUMBER($N179))</formula>
    </cfRule>
  </conditionalFormatting>
  <conditionalFormatting sqref="A179:F198">
    <cfRule type="expression" dxfId="2803" priority="22">
      <formula>AND($E179 &gt; 0, ISNUMBER($E179))</formula>
    </cfRule>
    <cfRule type="expression" dxfId="2802" priority="23">
      <formula>AND($E179 = 0 * ISNUMBER($E179))</formula>
    </cfRule>
    <cfRule type="expression" dxfId="2801" priority="24">
      <formula>AND($E179 &lt; 0, ISNUMBER($E179))</formula>
    </cfRule>
  </conditionalFormatting>
  <conditionalFormatting sqref="A179:C198 G179:I198">
    <cfRule type="expression" dxfId="2800" priority="19">
      <formula>AND($H179 &gt; 0, ISNUMBER($H179))</formula>
    </cfRule>
    <cfRule type="expression" dxfId="2799" priority="20">
      <formula>AND($H179 = 0 * ISNUMBER($H179))</formula>
    </cfRule>
    <cfRule type="expression" dxfId="2798" priority="21">
      <formula>AND($H179 &lt; 0, ISNUMBER($H179))</formula>
    </cfRule>
  </conditionalFormatting>
  <conditionalFormatting sqref="A179:C198 J179:L198">
    <cfRule type="expression" dxfId="2797" priority="16">
      <formula>AND($K179 &gt; 0, ISNUMBER($K179))</formula>
    </cfRule>
    <cfRule type="expression" dxfId="2796" priority="17">
      <formula>AND($K179 = 0 * ISNUMBER($K179))</formula>
    </cfRule>
    <cfRule type="expression" dxfId="2795" priority="18">
      <formula>AND($K179 &lt; 0, ISNUMBER($K179))</formula>
    </cfRule>
  </conditionalFormatting>
  <conditionalFormatting sqref="D177:F178 E199:F199">
    <cfRule type="expression" dxfId="2794" priority="10">
      <formula>$E$199 &gt; 0</formula>
    </cfRule>
    <cfRule type="expression" dxfId="2793" priority="11">
      <formula>$E$199 = 0</formula>
    </cfRule>
    <cfRule type="expression" dxfId="2792" priority="12">
      <formula>$E$199 &lt; 0</formula>
    </cfRule>
  </conditionalFormatting>
  <conditionalFormatting sqref="G177:I178 H199:I199">
    <cfRule type="expression" dxfId="2791" priority="7">
      <formula>$H$199 &gt; 0</formula>
    </cfRule>
    <cfRule type="expression" dxfId="2790" priority="8">
      <formula>$H$199 = 0</formula>
    </cfRule>
    <cfRule type="expression" dxfId="2789" priority="9">
      <formula>$H$199 &lt; 0</formula>
    </cfRule>
  </conditionalFormatting>
  <conditionalFormatting sqref="J177:L178 K199:L199">
    <cfRule type="expression" dxfId="2788" priority="4">
      <formula>$K$199 &gt; 0</formula>
    </cfRule>
    <cfRule type="expression" dxfId="2787" priority="5">
      <formula>$K$199 = 0</formula>
    </cfRule>
    <cfRule type="expression" dxfId="2786" priority="6">
      <formula>$K$199 &lt; 0</formula>
    </cfRule>
  </conditionalFormatting>
  <conditionalFormatting sqref="M177:O178 N199:O199">
    <cfRule type="expression" dxfId="2785" priority="1">
      <formula>$N$199 &gt; 0</formula>
    </cfRule>
    <cfRule type="expression" dxfId="2784" priority="2">
      <formula>$N$199 = 0</formula>
    </cfRule>
    <cfRule type="expression" dxfId="278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157</v>
      </c>
      <c r="B2" s="11" t="s">
        <v>158</v>
      </c>
      <c r="C2" s="205">
        <v>30460</v>
      </c>
      <c r="D2" s="34">
        <v>0.27447698739999998</v>
      </c>
      <c r="E2" s="93">
        <v>11457525.022008641</v>
      </c>
      <c r="F2" s="35"/>
      <c r="G2" s="54"/>
      <c r="H2" s="35"/>
      <c r="I2" s="35"/>
    </row>
    <row r="3" spans="1:18" ht="17.25" thickBot="1">
      <c r="A3" s="40" t="s">
        <v>171</v>
      </c>
      <c r="B3" s="11" t="s">
        <v>172</v>
      </c>
      <c r="C3" s="205">
        <v>3575</v>
      </c>
      <c r="D3" s="34">
        <v>5.7692307700000001E-2</v>
      </c>
      <c r="E3" s="93">
        <v>88056756.544148222</v>
      </c>
      <c r="F3" s="35"/>
      <c r="G3" s="276" t="s">
        <v>260</v>
      </c>
      <c r="H3" s="288" t="s">
        <v>330</v>
      </c>
      <c r="I3" s="288"/>
      <c r="K3" s="215" t="s">
        <v>34</v>
      </c>
      <c r="L3" s="216"/>
      <c r="M3" s="216"/>
      <c r="N3" s="217"/>
      <c r="O3" s="215" t="s">
        <v>262</v>
      </c>
      <c r="P3" s="216"/>
      <c r="Q3" s="216"/>
      <c r="R3" s="217"/>
    </row>
    <row r="4" spans="1:18" ht="17.25" thickBot="1">
      <c r="A4" s="40" t="s">
        <v>119</v>
      </c>
      <c r="B4" s="11" t="s">
        <v>120</v>
      </c>
      <c r="C4" s="205">
        <v>5250</v>
      </c>
      <c r="D4" s="34">
        <v>5.5276381899999998E-2</v>
      </c>
      <c r="E4" s="93">
        <v>35979356.157234922</v>
      </c>
      <c r="F4" s="35"/>
      <c r="G4" s="277"/>
      <c r="H4" s="289"/>
      <c r="I4" s="289"/>
      <c r="K4" s="280" t="s">
        <v>55</v>
      </c>
      <c r="L4" s="292">
        <f ca="1">NOW()</f>
        <v>44422.917164583334</v>
      </c>
      <c r="M4" s="293"/>
      <c r="N4" s="294"/>
      <c r="O4" s="283" t="s">
        <v>55</v>
      </c>
      <c r="P4" s="292">
        <f ca="1">NOW()</f>
        <v>44422.917164583334</v>
      </c>
      <c r="Q4" s="293"/>
      <c r="R4" s="294"/>
    </row>
    <row r="5" spans="1:18" ht="17.25" thickBot="1">
      <c r="A5" s="40" t="s">
        <v>89</v>
      </c>
      <c r="B5" s="11" t="s">
        <v>90</v>
      </c>
      <c r="C5" s="205">
        <v>1320</v>
      </c>
      <c r="D5" s="34">
        <v>5.1792828700000001E-2</v>
      </c>
      <c r="E5" s="93">
        <v>636378325.27881539</v>
      </c>
      <c r="F5" s="35"/>
      <c r="K5" s="277"/>
      <c r="L5" s="36" t="s">
        <v>58</v>
      </c>
      <c r="M5" s="73" t="s">
        <v>59</v>
      </c>
      <c r="N5" s="69" t="s">
        <v>264</v>
      </c>
      <c r="O5" s="277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131</v>
      </c>
      <c r="B6" s="11" t="s">
        <v>132</v>
      </c>
      <c r="C6" s="205">
        <v>127</v>
      </c>
      <c r="D6" s="34">
        <v>4.9586776899999997E-2</v>
      </c>
      <c r="E6" s="93">
        <v>568701157.66997898</v>
      </c>
      <c r="F6" s="35"/>
      <c r="G6" s="215" t="s">
        <v>52</v>
      </c>
      <c r="H6" s="216"/>
      <c r="I6" s="21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웨이브</v>
      </c>
      <c r="P6" s="38">
        <f t="shared" ref="P6:P25" si="2">_xlfn.IFNA(VLOOKUP(O6, $B$2:$D$200, 2, FALSE), "")</f>
        <v>30460</v>
      </c>
      <c r="Q6" s="76">
        <f t="shared" ref="Q6:Q25" si="3">_xlfn.IFNA(VLOOKUP(O6, $B$2:$D$200, 3, FALSE), "")</f>
        <v>0.27447698739999998</v>
      </c>
      <c r="R6" s="85">
        <f>_xlfn.IFNA(VLOOKUP(O6, $B$2:$E$200, 4, FALSE), "")</f>
        <v>11457525.022008641</v>
      </c>
    </row>
    <row r="7" spans="1:18">
      <c r="A7" s="40" t="s">
        <v>53</v>
      </c>
      <c r="B7" s="11" t="s">
        <v>54</v>
      </c>
      <c r="C7" s="205">
        <v>279</v>
      </c>
      <c r="D7" s="34">
        <v>4.1044776099999999E-2</v>
      </c>
      <c r="E7" s="93">
        <v>47511240.617363431</v>
      </c>
      <c r="F7" s="35"/>
      <c r="G7" s="224" t="s">
        <v>36</v>
      </c>
      <c r="H7" s="225"/>
      <c r="I7" s="22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메탈</v>
      </c>
      <c r="P7" s="39">
        <f t="shared" si="2"/>
        <v>3575</v>
      </c>
      <c r="Q7" s="77">
        <f t="shared" si="3"/>
        <v>5.7692307700000001E-2</v>
      </c>
      <c r="R7" s="86">
        <f t="shared" ref="R7:R25" si="5">_xlfn.IFNA(VLOOKUP(O7, $B$2:$E$200, 4, FALSE), "")</f>
        <v>88056756.544148222</v>
      </c>
    </row>
    <row r="8" spans="1:18" ht="17.25" thickBot="1">
      <c r="A8" s="40" t="s">
        <v>141</v>
      </c>
      <c r="B8" s="11" t="s">
        <v>142</v>
      </c>
      <c r="C8" s="205">
        <v>11930</v>
      </c>
      <c r="D8" s="34">
        <v>3.7391304299999997E-2</v>
      </c>
      <c r="E8" s="93">
        <v>15871967.97102851</v>
      </c>
      <c r="F8" s="35"/>
      <c r="G8" s="230"/>
      <c r="H8" s="231"/>
      <c r="I8" s="23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알파쿼크</v>
      </c>
      <c r="P8" s="39">
        <f t="shared" si="2"/>
        <v>5250</v>
      </c>
      <c r="Q8" s="77">
        <f t="shared" si="3"/>
        <v>5.5276381899999998E-2</v>
      </c>
      <c r="R8" s="86">
        <f t="shared" si="5"/>
        <v>35979356.157234922</v>
      </c>
    </row>
    <row r="9" spans="1:18" ht="17.25" thickBot="1">
      <c r="A9" s="40" t="s">
        <v>235</v>
      </c>
      <c r="B9" s="11" t="s">
        <v>236</v>
      </c>
      <c r="C9" s="205">
        <v>678</v>
      </c>
      <c r="D9" s="34">
        <v>3.3536585399999999E-2</v>
      </c>
      <c r="E9" s="93">
        <v>99738063.797470585</v>
      </c>
      <c r="F9" s="35"/>
      <c r="G9" s="9" t="s">
        <v>38</v>
      </c>
      <c r="H9" s="216" t="s">
        <v>37</v>
      </c>
      <c r="I9" s="21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리플</v>
      </c>
      <c r="P9" s="39">
        <f t="shared" si="2"/>
        <v>1320</v>
      </c>
      <c r="Q9" s="77">
        <f t="shared" si="3"/>
        <v>5.1792828700000001E-2</v>
      </c>
      <c r="R9" s="86">
        <f t="shared" si="5"/>
        <v>636378325.27881539</v>
      </c>
    </row>
    <row r="10" spans="1:18">
      <c r="A10" s="40" t="s">
        <v>223</v>
      </c>
      <c r="B10" s="11" t="s">
        <v>224</v>
      </c>
      <c r="C10" s="205">
        <v>5005</v>
      </c>
      <c r="D10" s="34">
        <v>3.19587629E-2</v>
      </c>
      <c r="E10" s="93">
        <v>13733627.1537943</v>
      </c>
      <c r="F10" s="35"/>
      <c r="G10" s="290">
        <f>_xlfn.IFNA(VLOOKUP(G7, $B$2:$D$200, 3, FALSE), "-")</f>
        <v>-2.1216407400000001E-2</v>
      </c>
      <c r="H10" s="284">
        <f>_xlfn.IFNA(VLOOKUP(G7, $B$2:$D$200, 2, FALSE), "-")</f>
        <v>53976000</v>
      </c>
      <c r="I10" s="28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질리카</v>
      </c>
      <c r="P10" s="39">
        <f t="shared" si="2"/>
        <v>127</v>
      </c>
      <c r="Q10" s="77">
        <f t="shared" si="3"/>
        <v>4.9586776899999997E-2</v>
      </c>
      <c r="R10" s="90">
        <f t="shared" si="5"/>
        <v>568701157.66997898</v>
      </c>
    </row>
    <row r="11" spans="1:18" ht="17.25" thickBot="1">
      <c r="A11" s="40" t="s">
        <v>245</v>
      </c>
      <c r="B11" s="11" t="s">
        <v>246</v>
      </c>
      <c r="C11" s="205">
        <v>9365</v>
      </c>
      <c r="D11" s="34">
        <v>2.91208791E-2</v>
      </c>
      <c r="E11" s="93">
        <v>14575586.47181697</v>
      </c>
      <c r="F11" s="35"/>
      <c r="G11" s="291"/>
      <c r="H11" s="286"/>
      <c r="I11" s="28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헤데라해시그래프</v>
      </c>
      <c r="P11" s="45">
        <f t="shared" si="2"/>
        <v>279</v>
      </c>
      <c r="Q11" s="80">
        <f t="shared" si="3"/>
        <v>4.1044776099999999E-2</v>
      </c>
      <c r="R11" s="99">
        <f t="shared" si="5"/>
        <v>47511240.617363431</v>
      </c>
    </row>
    <row r="12" spans="1:18" ht="17.25" thickBot="1">
      <c r="A12" s="40" t="s">
        <v>127</v>
      </c>
      <c r="B12" s="11" t="s">
        <v>128</v>
      </c>
      <c r="C12" s="205">
        <v>143</v>
      </c>
      <c r="D12" s="34">
        <v>2.87769784E-2</v>
      </c>
      <c r="E12" s="93">
        <v>635651143.23816228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가스</v>
      </c>
      <c r="P12" s="39">
        <f t="shared" si="2"/>
        <v>11930</v>
      </c>
      <c r="Q12" s="77">
        <f t="shared" si="3"/>
        <v>3.7391304299999997E-2</v>
      </c>
      <c r="R12" s="86">
        <f t="shared" si="5"/>
        <v>15871967.97102851</v>
      </c>
    </row>
    <row r="13" spans="1:18" ht="17.25" thickBot="1">
      <c r="A13" s="40" t="s">
        <v>66</v>
      </c>
      <c r="B13" s="11" t="s">
        <v>67</v>
      </c>
      <c r="C13" s="205">
        <v>5015</v>
      </c>
      <c r="D13" s="34">
        <v>2.3469387800000002E-2</v>
      </c>
      <c r="E13" s="93">
        <v>15318576.68045181</v>
      </c>
      <c r="F13" s="35"/>
      <c r="G13" s="215" t="s">
        <v>70</v>
      </c>
      <c r="H13" s="216"/>
      <c r="I13" s="21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스팀</v>
      </c>
      <c r="P13" s="39">
        <f t="shared" si="2"/>
        <v>678</v>
      </c>
      <c r="Q13" s="77">
        <f t="shared" si="3"/>
        <v>3.3536585399999999E-2</v>
      </c>
      <c r="R13" s="86">
        <f t="shared" si="5"/>
        <v>99738063.797470585</v>
      </c>
    </row>
    <row r="14" spans="1:18">
      <c r="A14" s="40" t="s">
        <v>193</v>
      </c>
      <c r="B14" s="11" t="s">
        <v>194</v>
      </c>
      <c r="C14" s="205">
        <v>150</v>
      </c>
      <c r="D14" s="34">
        <v>2.0408163300000001E-2</v>
      </c>
      <c r="E14" s="93">
        <v>381842887.72246486</v>
      </c>
      <c r="F14" s="35"/>
      <c r="G14" s="224" t="s">
        <v>36</v>
      </c>
      <c r="H14" s="225"/>
      <c r="I14" s="22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리스크</v>
      </c>
      <c r="P14" s="39">
        <f t="shared" si="2"/>
        <v>5005</v>
      </c>
      <c r="Q14" s="77">
        <f t="shared" si="3"/>
        <v>3.19587629E-2</v>
      </c>
      <c r="R14" s="86">
        <f t="shared" si="5"/>
        <v>13733627.1537943</v>
      </c>
    </row>
    <row r="15" spans="1:18" ht="17.25" thickBot="1">
      <c r="A15" s="40" t="s">
        <v>247</v>
      </c>
      <c r="B15" s="11" t="s">
        <v>248</v>
      </c>
      <c r="C15" s="205">
        <v>2585</v>
      </c>
      <c r="D15" s="34">
        <v>1.77165354E-2</v>
      </c>
      <c r="E15" s="93">
        <v>21110913.97783437</v>
      </c>
      <c r="F15" s="35"/>
      <c r="G15" s="230"/>
      <c r="H15" s="231"/>
      <c r="I15" s="23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스팀달러</v>
      </c>
      <c r="P15" s="37">
        <f t="shared" si="2"/>
        <v>9365</v>
      </c>
      <c r="Q15" s="79">
        <f t="shared" si="3"/>
        <v>2.91208791E-2</v>
      </c>
      <c r="R15" s="87">
        <f t="shared" si="5"/>
        <v>14575586.47181697</v>
      </c>
    </row>
    <row r="16" spans="1:18" ht="17.25" thickBot="1">
      <c r="A16" s="40" t="s">
        <v>83</v>
      </c>
      <c r="B16" s="11" t="s">
        <v>84</v>
      </c>
      <c r="C16" s="205">
        <v>6020</v>
      </c>
      <c r="D16" s="34">
        <v>7.5313808000000001E-3</v>
      </c>
      <c r="E16" s="93">
        <v>59821910.678346731</v>
      </c>
      <c r="F16" s="35"/>
      <c r="G16" s="9" t="s">
        <v>38</v>
      </c>
      <c r="H16" s="216" t="s">
        <v>37</v>
      </c>
      <c r="I16" s="21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비체인</v>
      </c>
      <c r="P16" s="38">
        <f t="shared" si="2"/>
        <v>143</v>
      </c>
      <c r="Q16" s="76">
        <f t="shared" si="3"/>
        <v>2.87769784E-2</v>
      </c>
      <c r="R16" s="85">
        <f t="shared" si="5"/>
        <v>635651143.23816228</v>
      </c>
    </row>
    <row r="17" spans="1:18">
      <c r="A17" s="40" t="s">
        <v>217</v>
      </c>
      <c r="B17" s="11" t="s">
        <v>218</v>
      </c>
      <c r="C17" s="205">
        <v>137</v>
      </c>
      <c r="D17" s="34">
        <v>7.3529412000000001E-3</v>
      </c>
      <c r="E17" s="93">
        <v>151067330.53761843</v>
      </c>
      <c r="F17" s="35"/>
      <c r="G17" s="290">
        <f>_xlfn.IFNA(VLOOKUP(G14, $B$2:$D$200, 3, FALSE), "-")</f>
        <v>-2.1216407400000001E-2</v>
      </c>
      <c r="H17" s="284">
        <f>_xlfn.IFNA(VLOOKUP(G14, $B$2:$D$200, 2, FALSE), "-")</f>
        <v>53976000</v>
      </c>
      <c r="I17" s="28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코박토큰</v>
      </c>
      <c r="P17" s="39">
        <f t="shared" si="2"/>
        <v>5015</v>
      </c>
      <c r="Q17" s="77">
        <f t="shared" si="3"/>
        <v>2.3469387800000002E-2</v>
      </c>
      <c r="R17" s="86">
        <f t="shared" si="5"/>
        <v>15318576.68045181</v>
      </c>
    </row>
    <row r="18" spans="1:18" ht="17.25" thickBot="1">
      <c r="A18" s="40" t="s">
        <v>227</v>
      </c>
      <c r="B18" s="11" t="s">
        <v>228</v>
      </c>
      <c r="C18" s="205">
        <v>413</v>
      </c>
      <c r="D18" s="34">
        <v>7.3170732000000004E-3</v>
      </c>
      <c r="E18" s="93">
        <v>41564220.562278718</v>
      </c>
      <c r="F18" s="35"/>
      <c r="G18" s="291"/>
      <c r="H18" s="286"/>
      <c r="I18" s="28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메타디움</v>
      </c>
      <c r="P18" s="39">
        <f t="shared" si="2"/>
        <v>150</v>
      </c>
      <c r="Q18" s="77">
        <f t="shared" si="3"/>
        <v>2.0408163300000001E-2</v>
      </c>
      <c r="R18" s="86">
        <f t="shared" si="5"/>
        <v>381842887.72246486</v>
      </c>
    </row>
    <row r="19" spans="1:18" ht="17.25" thickBot="1">
      <c r="A19" s="40" t="s">
        <v>50</v>
      </c>
      <c r="B19" s="11" t="s">
        <v>51</v>
      </c>
      <c r="C19" s="205">
        <v>419</v>
      </c>
      <c r="D19" s="34">
        <v>7.2115384999999997E-3</v>
      </c>
      <c r="E19" s="93">
        <v>176113547.81699979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스트라티스</v>
      </c>
      <c r="P19" s="39">
        <f t="shared" si="2"/>
        <v>2585</v>
      </c>
      <c r="Q19" s="77">
        <f t="shared" si="3"/>
        <v>1.77165354E-2</v>
      </c>
      <c r="R19" s="86">
        <f t="shared" si="5"/>
        <v>21110913.97783437</v>
      </c>
    </row>
    <row r="20" spans="1:18" ht="17.25" thickBot="1">
      <c r="A20" s="40" t="s">
        <v>111</v>
      </c>
      <c r="B20" s="11" t="s">
        <v>112</v>
      </c>
      <c r="C20" s="205">
        <v>8310</v>
      </c>
      <c r="D20" s="34">
        <v>6.0532687999999999E-3</v>
      </c>
      <c r="E20" s="93">
        <v>1857422.08013367</v>
      </c>
      <c r="F20" s="35"/>
      <c r="G20" s="215" t="s">
        <v>256</v>
      </c>
      <c r="H20" s="216"/>
      <c r="I20" s="21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이오스</v>
      </c>
      <c r="P20" s="39">
        <f t="shared" si="2"/>
        <v>6020</v>
      </c>
      <c r="Q20" s="77">
        <f t="shared" si="3"/>
        <v>7.5313808000000001E-3</v>
      </c>
      <c r="R20" s="90">
        <f t="shared" si="5"/>
        <v>59821910.678346731</v>
      </c>
    </row>
    <row r="21" spans="1:18">
      <c r="A21" s="40" t="s">
        <v>56</v>
      </c>
      <c r="B21" s="11" t="s">
        <v>57</v>
      </c>
      <c r="C21" s="205">
        <v>234</v>
      </c>
      <c r="D21" s="34">
        <v>4.2918454999999996E-3</v>
      </c>
      <c r="E21" s="93">
        <v>199482866.78469613</v>
      </c>
      <c r="F21" s="35"/>
      <c r="G21" s="224" t="s">
        <v>36</v>
      </c>
      <c r="H21" s="225"/>
      <c r="I21" s="22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휴먼스케이프</v>
      </c>
      <c r="P21" s="45">
        <f t="shared" si="2"/>
        <v>137</v>
      </c>
      <c r="Q21" s="80">
        <f t="shared" si="3"/>
        <v>7.3529412000000001E-3</v>
      </c>
      <c r="R21" s="99">
        <f t="shared" si="5"/>
        <v>151067330.53761843</v>
      </c>
    </row>
    <row r="22" spans="1:18" ht="17.25" thickBot="1">
      <c r="A22" s="40" t="s">
        <v>169</v>
      </c>
      <c r="B22" s="11" t="s">
        <v>170</v>
      </c>
      <c r="C22" s="205">
        <v>32670</v>
      </c>
      <c r="D22" s="34">
        <v>3.3783784000000002E-3</v>
      </c>
      <c r="E22" s="93">
        <v>2504135.1409128099</v>
      </c>
      <c r="F22" s="35"/>
      <c r="G22" s="230"/>
      <c r="H22" s="231"/>
      <c r="I22" s="23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헌트</v>
      </c>
      <c r="P22" s="39">
        <f t="shared" si="2"/>
        <v>413</v>
      </c>
      <c r="Q22" s="77">
        <f t="shared" si="3"/>
        <v>7.3170732000000004E-3</v>
      </c>
      <c r="R22" s="86">
        <f t="shared" si="5"/>
        <v>41564220.562278718</v>
      </c>
    </row>
    <row r="23" spans="1:18" ht="17.25" thickBot="1">
      <c r="A23" s="40" t="s">
        <v>243</v>
      </c>
      <c r="B23" s="11" t="s">
        <v>244</v>
      </c>
      <c r="C23" s="205">
        <v>1515</v>
      </c>
      <c r="D23" s="34">
        <v>3.3112583000000002E-3</v>
      </c>
      <c r="E23" s="93">
        <v>15293741.25441228</v>
      </c>
      <c r="F23" s="35"/>
      <c r="G23" s="9" t="s">
        <v>38</v>
      </c>
      <c r="H23" s="216" t="s">
        <v>37</v>
      </c>
      <c r="I23" s="21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스텔라루멘</v>
      </c>
      <c r="P23" s="39">
        <f t="shared" si="2"/>
        <v>419</v>
      </c>
      <c r="Q23" s="77">
        <f t="shared" si="3"/>
        <v>7.2115384999999997E-3</v>
      </c>
      <c r="R23" s="86">
        <f t="shared" si="5"/>
        <v>176113547.81699979</v>
      </c>
    </row>
    <row r="24" spans="1:18">
      <c r="A24" s="40" t="s">
        <v>179</v>
      </c>
      <c r="B24" s="11" t="s">
        <v>180</v>
      </c>
      <c r="C24" s="205">
        <v>16430</v>
      </c>
      <c r="D24" s="34">
        <v>3.0525030999999998E-3</v>
      </c>
      <c r="E24" s="93">
        <v>28662891.728918161</v>
      </c>
      <c r="F24" s="35"/>
      <c r="G24" s="290">
        <f>_xlfn.IFNA(VLOOKUP(G21, $B$2:$D$200, 3, FALSE), "-")</f>
        <v>-2.1216407400000001E-2</v>
      </c>
      <c r="H24" s="284">
        <f>_xlfn.IFNA(VLOOKUP(G21, $B$2:$D$200, 2, FALSE), "-")</f>
        <v>53976000</v>
      </c>
      <c r="I24" s="28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쎄타토큰</v>
      </c>
      <c r="P24" s="39">
        <f t="shared" si="2"/>
        <v>8310</v>
      </c>
      <c r="Q24" s="77">
        <f t="shared" si="3"/>
        <v>6.0532687999999999E-3</v>
      </c>
      <c r="R24" s="86">
        <f t="shared" si="5"/>
        <v>1857422.08013367</v>
      </c>
    </row>
    <row r="25" spans="1:18" ht="17.25" thickBot="1">
      <c r="A25" s="40" t="s">
        <v>185</v>
      </c>
      <c r="B25" s="11" t="s">
        <v>186</v>
      </c>
      <c r="C25" s="205">
        <v>10110</v>
      </c>
      <c r="D25" s="34">
        <v>2.9761904999999998E-3</v>
      </c>
      <c r="E25" s="93">
        <v>6512073.4345971197</v>
      </c>
      <c r="F25" s="35"/>
      <c r="G25" s="291"/>
      <c r="H25" s="286"/>
      <c r="I25" s="287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넴</v>
      </c>
      <c r="P25" s="37">
        <f t="shared" si="2"/>
        <v>234</v>
      </c>
      <c r="Q25" s="79">
        <f t="shared" si="3"/>
        <v>4.2918454999999996E-3</v>
      </c>
      <c r="R25" s="87">
        <f t="shared" si="5"/>
        <v>199482866.78469613</v>
      </c>
    </row>
    <row r="26" spans="1:18">
      <c r="A26" s="40" t="s">
        <v>81</v>
      </c>
      <c r="B26" s="11" t="s">
        <v>82</v>
      </c>
      <c r="C26" s="205">
        <v>2480</v>
      </c>
      <c r="D26" s="34">
        <v>0</v>
      </c>
      <c r="E26" s="93">
        <v>172593845.9148564</v>
      </c>
      <c r="F26" s="35"/>
    </row>
    <row r="27" spans="1:18" ht="17.25" thickBot="1">
      <c r="A27" s="40" t="s">
        <v>107</v>
      </c>
      <c r="B27" s="11" t="s">
        <v>108</v>
      </c>
      <c r="C27" s="205">
        <v>1410</v>
      </c>
      <c r="D27" s="34">
        <v>0</v>
      </c>
      <c r="E27" s="93">
        <v>5861558.9913769504</v>
      </c>
      <c r="F27" s="35"/>
    </row>
    <row r="28" spans="1:18" ht="17.25" thickBot="1">
      <c r="A28" s="40" t="s">
        <v>109</v>
      </c>
      <c r="B28" s="11" t="s">
        <v>110</v>
      </c>
      <c r="C28" s="205">
        <v>192</v>
      </c>
      <c r="D28" s="34">
        <v>0</v>
      </c>
      <c r="E28" s="93">
        <v>219752975.48653781</v>
      </c>
      <c r="F28" s="35"/>
      <c r="G28" s="215" t="s">
        <v>46</v>
      </c>
      <c r="H28" s="216"/>
      <c r="I28" s="216"/>
      <c r="J28" s="217"/>
      <c r="K28" s="215" t="s">
        <v>44</v>
      </c>
      <c r="L28" s="216"/>
      <c r="M28" s="216"/>
      <c r="N28" s="217"/>
      <c r="O28" s="215" t="s">
        <v>45</v>
      </c>
      <c r="P28" s="216"/>
      <c r="Q28" s="216"/>
      <c r="R28" s="217"/>
    </row>
    <row r="29" spans="1:18" ht="17.25" thickBot="1">
      <c r="A29" s="40" t="s">
        <v>77</v>
      </c>
      <c r="B29" s="11" t="s">
        <v>78</v>
      </c>
      <c r="C29" s="205">
        <v>754300</v>
      </c>
      <c r="D29" s="34">
        <v>-5.2749570999999999E-3</v>
      </c>
      <c r="E29" s="93">
        <v>77558.604759649999</v>
      </c>
      <c r="F29" s="35"/>
      <c r="G29" s="280" t="s">
        <v>55</v>
      </c>
      <c r="H29" s="292">
        <f ca="1">NOW()</f>
        <v>44422.917164583334</v>
      </c>
      <c r="I29" s="293"/>
      <c r="J29" s="294"/>
      <c r="K29" s="283" t="s">
        <v>55</v>
      </c>
      <c r="L29" s="292">
        <f ca="1">NOW()</f>
        <v>44422.917164583334</v>
      </c>
      <c r="M29" s="293"/>
      <c r="N29" s="294"/>
      <c r="O29" s="283" t="s">
        <v>55</v>
      </c>
      <c r="P29" s="292">
        <f ca="1">NOW()</f>
        <v>44422.917164583334</v>
      </c>
      <c r="Q29" s="293"/>
      <c r="R29" s="294"/>
    </row>
    <row r="30" spans="1:18" ht="17.25" thickBot="1">
      <c r="A30" s="40" t="s">
        <v>95</v>
      </c>
      <c r="B30" s="11" t="s">
        <v>96</v>
      </c>
      <c r="C30" s="205">
        <v>4125</v>
      </c>
      <c r="D30" s="34">
        <v>-7.2202166E-3</v>
      </c>
      <c r="E30" s="93">
        <v>6252325.9726221999</v>
      </c>
      <c r="F30" s="35"/>
      <c r="G30" s="277"/>
      <c r="H30" s="36" t="s">
        <v>58</v>
      </c>
      <c r="I30" s="73" t="s">
        <v>59</v>
      </c>
      <c r="J30" s="69" t="s">
        <v>264</v>
      </c>
      <c r="K30" s="277"/>
      <c r="L30" s="36" t="s">
        <v>58</v>
      </c>
      <c r="M30" s="73" t="s">
        <v>59</v>
      </c>
      <c r="N30" s="69" t="s">
        <v>264</v>
      </c>
      <c r="O30" s="277"/>
      <c r="P30" s="36" t="s">
        <v>58</v>
      </c>
      <c r="Q30" s="73" t="s">
        <v>59</v>
      </c>
      <c r="R30" s="69" t="s">
        <v>264</v>
      </c>
    </row>
    <row r="31" spans="1:18">
      <c r="A31" s="40" t="s">
        <v>161</v>
      </c>
      <c r="B31" s="11" t="s">
        <v>162</v>
      </c>
      <c r="C31" s="205">
        <v>113</v>
      </c>
      <c r="D31" s="34">
        <v>-8.7719297999999998E-3</v>
      </c>
      <c r="E31" s="93">
        <v>423718419.14048797</v>
      </c>
      <c r="F31" s="35"/>
      <c r="G31" s="55" t="str">
        <f ca="1">IFERROR(OFFSET(INDIRECT($H$3 &amp; "!A98"), 0, 0), "")</f>
        <v>퀀텀</v>
      </c>
      <c r="H31" s="38">
        <f t="shared" ref="H31:H50" ca="1" si="7">_xlfn.IFNA(VLOOKUP(G31, $B$2:$D$200, 2, FALSE), "")</f>
        <v>16430</v>
      </c>
      <c r="I31" s="76">
        <f t="shared" ref="I31:I50" ca="1" si="8">_xlfn.IFNA(VLOOKUP(G31, $B$2:$D$200, 3, FALSE), "")</f>
        <v>3.0525030999999998E-3</v>
      </c>
      <c r="J31" s="85">
        <f ca="1">_xlfn.IFNA(VLOOKUP(G31, $B$2:$E$200, 4, FALSE), "")</f>
        <v>28662891.728918161</v>
      </c>
      <c r="K31" s="55" t="str">
        <f ca="1">IFERROR(OFFSET(INDIRECT($H$3 &amp; "!A44"), 0, 0), "")</f>
        <v>에스티피</v>
      </c>
      <c r="L31" s="38">
        <f t="shared" ref="L31:L50" ca="1" si="9">_xlfn.IFNA(VLOOKUP(K31, $B$2:$D$200, 2, FALSE), "")</f>
        <v>78.099999999999994</v>
      </c>
      <c r="M31" s="76">
        <f t="shared" ref="M31:M50" ca="1" si="10">_xlfn.IFNA(VLOOKUP(K31, $B$2:$D$200, 3, FALSE), "")</f>
        <v>-4.2892156899999999E-2</v>
      </c>
      <c r="N31" s="85">
        <f ca="1">_xlfn.IFNA(VLOOKUP(K31, $B$2:$E$200, 4, FALSE), "")</f>
        <v>379286967.4849118</v>
      </c>
      <c r="O31" s="55" t="str">
        <f ca="1">IFERROR(OFFSET(INDIRECT($H$3 &amp; "!A71"), 0, 0), "")</f>
        <v>오브스</v>
      </c>
      <c r="P31" s="38">
        <f t="shared" ref="P31:P50" ca="1" si="11">_xlfn.IFNA(VLOOKUP(O31, $B$2:$D$200, 2, FALSE), "")</f>
        <v>113</v>
      </c>
      <c r="Q31" s="76">
        <f t="shared" ref="Q31:Q50" ca="1" si="12">_xlfn.IFNA(VLOOKUP(O31, $B$2:$D$200, 3, FALSE), "")</f>
        <v>-2.5862069000000001E-2</v>
      </c>
      <c r="R31" s="85">
        <f ca="1">_xlfn.IFNA(VLOOKUP(O31, $B$2:$E$200, 4, FALSE), "")</f>
        <v>143169284.02136001</v>
      </c>
    </row>
    <row r="32" spans="1:18">
      <c r="A32" s="40" t="s">
        <v>237</v>
      </c>
      <c r="B32" s="11" t="s">
        <v>238</v>
      </c>
      <c r="C32" s="205">
        <v>108</v>
      </c>
      <c r="D32" s="34">
        <v>-9.1743119000000008E-3</v>
      </c>
      <c r="E32" s="93">
        <v>167825865.8552871</v>
      </c>
      <c r="F32" s="35"/>
      <c r="G32" s="56" t="str">
        <f ca="1">IFERROR(OFFSET(INDIRECT($H$3 &amp; "!A98"), 1, 0), "")</f>
        <v>오브스</v>
      </c>
      <c r="H32" s="39">
        <f t="shared" ca="1" si="7"/>
        <v>113</v>
      </c>
      <c r="I32" s="77">
        <f t="shared" ca="1" si="8"/>
        <v>-2.5862069000000001E-2</v>
      </c>
      <c r="J32" s="86">
        <f t="shared" ref="J32:J50" ca="1" si="13">_xlfn.IFNA(VLOOKUP(G32, $B$2:$E$200, 4, FALSE), "")</f>
        <v>143169284.02136001</v>
      </c>
      <c r="K32" s="56" t="str">
        <f ca="1">IFERROR(OFFSET(INDIRECT($H$3 &amp; "!A44"), 1, 0), "")</f>
        <v>무비블록</v>
      </c>
      <c r="L32" s="39">
        <f t="shared" ca="1" si="9"/>
        <v>11.2</v>
      </c>
      <c r="M32" s="77">
        <f t="shared" ca="1" si="10"/>
        <v>-3.4482758600000003E-2</v>
      </c>
      <c r="N32" s="86">
        <f t="shared" ref="N32:N50" ca="1" si="14">_xlfn.IFNA(VLOOKUP(K32, $B$2:$E$200, 4, FALSE), "")</f>
        <v>1207886072.2238634</v>
      </c>
      <c r="O32" s="56" t="str">
        <f ca="1">IFERROR(OFFSET(INDIRECT($H$3 &amp; "!A71"), 1, 0), "")</f>
        <v>앵커</v>
      </c>
      <c r="P32" s="39">
        <f t="shared" ca="1" si="11"/>
        <v>116</v>
      </c>
      <c r="Q32" s="77">
        <f t="shared" ca="1" si="12"/>
        <v>-1.6949152499999998E-2</v>
      </c>
      <c r="R32" s="86">
        <f t="shared" ref="R32:R50" ca="1" si="15">_xlfn.IFNA(VLOOKUP(O32, $B$2:$E$200, 4, FALSE), "")</f>
        <v>361744655.67061895</v>
      </c>
    </row>
    <row r="33" spans="1:18">
      <c r="A33" s="40" t="s">
        <v>229</v>
      </c>
      <c r="B33" s="11" t="s">
        <v>230</v>
      </c>
      <c r="C33" s="205">
        <v>213</v>
      </c>
      <c r="D33" s="34">
        <v>-9.3023255999999995E-3</v>
      </c>
      <c r="E33" s="93">
        <v>42419761.596612893</v>
      </c>
      <c r="F33" s="35"/>
      <c r="G33" s="56" t="str">
        <f ca="1">IFERROR(OFFSET(INDIRECT($H$3 &amp; "!A98"), 2, 0), "")</f>
        <v>에이다</v>
      </c>
      <c r="H33" s="39">
        <f t="shared" ca="1" si="7"/>
        <v>2480</v>
      </c>
      <c r="I33" s="77">
        <f t="shared" ca="1" si="8"/>
        <v>0</v>
      </c>
      <c r="J33" s="86">
        <f t="shared" ca="1" si="13"/>
        <v>172593845.9148564</v>
      </c>
      <c r="K33" s="56" t="str">
        <f ca="1">IFERROR(OFFSET(INDIRECT($H$3 &amp; "!A44"), 2, 0), "")</f>
        <v>아하토큰</v>
      </c>
      <c r="L33" s="39">
        <f t="shared" ca="1" si="9"/>
        <v>12.6</v>
      </c>
      <c r="M33" s="77">
        <f t="shared" ca="1" si="10"/>
        <v>-2.3255814E-2</v>
      </c>
      <c r="N33" s="86">
        <f t="shared" ca="1" si="14"/>
        <v>467216959.72219229</v>
      </c>
      <c r="O33" s="56" t="str">
        <f ca="1">IFERROR(OFFSET(INDIRECT($H$3 &amp; "!A71"), 2, 0), "")</f>
        <v>스테이터스네트워크토큰</v>
      </c>
      <c r="P33" s="39">
        <f t="shared" ca="1" si="11"/>
        <v>113</v>
      </c>
      <c r="Q33" s="77">
        <f t="shared" ca="1" si="12"/>
        <v>-8.7719297999999998E-3</v>
      </c>
      <c r="R33" s="86">
        <f t="shared" ca="1" si="15"/>
        <v>423718419.14048797</v>
      </c>
    </row>
    <row r="34" spans="1:18">
      <c r="A34" s="40" t="s">
        <v>253</v>
      </c>
      <c r="B34" s="11" t="s">
        <v>254</v>
      </c>
      <c r="C34" s="205">
        <v>315</v>
      </c>
      <c r="D34" s="34">
        <v>-9.4339622999999994E-3</v>
      </c>
      <c r="E34" s="93">
        <v>42140824.493994102</v>
      </c>
      <c r="F34" s="35"/>
      <c r="G34" s="56" t="str">
        <f ca="1">IFERROR(OFFSET(INDIRECT($H$3 &amp; "!A98"), 3, 0), "")</f>
        <v>앵커</v>
      </c>
      <c r="H34" s="39">
        <f t="shared" ca="1" si="7"/>
        <v>116</v>
      </c>
      <c r="I34" s="77">
        <f t="shared" ca="1" si="8"/>
        <v>-1.6949152499999998E-2</v>
      </c>
      <c r="J34" s="86">
        <f t="shared" ca="1" si="13"/>
        <v>361744655.67061895</v>
      </c>
      <c r="K34" s="56" t="str">
        <f ca="1">IFERROR(OFFSET(INDIRECT($H$3 &amp; "!A44"), 3, 0), "")</f>
        <v>시아코인</v>
      </c>
      <c r="L34" s="39">
        <f t="shared" ca="1" si="9"/>
        <v>21.5</v>
      </c>
      <c r="M34" s="77">
        <f t="shared" ca="1" si="10"/>
        <v>-2.7149321300000001E-2</v>
      </c>
      <c r="N34" s="86">
        <f t="shared" ca="1" si="14"/>
        <v>907323478.68587494</v>
      </c>
      <c r="O34" s="56" t="str">
        <f ca="1">IFERROR(OFFSET(INDIRECT($H$3 &amp; "!A71"), 3, 0), "")</f>
        <v>스텔라루멘</v>
      </c>
      <c r="P34" s="39">
        <f t="shared" ca="1" si="11"/>
        <v>419</v>
      </c>
      <c r="Q34" s="77">
        <f t="shared" ca="1" si="12"/>
        <v>7.2115384999999997E-3</v>
      </c>
      <c r="R34" s="86">
        <f t="shared" ca="1" si="15"/>
        <v>176113547.81699979</v>
      </c>
    </row>
    <row r="35" spans="1:18">
      <c r="A35" s="40" t="s">
        <v>99</v>
      </c>
      <c r="B35" s="11" t="s">
        <v>100</v>
      </c>
      <c r="C35" s="205">
        <v>73420</v>
      </c>
      <c r="D35" s="34">
        <v>-9.4441445999999991E-3</v>
      </c>
      <c r="E35" s="93">
        <v>5986501.6100235796</v>
      </c>
      <c r="F35" s="35"/>
      <c r="G35" s="58" t="str">
        <f ca="1">IFERROR(OFFSET(INDIRECT($H$3 &amp; "!A98"), 4, 0), "")</f>
        <v>오미세고</v>
      </c>
      <c r="H35" s="44">
        <f t="shared" ca="1" si="7"/>
        <v>6365</v>
      </c>
      <c r="I35" s="78">
        <f t="shared" ca="1" si="8"/>
        <v>-1.8504240599999999E-2</v>
      </c>
      <c r="J35" s="90">
        <f t="shared" ca="1" si="13"/>
        <v>3351412.9355506701</v>
      </c>
      <c r="K35" s="58" t="str">
        <f ca="1">IFERROR(OFFSET(INDIRECT($H$3 &amp; "!A44"), 4, 0), "")</f>
        <v>스톰엑스</v>
      </c>
      <c r="L35" s="44">
        <f t="shared" ca="1" si="9"/>
        <v>34.1</v>
      </c>
      <c r="M35" s="78">
        <f t="shared" ca="1" si="10"/>
        <v>-3.3994334299999998E-2</v>
      </c>
      <c r="N35" s="90">
        <f t="shared" ca="1" si="14"/>
        <v>394563175.1317274</v>
      </c>
      <c r="O35" s="58" t="str">
        <f ca="1">IFERROR(OFFSET(INDIRECT($H$3 &amp; "!A71"), 4, 0), "")</f>
        <v>크립토닷컴체인</v>
      </c>
      <c r="P35" s="44">
        <f t="shared" ca="1" si="11"/>
        <v>173</v>
      </c>
      <c r="Q35" s="78">
        <f t="shared" ca="1" si="12"/>
        <v>-2.2598870100000001E-2</v>
      </c>
      <c r="R35" s="90">
        <f t="shared" ca="1" si="15"/>
        <v>34094804.538425677</v>
      </c>
    </row>
    <row r="36" spans="1:18">
      <c r="A36" s="40" t="s">
        <v>151</v>
      </c>
      <c r="B36" s="11" t="s">
        <v>152</v>
      </c>
      <c r="C36" s="205">
        <v>102</v>
      </c>
      <c r="D36" s="34">
        <v>-9.7087379000000001E-3</v>
      </c>
      <c r="E36" s="93">
        <v>547663494.49144328</v>
      </c>
      <c r="F36" s="35"/>
      <c r="G36" s="56" t="str">
        <f ca="1">IFERROR(OFFSET(INDIRECT($H$3 &amp; "!A98"), 5, 0), "")</f>
        <v>제로엑스</v>
      </c>
      <c r="H36" s="39">
        <f t="shared" ca="1" si="7"/>
        <v>1200</v>
      </c>
      <c r="I36" s="77">
        <f t="shared" ca="1" si="8"/>
        <v>-2.0408163300000001E-2</v>
      </c>
      <c r="J36" s="99">
        <f t="shared" ca="1" si="13"/>
        <v>18199286.657842211</v>
      </c>
      <c r="K36" s="56" t="str">
        <f ca="1">IFERROR(OFFSET(INDIRECT($H$3 &amp; "!A44"), 5, 0), "")</f>
        <v>쿼크체인</v>
      </c>
      <c r="L36" s="39">
        <f t="shared" ca="1" si="9"/>
        <v>24.1</v>
      </c>
      <c r="M36" s="77">
        <f t="shared" ca="1" si="10"/>
        <v>-3.2128514099999998E-2</v>
      </c>
      <c r="N36" s="99">
        <f t="shared" ca="1" si="14"/>
        <v>373529587.18548191</v>
      </c>
      <c r="O36" s="56" t="str">
        <f ca="1">IFERROR(OFFSET(INDIRECT($H$3 &amp; "!A71"), 5, 0), "")</f>
        <v>시빅</v>
      </c>
      <c r="P36" s="39">
        <f t="shared" ca="1" si="11"/>
        <v>381</v>
      </c>
      <c r="Q36" s="77">
        <f t="shared" ca="1" si="12"/>
        <v>-3.0534351099999999E-2</v>
      </c>
      <c r="R36" s="99">
        <f t="shared" ca="1" si="15"/>
        <v>20691066.33608789</v>
      </c>
    </row>
    <row r="37" spans="1:18">
      <c r="A37" s="40" t="s">
        <v>91</v>
      </c>
      <c r="B37" s="11" t="s">
        <v>92</v>
      </c>
      <c r="C37" s="205">
        <v>71400</v>
      </c>
      <c r="D37" s="34">
        <v>-1.2584704699999999E-2</v>
      </c>
      <c r="E37" s="93">
        <v>518339.23732874001</v>
      </c>
      <c r="F37" s="35"/>
      <c r="G37" s="56" t="str">
        <f ca="1">IFERROR(OFFSET(INDIRECT($H$3 &amp; "!A98"), 6, 0), "")</f>
        <v>에스티피</v>
      </c>
      <c r="H37" s="39">
        <f t="shared" ca="1" si="7"/>
        <v>78.099999999999994</v>
      </c>
      <c r="I37" s="77">
        <f t="shared" ca="1" si="8"/>
        <v>-4.2892156899999999E-2</v>
      </c>
      <c r="J37" s="86">
        <f t="shared" ca="1" si="13"/>
        <v>379286967.4849118</v>
      </c>
      <c r="K37" s="56" t="str">
        <f ca="1">IFERROR(OFFSET(INDIRECT($H$3 &amp; "!A44"), 6, 0), "")</f>
        <v>에브리피디아</v>
      </c>
      <c r="L37" s="39">
        <f t="shared" ca="1" si="9"/>
        <v>17.2</v>
      </c>
      <c r="M37" s="77">
        <f t="shared" ca="1" si="10"/>
        <v>-2.2727272699999999E-2</v>
      </c>
      <c r="N37" s="86">
        <f t="shared" ca="1" si="14"/>
        <v>430279970.51127499</v>
      </c>
      <c r="O37" s="56" t="str">
        <f ca="1">IFERROR(OFFSET(INDIRECT($H$3 &amp; "!A71"), 6, 0), "")</f>
        <v>비체인</v>
      </c>
      <c r="P37" s="39">
        <f t="shared" ca="1" si="11"/>
        <v>143</v>
      </c>
      <c r="Q37" s="77">
        <f t="shared" ca="1" si="12"/>
        <v>2.87769784E-2</v>
      </c>
      <c r="R37" s="86">
        <f t="shared" ca="1" si="15"/>
        <v>635651143.23816228</v>
      </c>
    </row>
    <row r="38" spans="1:18">
      <c r="A38" s="40" t="s">
        <v>73</v>
      </c>
      <c r="B38" s="11" t="s">
        <v>74</v>
      </c>
      <c r="C38" s="205">
        <v>17300</v>
      </c>
      <c r="D38" s="34">
        <v>-1.31203651E-2</v>
      </c>
      <c r="E38" s="93">
        <v>558569.52438488998</v>
      </c>
      <c r="F38" s="35"/>
      <c r="G38" s="56" t="str">
        <f ca="1">IFERROR(OFFSET(INDIRECT($H$3 &amp; "!A98"), 7, 0), "")</f>
        <v>라이트코인</v>
      </c>
      <c r="H38" s="39">
        <f t="shared" ca="1" si="7"/>
        <v>206700</v>
      </c>
      <c r="I38" s="77">
        <f t="shared" ca="1" si="8"/>
        <v>-2.3387668300000001E-2</v>
      </c>
      <c r="J38" s="86">
        <f t="shared" ca="1" si="13"/>
        <v>137771.22810008001</v>
      </c>
      <c r="K38" s="56" t="str">
        <f ca="1">IFERROR(OFFSET(INDIRECT($H$3 &amp; "!A44"), 7, 0), "")</f>
        <v>썸씽</v>
      </c>
      <c r="L38" s="39">
        <f t="shared" ca="1" si="9"/>
        <v>75.900000000000006</v>
      </c>
      <c r="M38" s="77">
        <f t="shared" ca="1" si="10"/>
        <v>-2.31660232E-2</v>
      </c>
      <c r="N38" s="86">
        <f t="shared" ca="1" si="14"/>
        <v>362757094.09962928</v>
      </c>
      <c r="O38" s="56" t="str">
        <f ca="1">IFERROR(OFFSET(INDIRECT($H$3 &amp; "!A71"), 7, 0), "")</f>
        <v>베이직어텐션토큰</v>
      </c>
      <c r="P38" s="39">
        <f t="shared" ca="1" si="11"/>
        <v>878</v>
      </c>
      <c r="Q38" s="77">
        <f t="shared" ca="1" si="12"/>
        <v>-3.5164835200000001E-2</v>
      </c>
      <c r="R38" s="86">
        <f t="shared" ca="1" si="15"/>
        <v>8578182.6128019299</v>
      </c>
    </row>
    <row r="39" spans="1:18">
      <c r="A39" s="40" t="s">
        <v>183</v>
      </c>
      <c r="B39" s="11" t="s">
        <v>184</v>
      </c>
      <c r="C39" s="205">
        <v>1055</v>
      </c>
      <c r="D39" s="34">
        <v>-1.4018691600000001E-2</v>
      </c>
      <c r="E39" s="93">
        <v>40347848.320198901</v>
      </c>
      <c r="F39" s="35"/>
      <c r="G39" s="56" t="str">
        <f ca="1">IFERROR(OFFSET(INDIRECT($H$3 &amp; "!A98"), 8, 0), "")</f>
        <v>스테이터스네트워크토큰</v>
      </c>
      <c r="H39" s="39">
        <f t="shared" ca="1" si="7"/>
        <v>113</v>
      </c>
      <c r="I39" s="77">
        <f t="shared" ca="1" si="8"/>
        <v>-8.7719297999999998E-3</v>
      </c>
      <c r="J39" s="86">
        <f t="shared" ca="1" si="13"/>
        <v>423718419.14048797</v>
      </c>
      <c r="K39" s="56" t="str">
        <f ca="1">IFERROR(OFFSET(INDIRECT($H$3 &amp; "!A44"), 8, 0), "")</f>
        <v>저스트</v>
      </c>
      <c r="L39" s="39">
        <f t="shared" ca="1" si="9"/>
        <v>79.3</v>
      </c>
      <c r="M39" s="77">
        <f t="shared" ca="1" si="10"/>
        <v>-3.0562347199999999E-2</v>
      </c>
      <c r="N39" s="86">
        <f t="shared" ca="1" si="14"/>
        <v>150772601.56696492</v>
      </c>
      <c r="O39" s="56" t="str">
        <f ca="1">IFERROR(OFFSET(INDIRECT($H$3 &amp; "!A71"), 8, 0), "")</f>
        <v>아더</v>
      </c>
      <c r="P39" s="39">
        <f t="shared" ca="1" si="11"/>
        <v>315</v>
      </c>
      <c r="Q39" s="77">
        <f t="shared" ca="1" si="12"/>
        <v>-9.4339622999999994E-3</v>
      </c>
      <c r="R39" s="86">
        <f t="shared" ca="1" si="15"/>
        <v>42140824.493994102</v>
      </c>
    </row>
    <row r="40" spans="1:18" ht="17.25" thickBot="1">
      <c r="A40" s="40" t="s">
        <v>181</v>
      </c>
      <c r="B40" s="11" t="s">
        <v>182</v>
      </c>
      <c r="C40" s="205">
        <v>63010</v>
      </c>
      <c r="D40" s="34">
        <v>-1.5314893E-2</v>
      </c>
      <c r="E40" s="93">
        <v>402303.88018842001</v>
      </c>
      <c r="F40" s="35"/>
      <c r="G40" s="57" t="str">
        <f ca="1">IFERROR(OFFSET(INDIRECT($H$3 &amp; "!A98"), 9, 0), "")</f>
        <v>리플</v>
      </c>
      <c r="H40" s="37">
        <f t="shared" ca="1" si="7"/>
        <v>1320</v>
      </c>
      <c r="I40" s="79">
        <f t="shared" ca="1" si="8"/>
        <v>5.1792828700000001E-2</v>
      </c>
      <c r="J40" s="87">
        <f t="shared" ca="1" si="13"/>
        <v>636378325.27881539</v>
      </c>
      <c r="K40" s="57" t="str">
        <f ca="1">IFERROR(OFFSET(INDIRECT($H$3 &amp; "!A44"), 9, 0), "")</f>
        <v>썬더토큰</v>
      </c>
      <c r="L40" s="37">
        <f t="shared" ca="1" si="9"/>
        <v>13.3</v>
      </c>
      <c r="M40" s="79">
        <f t="shared" ca="1" si="10"/>
        <v>-2.9197080300000001E-2</v>
      </c>
      <c r="N40" s="87">
        <f t="shared" ca="1" si="14"/>
        <v>572866847.21543026</v>
      </c>
      <c r="O40" s="57" t="str">
        <f ca="1">IFERROR(OFFSET(INDIRECT($H$3 &amp; "!A71"), 9, 0), "")</f>
        <v>폴리매쓰</v>
      </c>
      <c r="P40" s="37">
        <f t="shared" ca="1" si="11"/>
        <v>347</v>
      </c>
      <c r="Q40" s="79">
        <f t="shared" ca="1" si="12"/>
        <v>-2.25352113E-2</v>
      </c>
      <c r="R40" s="87">
        <f t="shared" ca="1" si="15"/>
        <v>13438313.92057717</v>
      </c>
    </row>
    <row r="41" spans="1:18">
      <c r="A41" s="40" t="s">
        <v>143</v>
      </c>
      <c r="B41" s="11" t="s">
        <v>144</v>
      </c>
      <c r="C41" s="205">
        <v>116</v>
      </c>
      <c r="D41" s="34">
        <v>-1.6949152499999998E-2</v>
      </c>
      <c r="E41" s="93">
        <v>361744655.67061895</v>
      </c>
      <c r="F41" s="35"/>
      <c r="G41" s="59" t="str">
        <f ca="1">IFERROR(OFFSET(INDIRECT($H$3 &amp; "!A98"), 10, 0), "")</f>
        <v>스텔라루멘</v>
      </c>
      <c r="H41" s="38">
        <f t="shared" ca="1" si="7"/>
        <v>419</v>
      </c>
      <c r="I41" s="76">
        <f t="shared" ca="1" si="8"/>
        <v>7.2115384999999997E-3</v>
      </c>
      <c r="J41" s="85">
        <f t="shared" ca="1" si="13"/>
        <v>176113547.81699979</v>
      </c>
      <c r="K41" s="55" t="str">
        <f ca="1">IFERROR(OFFSET(INDIRECT($H$3 &amp; "!A44"), 10, 0), "")</f>
        <v>아이오에스티</v>
      </c>
      <c r="L41" s="38">
        <f t="shared" ca="1" si="9"/>
        <v>35.700000000000003</v>
      </c>
      <c r="M41" s="76">
        <f t="shared" ca="1" si="10"/>
        <v>-4.0322580599999998E-2</v>
      </c>
      <c r="N41" s="85">
        <f t="shared" ca="1" si="14"/>
        <v>161403981.90463483</v>
      </c>
      <c r="O41" s="55" t="str">
        <f ca="1">IFERROR(OFFSET(INDIRECT($H$3 &amp; "!A71"), 10, 0), "")</f>
        <v>넴</v>
      </c>
      <c r="P41" s="38">
        <f t="shared" ca="1" si="11"/>
        <v>234</v>
      </c>
      <c r="Q41" s="76">
        <f t="shared" ca="1" si="12"/>
        <v>4.2918454999999996E-3</v>
      </c>
      <c r="R41" s="85">
        <f t="shared" ca="1" si="15"/>
        <v>199482866.78469613</v>
      </c>
    </row>
    <row r="42" spans="1:18">
      <c r="A42" s="40" t="s">
        <v>241</v>
      </c>
      <c r="B42" s="11" t="s">
        <v>242</v>
      </c>
      <c r="C42" s="205">
        <v>490</v>
      </c>
      <c r="D42" s="34">
        <v>-1.8036072100000002E-2</v>
      </c>
      <c r="E42" s="93">
        <v>7926266.6690986101</v>
      </c>
      <c r="F42" s="35"/>
      <c r="G42" s="56" t="str">
        <f ca="1">IFERROR(OFFSET(INDIRECT($H$3 &amp; "!A98"), 11, 0), "")</f>
        <v>이더리움</v>
      </c>
      <c r="H42" s="39">
        <f t="shared" ca="1" si="7"/>
        <v>3757000</v>
      </c>
      <c r="I42" s="77">
        <f t="shared" ca="1" si="8"/>
        <v>-1.9572025100000001E-2</v>
      </c>
      <c r="J42" s="86">
        <f t="shared" ca="1" si="13"/>
        <v>68928.731489359998</v>
      </c>
      <c r="K42" s="56" t="str">
        <f ca="1">IFERROR(OFFSET(INDIRECT($H$3 &amp; "!A44"), 11, 0), "")</f>
        <v>리퍼리움</v>
      </c>
      <c r="L42" s="39">
        <f t="shared" ca="1" si="9"/>
        <v>15.2</v>
      </c>
      <c r="M42" s="77">
        <f t="shared" ca="1" si="10"/>
        <v>-3.1847133800000003E-2</v>
      </c>
      <c r="N42" s="86">
        <f t="shared" ca="1" si="14"/>
        <v>666885589.33560479</v>
      </c>
      <c r="O42" s="56" t="str">
        <f ca="1">IFERROR(OFFSET(INDIRECT($H$3 &amp; "!A71"), 11, 0), "")</f>
        <v>트론</v>
      </c>
      <c r="P42" s="39">
        <f t="shared" ca="1" si="11"/>
        <v>102</v>
      </c>
      <c r="Q42" s="77">
        <f t="shared" ca="1" si="12"/>
        <v>-9.7087379000000001E-3</v>
      </c>
      <c r="R42" s="86">
        <f t="shared" ca="1" si="15"/>
        <v>547663494.49144328</v>
      </c>
    </row>
    <row r="43" spans="1:18">
      <c r="A43" s="40" t="s">
        <v>265</v>
      </c>
      <c r="B43" s="11" t="s">
        <v>266</v>
      </c>
      <c r="C43" s="205">
        <v>325</v>
      </c>
      <c r="D43" s="34">
        <v>-1.81268882E-2</v>
      </c>
      <c r="E43" s="93">
        <v>2627901508.5836163</v>
      </c>
      <c r="F43" s="35"/>
      <c r="G43" s="56" t="str">
        <f ca="1">IFERROR(OFFSET(INDIRECT($H$3 &amp; "!A98"), 12, 0), "")</f>
        <v>크립토닷컴체인</v>
      </c>
      <c r="H43" s="39">
        <f t="shared" ca="1" si="7"/>
        <v>173</v>
      </c>
      <c r="I43" s="77">
        <f t="shared" ca="1" si="8"/>
        <v>-2.2598870100000001E-2</v>
      </c>
      <c r="J43" s="86">
        <f t="shared" ca="1" si="13"/>
        <v>34094804.538425677</v>
      </c>
      <c r="K43" s="56" t="str">
        <f ca="1">IFERROR(OFFSET(INDIRECT($H$3 &amp; "!A44"), 12, 0), "")</f>
        <v>메인프레임</v>
      </c>
      <c r="L43" s="39">
        <f t="shared" ca="1" si="9"/>
        <v>14.2</v>
      </c>
      <c r="M43" s="77">
        <f t="shared" ca="1" si="10"/>
        <v>-4.05405405E-2</v>
      </c>
      <c r="N43" s="86">
        <f t="shared" ca="1" si="14"/>
        <v>457974775.154064</v>
      </c>
      <c r="O43" s="56" t="str">
        <f ca="1">IFERROR(OFFSET(INDIRECT($H$3 &amp; "!A71"), 12, 0), "")</f>
        <v>도지코인</v>
      </c>
      <c r="P43" s="39">
        <f t="shared" ca="1" si="11"/>
        <v>325</v>
      </c>
      <c r="Q43" s="77">
        <f t="shared" ca="1" si="12"/>
        <v>-1.81268882E-2</v>
      </c>
      <c r="R43" s="86">
        <f t="shared" ca="1" si="15"/>
        <v>2627901508.5836163</v>
      </c>
    </row>
    <row r="44" spans="1:18">
      <c r="A44" s="40" t="s">
        <v>133</v>
      </c>
      <c r="B44" s="11" t="s">
        <v>134</v>
      </c>
      <c r="C44" s="205">
        <v>25730</v>
      </c>
      <c r="D44" s="34">
        <v>-1.8313620799999999E-2</v>
      </c>
      <c r="E44" s="93">
        <v>1737977.5427997101</v>
      </c>
      <c r="F44" s="35"/>
      <c r="G44" s="56" t="str">
        <f ca="1">IFERROR(OFFSET(INDIRECT($H$3 &amp; "!A98"), 13, 0), "")</f>
        <v>시빅</v>
      </c>
      <c r="H44" s="39">
        <f t="shared" ca="1" si="7"/>
        <v>381</v>
      </c>
      <c r="I44" s="77">
        <f t="shared" ca="1" si="8"/>
        <v>-3.0534351099999999E-2</v>
      </c>
      <c r="J44" s="86">
        <f t="shared" ca="1" si="13"/>
        <v>20691066.33608789</v>
      </c>
      <c r="K44" s="56" t="str">
        <f ca="1">IFERROR(OFFSET(INDIRECT($H$3 &amp; "!A44"), 13, 0), "")</f>
        <v>캐리프로토콜</v>
      </c>
      <c r="L44" s="39">
        <f t="shared" ca="1" si="9"/>
        <v>13.1</v>
      </c>
      <c r="M44" s="77">
        <f t="shared" ca="1" si="10"/>
        <v>-2.9629629599999999E-2</v>
      </c>
      <c r="N44" s="86">
        <f t="shared" ca="1" si="14"/>
        <v>938674944.02644885</v>
      </c>
      <c r="O44" s="56" t="str">
        <f ca="1">IFERROR(OFFSET(INDIRECT($H$3 &amp; "!A71"), 13, 0), "")</f>
        <v>디카르고</v>
      </c>
      <c r="P44" s="39">
        <f t="shared" ca="1" si="11"/>
        <v>192</v>
      </c>
      <c r="Q44" s="77">
        <f t="shared" ca="1" si="12"/>
        <v>0</v>
      </c>
      <c r="R44" s="86">
        <f t="shared" ca="1" si="15"/>
        <v>219752975.48653781</v>
      </c>
    </row>
    <row r="45" spans="1:18">
      <c r="A45" s="40" t="s">
        <v>139</v>
      </c>
      <c r="B45" s="11" t="s">
        <v>140</v>
      </c>
      <c r="C45" s="205">
        <v>6365</v>
      </c>
      <c r="D45" s="34">
        <v>-1.8504240599999999E-2</v>
      </c>
      <c r="E45" s="93">
        <v>3351412.9355506701</v>
      </c>
      <c r="F45" s="35"/>
      <c r="G45" s="58" t="str">
        <f ca="1">IFERROR(OFFSET(INDIRECT($H$3 &amp; "!A98"), 14, 0), "")</f>
        <v>네오</v>
      </c>
      <c r="H45" s="44">
        <f t="shared" ca="1" si="7"/>
        <v>62590</v>
      </c>
      <c r="I45" s="78">
        <f t="shared" ca="1" si="8"/>
        <v>-2.0194113999999999E-2</v>
      </c>
      <c r="J45" s="90">
        <f t="shared" ca="1" si="13"/>
        <v>1354228.2127085601</v>
      </c>
      <c r="K45" s="58" t="str">
        <f ca="1">IFERROR(OFFSET(INDIRECT($H$3 &amp; "!A44"), 14, 0), "")</f>
        <v>비트토렌트</v>
      </c>
      <c r="L45" s="44">
        <f t="shared" ca="1" si="9"/>
        <v>5.47</v>
      </c>
      <c r="M45" s="78">
        <f t="shared" ca="1" si="10"/>
        <v>-2.6690391500000001E-2</v>
      </c>
      <c r="N45" s="90">
        <f t="shared" ca="1" si="14"/>
        <v>36895693856.560944</v>
      </c>
      <c r="O45" s="58" t="str">
        <f ca="1">IFERROR(OFFSET(INDIRECT($H$3 &amp; "!A71"), 14, 0), "")</f>
        <v>스팀</v>
      </c>
      <c r="P45" s="44">
        <f t="shared" ca="1" si="11"/>
        <v>678</v>
      </c>
      <c r="Q45" s="78">
        <f t="shared" ca="1" si="12"/>
        <v>3.3536585399999999E-2</v>
      </c>
      <c r="R45" s="90">
        <f t="shared" ca="1" si="15"/>
        <v>99738063.797470585</v>
      </c>
    </row>
    <row r="46" spans="1:18">
      <c r="A46" s="40" t="s">
        <v>93</v>
      </c>
      <c r="B46" s="11" t="s">
        <v>94</v>
      </c>
      <c r="C46" s="205">
        <v>3757000</v>
      </c>
      <c r="D46" s="34">
        <v>-1.9572025100000001E-2</v>
      </c>
      <c r="E46" s="93">
        <v>68928.731489359998</v>
      </c>
      <c r="F46" s="35"/>
      <c r="G46" s="56" t="str">
        <f ca="1">IFERROR(OFFSET(INDIRECT($H$3 &amp; "!A98"), 15, 0), "")</f>
        <v>스와이프</v>
      </c>
      <c r="H46" s="39">
        <f t="shared" ca="1" si="7"/>
        <v>3995</v>
      </c>
      <c r="I46" s="77">
        <f t="shared" ca="1" si="8"/>
        <v>-3.0339805800000001E-2</v>
      </c>
      <c r="J46" s="99">
        <f t="shared" ca="1" si="13"/>
        <v>2846670.2495968202</v>
      </c>
      <c r="K46" s="56" t="str">
        <f ca="1">IFERROR(OFFSET(INDIRECT($H$3 &amp; "!A44"), 15, 0), "")</f>
        <v>엠블</v>
      </c>
      <c r="L46" s="39">
        <f t="shared" ca="1" si="9"/>
        <v>19.8</v>
      </c>
      <c r="M46" s="77">
        <f t="shared" ca="1" si="10"/>
        <v>-3.4146341500000003E-2</v>
      </c>
      <c r="N46" s="99">
        <f t="shared" ca="1" si="14"/>
        <v>1382772267.3752489</v>
      </c>
      <c r="O46" s="56" t="str">
        <f ca="1">IFERROR(OFFSET(INDIRECT($H$3 &amp; "!A71"), 15, 0), "")</f>
        <v>룸네트워크</v>
      </c>
      <c r="P46" s="39">
        <f t="shared" ca="1" si="11"/>
        <v>108</v>
      </c>
      <c r="Q46" s="77">
        <f t="shared" ca="1" si="12"/>
        <v>-9.1743119000000008E-3</v>
      </c>
      <c r="R46" s="99">
        <f t="shared" ca="1" si="15"/>
        <v>167825865.8552871</v>
      </c>
    </row>
    <row r="47" spans="1:18">
      <c r="A47" s="40" t="s">
        <v>62</v>
      </c>
      <c r="B47" s="11" t="s">
        <v>63</v>
      </c>
      <c r="C47" s="205">
        <v>62590</v>
      </c>
      <c r="D47" s="34">
        <v>-2.0194113999999999E-2</v>
      </c>
      <c r="E47" s="93">
        <v>1354228.2127085601</v>
      </c>
      <c r="F47" s="35"/>
      <c r="G47" s="56" t="str">
        <f ca="1">IFERROR(OFFSET(INDIRECT($H$3 &amp; "!A98"), 16, 0), "")</f>
        <v>체인링크</v>
      </c>
      <c r="H47" s="39">
        <f t="shared" ca="1" si="7"/>
        <v>30980</v>
      </c>
      <c r="I47" s="77">
        <f t="shared" ca="1" si="8"/>
        <v>-3.1269543499999997E-2</v>
      </c>
      <c r="J47" s="86">
        <f t="shared" ca="1" si="13"/>
        <v>730118.71805975004</v>
      </c>
      <c r="K47" s="56" t="str">
        <f ca="1">IFERROR(OFFSET(INDIRECT($H$3 &amp; "!A44"), 16, 0), "")</f>
        <v>메디블록</v>
      </c>
      <c r="L47" s="39">
        <f t="shared" ca="1" si="9"/>
        <v>96.9</v>
      </c>
      <c r="M47" s="77">
        <f t="shared" ca="1" si="10"/>
        <v>-3.0030029999999999E-2</v>
      </c>
      <c r="N47" s="86">
        <f t="shared" ca="1" si="14"/>
        <v>537663279.97667837</v>
      </c>
      <c r="O47" s="56" t="str">
        <f ca="1">IFERROR(OFFSET(INDIRECT($H$3 &amp; "!A71"), 16, 0), "")</f>
        <v>파워렛저</v>
      </c>
      <c r="P47" s="39">
        <f t="shared" ca="1" si="11"/>
        <v>352</v>
      </c>
      <c r="Q47" s="77">
        <f t="shared" ca="1" si="12"/>
        <v>-2.7624309400000002E-2</v>
      </c>
      <c r="R47" s="86">
        <f t="shared" ca="1" si="15"/>
        <v>26993182.11287846</v>
      </c>
    </row>
    <row r="48" spans="1:18">
      <c r="A48" s="40" t="s">
        <v>101</v>
      </c>
      <c r="B48" s="11" t="s">
        <v>102</v>
      </c>
      <c r="C48" s="205">
        <v>1210</v>
      </c>
      <c r="D48" s="34">
        <v>-2.0242915E-2</v>
      </c>
      <c r="E48" s="93">
        <v>15615456.070376709</v>
      </c>
      <c r="F48" s="35"/>
      <c r="G48" s="56" t="str">
        <f ca="1">IFERROR(OFFSET(INDIRECT($H$3 &amp; "!A98"), 17, 0), "")</f>
        <v>비체인</v>
      </c>
      <c r="H48" s="39">
        <f t="shared" ca="1" si="7"/>
        <v>143</v>
      </c>
      <c r="I48" s="77">
        <f t="shared" ca="1" si="8"/>
        <v>2.87769784E-2</v>
      </c>
      <c r="J48" s="86">
        <f t="shared" ca="1" si="13"/>
        <v>635651143.23816228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피르마체인</v>
      </c>
      <c r="P48" s="39">
        <f t="shared" ca="1" si="11"/>
        <v>143</v>
      </c>
      <c r="Q48" s="77">
        <f t="shared" ca="1" si="12"/>
        <v>-2.0547945200000001E-2</v>
      </c>
      <c r="R48" s="86">
        <f t="shared" ca="1" si="15"/>
        <v>59335573.122811243</v>
      </c>
    </row>
    <row r="49" spans="1:18">
      <c r="A49" s="40" t="s">
        <v>103</v>
      </c>
      <c r="B49" s="11" t="s">
        <v>104</v>
      </c>
      <c r="C49" s="205">
        <v>1200</v>
      </c>
      <c r="D49" s="34">
        <v>-2.0408163300000001E-2</v>
      </c>
      <c r="E49" s="93">
        <v>18199286.657842211</v>
      </c>
      <c r="F49" s="35"/>
      <c r="G49" s="56" t="str">
        <f ca="1">IFERROR(OFFSET(INDIRECT($H$3 &amp; "!A98"), 18, 0), "")</f>
        <v>베이직어텐션토큰</v>
      </c>
      <c r="H49" s="39">
        <f t="shared" ca="1" si="7"/>
        <v>878</v>
      </c>
      <c r="I49" s="77">
        <f t="shared" ca="1" si="8"/>
        <v>-3.5164835200000001E-2</v>
      </c>
      <c r="J49" s="86">
        <f t="shared" ca="1" si="13"/>
        <v>8578182.6128019299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센티넬프로토콜</v>
      </c>
      <c r="P49" s="39">
        <f t="shared" ca="1" si="11"/>
        <v>215</v>
      </c>
      <c r="Q49" s="77">
        <f t="shared" ca="1" si="12"/>
        <v>-2.2727272699999999E-2</v>
      </c>
      <c r="R49" s="86">
        <f t="shared" ca="1" si="15"/>
        <v>86604270.123401821</v>
      </c>
    </row>
    <row r="50" spans="1:18" ht="17.25" thickBot="1">
      <c r="A50" s="40" t="s">
        <v>199</v>
      </c>
      <c r="B50" s="11" t="s">
        <v>200</v>
      </c>
      <c r="C50" s="205">
        <v>143</v>
      </c>
      <c r="D50" s="34">
        <v>-2.0547945200000001E-2</v>
      </c>
      <c r="E50" s="93">
        <v>59335573.122811243</v>
      </c>
      <c r="F50" s="35"/>
      <c r="G50" s="57" t="str">
        <f ca="1">IFERROR(OFFSET(INDIRECT($H$3 &amp; "!A98"), 19, 0), "")</f>
        <v>무비블록</v>
      </c>
      <c r="H50" s="37">
        <f t="shared" ca="1" si="7"/>
        <v>11.2</v>
      </c>
      <c r="I50" s="79">
        <f t="shared" ca="1" si="8"/>
        <v>-3.4482758600000003E-2</v>
      </c>
      <c r="J50" s="87">
        <f t="shared" ca="1" si="13"/>
        <v>1207886072.2238634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메타디움</v>
      </c>
      <c r="P50" s="37">
        <f t="shared" ca="1" si="11"/>
        <v>150</v>
      </c>
      <c r="Q50" s="79">
        <f t="shared" ca="1" si="12"/>
        <v>2.0408163300000001E-2</v>
      </c>
      <c r="R50" s="87">
        <f t="shared" ca="1" si="15"/>
        <v>381842887.72246486</v>
      </c>
    </row>
    <row r="51" spans="1:18">
      <c r="A51" s="40" t="s">
        <v>155</v>
      </c>
      <c r="B51" s="11" t="s">
        <v>156</v>
      </c>
      <c r="C51" s="205">
        <v>1895</v>
      </c>
      <c r="D51" s="34">
        <v>-2.0671834600000001E-2</v>
      </c>
      <c r="E51" s="93">
        <v>7899154.8787333397</v>
      </c>
      <c r="F51" s="35"/>
    </row>
    <row r="52" spans="1:18" ht="17.25" thickBot="1">
      <c r="A52" s="40" t="s">
        <v>48</v>
      </c>
      <c r="B52" s="11" t="s">
        <v>49</v>
      </c>
      <c r="C52" s="205">
        <v>53976000</v>
      </c>
      <c r="D52" s="34">
        <v>-2.1216407400000001E-2</v>
      </c>
      <c r="E52" s="93">
        <v>7619.1117597000002</v>
      </c>
      <c r="F52" s="35"/>
    </row>
    <row r="53" spans="1:18" ht="17.25" thickBot="1">
      <c r="A53" s="40" t="s">
        <v>167</v>
      </c>
      <c r="B53" s="11" t="s">
        <v>168</v>
      </c>
      <c r="C53" s="205">
        <v>1605</v>
      </c>
      <c r="D53" s="34">
        <v>-2.13414634E-2</v>
      </c>
      <c r="E53" s="93">
        <v>12526439.52187665</v>
      </c>
      <c r="F53" s="35"/>
      <c r="G53" s="215" t="s">
        <v>255</v>
      </c>
      <c r="H53" s="216"/>
      <c r="I53" s="216"/>
      <c r="J53" s="217"/>
      <c r="K53" s="215" t="s">
        <v>258</v>
      </c>
      <c r="L53" s="216"/>
      <c r="M53" s="216"/>
      <c r="N53" s="217"/>
      <c r="O53" s="215" t="s">
        <v>259</v>
      </c>
      <c r="P53" s="216"/>
      <c r="Q53" s="216"/>
      <c r="R53" s="217"/>
    </row>
    <row r="54" spans="1:18" ht="17.25" thickBot="1">
      <c r="A54" s="40" t="s">
        <v>211</v>
      </c>
      <c r="B54" s="11" t="s">
        <v>212</v>
      </c>
      <c r="C54" s="205">
        <v>1325</v>
      </c>
      <c r="D54" s="34">
        <v>-2.21402214E-2</v>
      </c>
      <c r="E54" s="93">
        <v>30498833.383427419</v>
      </c>
      <c r="F54" s="35"/>
      <c r="G54" s="280" t="s">
        <v>55</v>
      </c>
      <c r="H54" s="292">
        <f ca="1">NOW()</f>
        <v>44422.917164583334</v>
      </c>
      <c r="I54" s="293"/>
      <c r="J54" s="294"/>
      <c r="K54" s="283" t="s">
        <v>55</v>
      </c>
      <c r="L54" s="292">
        <f ca="1">NOW()</f>
        <v>44422.917164583334</v>
      </c>
      <c r="M54" s="293"/>
      <c r="N54" s="294"/>
      <c r="O54" s="283" t="s">
        <v>55</v>
      </c>
      <c r="P54" s="292">
        <f ca="1">NOW()</f>
        <v>44422.917164583334</v>
      </c>
      <c r="Q54" s="293"/>
      <c r="R54" s="294"/>
    </row>
    <row r="55" spans="1:18" ht="17.25" thickBot="1">
      <c r="A55" s="40" t="s">
        <v>87</v>
      </c>
      <c r="B55" s="11" t="s">
        <v>88</v>
      </c>
      <c r="C55" s="205">
        <v>190900</v>
      </c>
      <c r="D55" s="34">
        <v>-2.2279129299999999E-2</v>
      </c>
      <c r="E55" s="93">
        <v>81035.884826399997</v>
      </c>
      <c r="F55" s="35"/>
      <c r="G55" s="277"/>
      <c r="H55" s="36" t="s">
        <v>58</v>
      </c>
      <c r="I55" s="73" t="s">
        <v>59</v>
      </c>
      <c r="J55" s="69" t="s">
        <v>264</v>
      </c>
      <c r="K55" s="277"/>
      <c r="L55" s="36" t="s">
        <v>58</v>
      </c>
      <c r="M55" s="73" t="s">
        <v>59</v>
      </c>
      <c r="N55" s="69" t="s">
        <v>264</v>
      </c>
      <c r="O55" s="277"/>
      <c r="P55" s="36" t="s">
        <v>58</v>
      </c>
      <c r="Q55" s="73" t="s">
        <v>59</v>
      </c>
      <c r="R55" s="69" t="s">
        <v>264</v>
      </c>
    </row>
    <row r="56" spans="1:18">
      <c r="A56" s="40" t="s">
        <v>205</v>
      </c>
      <c r="B56" s="11" t="s">
        <v>206</v>
      </c>
      <c r="C56" s="205">
        <v>347</v>
      </c>
      <c r="D56" s="34">
        <v>-2.25352113E-2</v>
      </c>
      <c r="E56" s="93">
        <v>13438313.92057717</v>
      </c>
      <c r="F56" s="35"/>
      <c r="G56" s="55" t="str">
        <f ca="1">IFERROR(OFFSET(INDIRECT($H$3 &amp; "!A179"), 0, 0), "")</f>
        <v>코박토큰</v>
      </c>
      <c r="H56" s="38">
        <f t="shared" ref="H56:H65" ca="1" si="16">_xlfn.IFNA(VLOOKUP(G56, $B$2:$D$200, 2, FALSE), "")</f>
        <v>5015</v>
      </c>
      <c r="I56" s="76">
        <f t="shared" ref="I56:I65" ca="1" si="17">_xlfn.IFNA(VLOOKUP(G56, $B$2:$D$200, 3, FALSE), "")</f>
        <v>2.3469387800000002E-2</v>
      </c>
      <c r="J56" s="85">
        <f ca="1">_xlfn.IFNA(VLOOKUP(G56, $B$2:$E$200, 4, FALSE), "")</f>
        <v>15318576.68045181</v>
      </c>
      <c r="K56" s="55" t="str">
        <f ca="1">IFERROR(OFFSET(INDIRECT($H$3 &amp; "!A125"), 0, 0), "")</f>
        <v>에스티피</v>
      </c>
      <c r="L56" s="38">
        <f t="shared" ref="L56:L75" ca="1" si="18">_xlfn.IFNA(VLOOKUP(K56, $B$2:$D$200, 2, FALSE), "")</f>
        <v>78.099999999999994</v>
      </c>
      <c r="M56" s="76">
        <f t="shared" ref="M56:M75" ca="1" si="19">_xlfn.IFNA(VLOOKUP(K56, $B$2:$D$200, 3, FALSE), "")</f>
        <v>-4.2892156899999999E-2</v>
      </c>
      <c r="N56" s="85">
        <f ca="1">_xlfn.IFNA(VLOOKUP(K56, $B$2:$E$200, 4, FALSE), "")</f>
        <v>379286967.4849118</v>
      </c>
      <c r="O56" s="55" t="str">
        <f ca="1">IFERROR(OFFSET(INDIRECT($H$3 &amp; "!A152"), 0, 0), "")</f>
        <v>파워렛저</v>
      </c>
      <c r="P56" s="38">
        <f t="shared" ref="P56:P75" ca="1" si="20">_xlfn.IFNA(VLOOKUP(O56, $B$2:$D$200, 2, FALSE), "")</f>
        <v>352</v>
      </c>
      <c r="Q56" s="76">
        <f t="shared" ref="Q56:Q75" ca="1" si="21">_xlfn.IFNA(VLOOKUP(O56, $B$2:$D$200, 3, FALSE), "")</f>
        <v>-2.7624309400000002E-2</v>
      </c>
      <c r="R56" s="85">
        <f ca="1">_xlfn.IFNA(VLOOKUP(O56, $B$2:$E$200, 4, FALSE), "")</f>
        <v>26993182.11287846</v>
      </c>
    </row>
    <row r="57" spans="1:18">
      <c r="A57" s="40" t="s">
        <v>117</v>
      </c>
      <c r="B57" s="11" t="s">
        <v>118</v>
      </c>
      <c r="C57" s="205">
        <v>173</v>
      </c>
      <c r="D57" s="34">
        <v>-2.2598870100000001E-2</v>
      </c>
      <c r="E57" s="93">
        <v>34094804.538425677</v>
      </c>
      <c r="F57" s="35"/>
      <c r="G57" s="56" t="str">
        <f ca="1">IFERROR(OFFSET(INDIRECT($H$3 &amp; "!A179"), 1, 0), "")</f>
        <v>어거</v>
      </c>
      <c r="H57" s="39">
        <f t="shared" ca="1" si="16"/>
        <v>32670</v>
      </c>
      <c r="I57" s="77">
        <f t="shared" ca="1" si="17"/>
        <v>3.3783784000000002E-3</v>
      </c>
      <c r="J57" s="86">
        <f t="shared" ref="J57:J75" ca="1" si="22">_xlfn.IFNA(VLOOKUP(G57, $B$2:$E$200, 4, FALSE), "")</f>
        <v>2504135.1409128099</v>
      </c>
      <c r="K57" s="56" t="str">
        <f ca="1">IFERROR(OFFSET(INDIRECT($H$3 &amp; "!A125"), 1, 0), "")</f>
        <v>무비블록</v>
      </c>
      <c r="L57" s="39">
        <f t="shared" ca="1" si="18"/>
        <v>11.2</v>
      </c>
      <c r="M57" s="77">
        <f t="shared" ca="1" si="19"/>
        <v>-3.4482758600000003E-2</v>
      </c>
      <c r="N57" s="86">
        <f t="shared" ref="N57:N75" ca="1" si="23">_xlfn.IFNA(VLOOKUP(K57, $B$2:$E$200, 4, FALSE), "")</f>
        <v>1207886072.2238634</v>
      </c>
      <c r="O57" s="56" t="str">
        <f ca="1">IFERROR(OFFSET(INDIRECT($H$3 &amp; "!A152"), 1, 0), "")</f>
        <v>피르마체인</v>
      </c>
      <c r="P57" s="39">
        <f t="shared" ca="1" si="20"/>
        <v>143</v>
      </c>
      <c r="Q57" s="77">
        <f t="shared" ca="1" si="21"/>
        <v>-2.0547945200000001E-2</v>
      </c>
      <c r="R57" s="86">
        <f t="shared" ref="R57:R75" ca="1" si="24">_xlfn.IFNA(VLOOKUP(O57, $B$2:$E$200, 4, FALSE), "")</f>
        <v>59335573.122811243</v>
      </c>
    </row>
    <row r="58" spans="1:18">
      <c r="A58" s="40" t="s">
        <v>177</v>
      </c>
      <c r="B58" s="11" t="s">
        <v>178</v>
      </c>
      <c r="C58" s="205">
        <v>17.2</v>
      </c>
      <c r="D58" s="34">
        <v>-2.2727272699999999E-2</v>
      </c>
      <c r="E58" s="93">
        <v>430279970.51127499</v>
      </c>
      <c r="F58" s="35"/>
      <c r="G58" s="56" t="str">
        <f ca="1">IFERROR(OFFSET(INDIRECT($H$3 &amp; "!A179"), 2, 0), "")</f>
        <v>아이오에스티</v>
      </c>
      <c r="H58" s="39">
        <f t="shared" ca="1" si="16"/>
        <v>35.700000000000003</v>
      </c>
      <c r="I58" s="77">
        <f t="shared" ca="1" si="17"/>
        <v>-4.0322580599999998E-2</v>
      </c>
      <c r="J58" s="86">
        <f t="shared" ca="1" si="22"/>
        <v>161403981.90463483</v>
      </c>
      <c r="K58" s="56" t="str">
        <f ca="1">IFERROR(OFFSET(INDIRECT($H$3 &amp; "!A125"), 2, 0), "")</f>
        <v>아하토큰</v>
      </c>
      <c r="L58" s="39">
        <f t="shared" ca="1" si="18"/>
        <v>12.6</v>
      </c>
      <c r="M58" s="77">
        <f t="shared" ca="1" si="19"/>
        <v>-2.3255814E-2</v>
      </c>
      <c r="N58" s="86">
        <f t="shared" ca="1" si="23"/>
        <v>467216959.72219229</v>
      </c>
      <c r="O58" s="56" t="str">
        <f ca="1">IFERROR(OFFSET(INDIRECT($H$3 &amp; "!A152"), 2, 0), "")</f>
        <v>센티넬프로토콜</v>
      </c>
      <c r="P58" s="39">
        <f t="shared" ca="1" si="20"/>
        <v>215</v>
      </c>
      <c r="Q58" s="77">
        <f t="shared" ca="1" si="21"/>
        <v>-2.2727272699999999E-2</v>
      </c>
      <c r="R58" s="86">
        <f t="shared" ca="1" si="24"/>
        <v>86604270.123401821</v>
      </c>
    </row>
    <row r="59" spans="1:18">
      <c r="A59" s="40" t="s">
        <v>219</v>
      </c>
      <c r="B59" s="11" t="s">
        <v>220</v>
      </c>
      <c r="C59" s="205">
        <v>215</v>
      </c>
      <c r="D59" s="34">
        <v>-2.2727272699999999E-2</v>
      </c>
      <c r="E59" s="93">
        <v>86604270.123401821</v>
      </c>
      <c r="F59" s="35"/>
      <c r="G59" s="56" t="str">
        <f ca="1">IFERROR(OFFSET(INDIRECT($H$3 &amp; "!A179"), 3, 0), "")</f>
        <v>리퍼리움</v>
      </c>
      <c r="H59" s="39">
        <f t="shared" ca="1" si="16"/>
        <v>15.2</v>
      </c>
      <c r="I59" s="77">
        <f t="shared" ca="1" si="17"/>
        <v>-3.1847133800000003E-2</v>
      </c>
      <c r="J59" s="86">
        <f t="shared" ca="1" si="22"/>
        <v>666885589.33560479</v>
      </c>
      <c r="K59" s="56" t="str">
        <f ca="1">IFERROR(OFFSET(INDIRECT($H$3 &amp; "!A125"), 3, 0), "")</f>
        <v>시아코인</v>
      </c>
      <c r="L59" s="39">
        <f t="shared" ca="1" si="18"/>
        <v>21.5</v>
      </c>
      <c r="M59" s="77">
        <f t="shared" ca="1" si="19"/>
        <v>-2.7149321300000001E-2</v>
      </c>
      <c r="N59" s="86">
        <f t="shared" ca="1" si="23"/>
        <v>907323478.68587494</v>
      </c>
      <c r="O59" s="56" t="str">
        <f ca="1">IFERROR(OFFSET(INDIRECT($H$3 &amp; "!A152"), 3, 0), "")</f>
        <v>메타디움</v>
      </c>
      <c r="P59" s="39">
        <f t="shared" ca="1" si="20"/>
        <v>150</v>
      </c>
      <c r="Q59" s="77">
        <f t="shared" ca="1" si="21"/>
        <v>2.0408163300000001E-2</v>
      </c>
      <c r="R59" s="86">
        <f t="shared" ca="1" si="24"/>
        <v>381842887.72246486</v>
      </c>
    </row>
    <row r="60" spans="1:18">
      <c r="A60" s="40" t="s">
        <v>233</v>
      </c>
      <c r="B60" s="11" t="s">
        <v>234</v>
      </c>
      <c r="C60" s="205">
        <v>75.900000000000006</v>
      </c>
      <c r="D60" s="34">
        <v>-2.31660232E-2</v>
      </c>
      <c r="E60" s="93">
        <v>362757094.09962928</v>
      </c>
      <c r="F60" s="35"/>
      <c r="G60" s="56" t="str">
        <f ca="1">IFERROR(OFFSET(INDIRECT($H$3 &amp; "!A179"), 4, 0), "")</f>
        <v>메인프레임</v>
      </c>
      <c r="H60" s="39">
        <f t="shared" ca="1" si="16"/>
        <v>14.2</v>
      </c>
      <c r="I60" s="77">
        <f t="shared" ca="1" si="17"/>
        <v>-4.05405405E-2</v>
      </c>
      <c r="J60" s="90">
        <f t="shared" ca="1" si="22"/>
        <v>457974775.154064</v>
      </c>
      <c r="K60" s="58" t="str">
        <f ca="1">IFERROR(OFFSET(INDIRECT($H$3 &amp; "!A125"), 4, 0), "")</f>
        <v>스톰엑스</v>
      </c>
      <c r="L60" s="44">
        <f t="shared" ca="1" si="18"/>
        <v>34.1</v>
      </c>
      <c r="M60" s="78">
        <f t="shared" ca="1" si="19"/>
        <v>-3.3994334299999998E-2</v>
      </c>
      <c r="N60" s="90">
        <f t="shared" ca="1" si="23"/>
        <v>394563175.1317274</v>
      </c>
      <c r="O60" s="58" t="str">
        <f ca="1">IFERROR(OFFSET(INDIRECT($H$3 &amp; "!A152"), 4, 0), "")</f>
        <v>헤데라해시그래프</v>
      </c>
      <c r="P60" s="44">
        <f t="shared" ca="1" si="20"/>
        <v>279</v>
      </c>
      <c r="Q60" s="78">
        <f t="shared" ca="1" si="21"/>
        <v>4.1044776099999999E-2</v>
      </c>
      <c r="R60" s="90">
        <f t="shared" ca="1" si="24"/>
        <v>47511240.617363431</v>
      </c>
    </row>
    <row r="61" spans="1:18">
      <c r="A61" s="40" t="s">
        <v>209</v>
      </c>
      <c r="B61" s="11" t="s">
        <v>210</v>
      </c>
      <c r="C61" s="205">
        <v>12.6</v>
      </c>
      <c r="D61" s="34">
        <v>-2.3255814E-2</v>
      </c>
      <c r="E61" s="93">
        <v>467216959.72219229</v>
      </c>
      <c r="F61" s="35"/>
      <c r="G61" s="60" t="str">
        <f ca="1">IFERROR(OFFSET(INDIRECT($H$3 &amp; "!A179"), 5, 0), "")</f>
        <v>캐리프로토콜</v>
      </c>
      <c r="H61" s="45">
        <f t="shared" ca="1" si="16"/>
        <v>13.1</v>
      </c>
      <c r="I61" s="80">
        <f t="shared" ca="1" si="17"/>
        <v>-2.9629629599999999E-2</v>
      </c>
      <c r="J61" s="99">
        <f t="shared" ca="1" si="22"/>
        <v>938674944.02644885</v>
      </c>
      <c r="K61" s="56" t="str">
        <f ca="1">IFERROR(OFFSET(INDIRECT($H$3 &amp; "!A125"), 5, 0), "")</f>
        <v>쿼크체인</v>
      </c>
      <c r="L61" s="39">
        <f t="shared" ca="1" si="18"/>
        <v>24.1</v>
      </c>
      <c r="M61" s="77">
        <f t="shared" ca="1" si="19"/>
        <v>-3.2128514099999998E-2</v>
      </c>
      <c r="N61" s="99">
        <f t="shared" ca="1" si="23"/>
        <v>373529587.18548191</v>
      </c>
      <c r="O61" s="56" t="str">
        <f ca="1">IFERROR(OFFSET(INDIRECT($H$3 &amp; "!A152"), 5, 0), "")</f>
        <v>엘프</v>
      </c>
      <c r="P61" s="39">
        <f t="shared" ca="1" si="20"/>
        <v>323</v>
      </c>
      <c r="Q61" s="77">
        <f t="shared" ca="1" si="21"/>
        <v>-2.71084337E-2</v>
      </c>
      <c r="R61" s="99">
        <f t="shared" ca="1" si="24"/>
        <v>24876241.493331362</v>
      </c>
    </row>
    <row r="62" spans="1:18">
      <c r="A62" s="40" t="s">
        <v>125</v>
      </c>
      <c r="B62" s="11" t="s">
        <v>126</v>
      </c>
      <c r="C62" s="205">
        <v>206700</v>
      </c>
      <c r="D62" s="34">
        <v>-2.3387668300000001E-2</v>
      </c>
      <c r="E62" s="93">
        <v>137771.22810008001</v>
      </c>
      <c r="F62" s="35"/>
      <c r="G62" s="56" t="str">
        <f ca="1">IFERROR(OFFSET(INDIRECT($H$3 &amp; "!A179"), 6, 0), "")</f>
        <v>헌트</v>
      </c>
      <c r="H62" s="39">
        <f t="shared" ca="1" si="16"/>
        <v>413</v>
      </c>
      <c r="I62" s="77">
        <f t="shared" ca="1" si="17"/>
        <v>7.3170732000000004E-3</v>
      </c>
      <c r="J62" s="86">
        <f t="shared" ca="1" si="22"/>
        <v>41564220.562278718</v>
      </c>
      <c r="K62" s="56" t="str">
        <f ca="1">IFERROR(OFFSET(INDIRECT($H$3 &amp; "!A125"), 6, 0), "")</f>
        <v>에브리피디아</v>
      </c>
      <c r="L62" s="39">
        <f t="shared" ca="1" si="18"/>
        <v>17.2</v>
      </c>
      <c r="M62" s="77">
        <f t="shared" ca="1" si="19"/>
        <v>-2.2727272699999999E-2</v>
      </c>
      <c r="N62" s="86">
        <f t="shared" ca="1" si="23"/>
        <v>430279970.51127499</v>
      </c>
      <c r="O62" s="56" t="str">
        <f ca="1">IFERROR(OFFSET(INDIRECT($H$3 &amp; "!A152"), 6, 0), "")</f>
        <v>그로스톨코인</v>
      </c>
      <c r="P62" s="39">
        <f t="shared" ca="1" si="20"/>
        <v>998</v>
      </c>
      <c r="Q62" s="77">
        <f t="shared" ca="1" si="21"/>
        <v>-3.1067961200000001E-2</v>
      </c>
      <c r="R62" s="86">
        <f t="shared" ca="1" si="24"/>
        <v>7746201.8726060698</v>
      </c>
    </row>
    <row r="63" spans="1:18">
      <c r="A63" s="40" t="s">
        <v>159</v>
      </c>
      <c r="B63" s="11" t="s">
        <v>160</v>
      </c>
      <c r="C63" s="205">
        <v>1415</v>
      </c>
      <c r="D63" s="34">
        <v>-2.4137931000000001E-2</v>
      </c>
      <c r="E63" s="93">
        <v>5472096.9029747201</v>
      </c>
      <c r="F63" s="35"/>
      <c r="G63" s="56" t="str">
        <f ca="1">IFERROR(OFFSET(INDIRECT($H$3 &amp; "!A179"), 7, 0), "")</f>
        <v>플레이댑</v>
      </c>
      <c r="H63" s="39">
        <f t="shared" ca="1" si="16"/>
        <v>1095</v>
      </c>
      <c r="I63" s="77">
        <f t="shared" ca="1" si="17"/>
        <v>-7.9831932800000005E-2</v>
      </c>
      <c r="J63" s="86">
        <f t="shared" ca="1" si="22"/>
        <v>96507758.975011483</v>
      </c>
      <c r="K63" s="56" t="str">
        <f ca="1">IFERROR(OFFSET(INDIRECT($H$3 &amp; "!A125"), 7, 0), "")</f>
        <v>썸씽</v>
      </c>
      <c r="L63" s="39">
        <f t="shared" ca="1" si="18"/>
        <v>75.900000000000006</v>
      </c>
      <c r="M63" s="77">
        <f t="shared" ca="1" si="19"/>
        <v>-2.31660232E-2</v>
      </c>
      <c r="N63" s="86">
        <f t="shared" ca="1" si="23"/>
        <v>362757094.09962928</v>
      </c>
      <c r="O63" s="56" t="str">
        <f ca="1">IFERROR(OFFSET(INDIRECT($H$3 &amp; "!A152"), 7, 0), "")</f>
        <v>아르고</v>
      </c>
      <c r="P63" s="39">
        <f t="shared" ca="1" si="20"/>
        <v>235</v>
      </c>
      <c r="Q63" s="77">
        <f t="shared" ca="1" si="21"/>
        <v>-3.2921810699999998E-2</v>
      </c>
      <c r="R63" s="86">
        <f t="shared" ca="1" si="24"/>
        <v>37082931.05095239</v>
      </c>
    </row>
    <row r="64" spans="1:18">
      <c r="A64" s="40" t="s">
        <v>115</v>
      </c>
      <c r="B64" s="11" t="s">
        <v>116</v>
      </c>
      <c r="C64" s="205">
        <v>6945</v>
      </c>
      <c r="D64" s="34">
        <v>-2.4578651699999999E-2</v>
      </c>
      <c r="E64" s="93">
        <v>1534594.31207934</v>
      </c>
      <c r="F64" s="35"/>
      <c r="G64" s="56" t="str">
        <f ca="1">IFERROR(OFFSET(INDIRECT($H$3 &amp; "!A179"), 8, 0), "")</f>
        <v>알파쿼크</v>
      </c>
      <c r="H64" s="39">
        <f t="shared" ca="1" si="16"/>
        <v>5250</v>
      </c>
      <c r="I64" s="77">
        <f t="shared" ca="1" si="17"/>
        <v>5.5276381899999998E-2</v>
      </c>
      <c r="J64" s="86">
        <f t="shared" ca="1" si="22"/>
        <v>35979356.157234922</v>
      </c>
      <c r="K64" s="56" t="str">
        <f ca="1">IFERROR(OFFSET(INDIRECT($H$3 &amp; "!A125"), 8, 0), "")</f>
        <v>저스트</v>
      </c>
      <c r="L64" s="39">
        <f t="shared" ca="1" si="18"/>
        <v>79.3</v>
      </c>
      <c r="M64" s="77">
        <f t="shared" ca="1" si="19"/>
        <v>-3.0562347199999999E-2</v>
      </c>
      <c r="N64" s="86">
        <f t="shared" ca="1" si="23"/>
        <v>150772601.56696492</v>
      </c>
      <c r="O64" s="56" t="str">
        <f ca="1">IFERROR(OFFSET(INDIRECT($H$3 &amp; "!A152"), 8, 0), "")</f>
        <v>질리카</v>
      </c>
      <c r="P64" s="39">
        <f t="shared" ca="1" si="20"/>
        <v>127</v>
      </c>
      <c r="Q64" s="77">
        <f t="shared" ca="1" si="21"/>
        <v>4.9586776899999997E-2</v>
      </c>
      <c r="R64" s="86">
        <f t="shared" ca="1" si="24"/>
        <v>568701157.66997898</v>
      </c>
    </row>
    <row r="65" spans="1:18" ht="17.25" thickBot="1">
      <c r="A65" s="40" t="s">
        <v>175</v>
      </c>
      <c r="B65" s="11" t="s">
        <v>176</v>
      </c>
      <c r="C65" s="205">
        <v>1580</v>
      </c>
      <c r="D65" s="34">
        <v>-2.4691358E-2</v>
      </c>
      <c r="E65" s="93">
        <v>2965436.3176078801</v>
      </c>
      <c r="F65" s="35"/>
      <c r="G65" s="57" t="str">
        <f ca="1">IFERROR(OFFSET(INDIRECT($H$3 &amp; "!A179"), 9, 0), "")</f>
        <v>스트라이크</v>
      </c>
      <c r="H65" s="37">
        <f t="shared" ca="1" si="16"/>
        <v>63010</v>
      </c>
      <c r="I65" s="79">
        <f t="shared" ca="1" si="17"/>
        <v>-1.5314893E-2</v>
      </c>
      <c r="J65" s="87">
        <f t="shared" ca="1" si="22"/>
        <v>402303.88018842001</v>
      </c>
      <c r="K65" s="57" t="str">
        <f ca="1">IFERROR(OFFSET(INDIRECT($H$3 &amp; "!A125"), 9, 0), "")</f>
        <v>썬더토큰</v>
      </c>
      <c r="L65" s="37">
        <f t="shared" ca="1" si="18"/>
        <v>13.3</v>
      </c>
      <c r="M65" s="79">
        <f t="shared" ca="1" si="19"/>
        <v>-2.9197080300000001E-2</v>
      </c>
      <c r="N65" s="87">
        <f t="shared" ca="1" si="23"/>
        <v>572866847.21543026</v>
      </c>
      <c r="O65" s="57" t="str">
        <f ca="1">IFERROR(OFFSET(INDIRECT($H$3 &amp; "!A152"), 9, 0), "")</f>
        <v>골렘</v>
      </c>
      <c r="P65" s="37">
        <f t="shared" ca="1" si="20"/>
        <v>490</v>
      </c>
      <c r="Q65" s="79">
        <f t="shared" ca="1" si="21"/>
        <v>-1.8036072100000002E-2</v>
      </c>
      <c r="R65" s="87">
        <f t="shared" ca="1" si="24"/>
        <v>7926266.6690986101</v>
      </c>
    </row>
    <row r="66" spans="1:18">
      <c r="A66" s="40" t="s">
        <v>60</v>
      </c>
      <c r="B66" s="11" t="s">
        <v>61</v>
      </c>
      <c r="C66" s="205">
        <v>946</v>
      </c>
      <c r="D66" s="34">
        <v>-2.57466529E-2</v>
      </c>
      <c r="E66" s="93">
        <v>31167927.949226812</v>
      </c>
      <c r="F66" s="35"/>
      <c r="G66" s="56" t="str">
        <f ca="1">IFERROR(OFFSET(INDIRECT($H$3 &amp; "!A179"), 10, 0), "")</f>
        <v>비트코인캐시에이비씨</v>
      </c>
      <c r="H66" s="38">
        <f t="shared" ref="H66:H75" ca="1" si="25">_xlfn.IFNA(VLOOKUP(G66, $B$2:$D$200, 2, FALSE), "")</f>
        <v>63650</v>
      </c>
      <c r="I66" s="76">
        <f t="shared" ref="I66:I75" ca="1" si="26">_xlfn.IFNA(VLOOKUP(G66, $B$2:$D$200, 3, FALSE), "")</f>
        <v>-3.5167500400000003E-2</v>
      </c>
      <c r="J66" s="85">
        <f t="shared" ca="1" si="22"/>
        <v>754628.59669686004</v>
      </c>
      <c r="K66" s="55" t="str">
        <f ca="1">IFERROR(OFFSET(INDIRECT($H$3 &amp; "!A125"), 10, 0), "")</f>
        <v>아이오에스티</v>
      </c>
      <c r="L66" s="38">
        <f t="shared" ca="1" si="18"/>
        <v>35.700000000000003</v>
      </c>
      <c r="M66" s="76">
        <f t="shared" ca="1" si="19"/>
        <v>-4.0322580599999998E-2</v>
      </c>
      <c r="N66" s="85">
        <f t="shared" ca="1" si="23"/>
        <v>161403981.90463483</v>
      </c>
      <c r="O66" s="55" t="str">
        <f ca="1">IFERROR(OFFSET(INDIRECT($H$3 &amp; "!A152"), 10, 0), "")</f>
        <v>휴먼스케이프</v>
      </c>
      <c r="P66" s="38">
        <f t="shared" ca="1" si="20"/>
        <v>137</v>
      </c>
      <c r="Q66" s="76">
        <f t="shared" ca="1" si="21"/>
        <v>7.3529412000000001E-3</v>
      </c>
      <c r="R66" s="85">
        <f t="shared" ca="1" si="24"/>
        <v>151067330.53761843</v>
      </c>
    </row>
    <row r="67" spans="1:18">
      <c r="A67" s="40" t="s">
        <v>129</v>
      </c>
      <c r="B67" s="11" t="s">
        <v>130</v>
      </c>
      <c r="C67" s="205">
        <v>113</v>
      </c>
      <c r="D67" s="34">
        <v>-2.5862069000000001E-2</v>
      </c>
      <c r="E67" s="93">
        <v>143169284.02136001</v>
      </c>
      <c r="F67" s="35"/>
      <c r="G67" s="56" t="str">
        <f ca="1">IFERROR(OFFSET(INDIRECT($H$3 &amp; "!A179"), 11, 0), "")</f>
        <v>보라</v>
      </c>
      <c r="H67" s="39">
        <f t="shared" ca="1" si="25"/>
        <v>259</v>
      </c>
      <c r="I67" s="77">
        <f t="shared" ca="1" si="26"/>
        <v>-2.99625468E-2</v>
      </c>
      <c r="J67" s="86">
        <f t="shared" ca="1" si="22"/>
        <v>191589283.33017749</v>
      </c>
      <c r="K67" s="56" t="str">
        <f ca="1">IFERROR(OFFSET(INDIRECT($H$3 &amp; "!A125"), 11, 0), "")</f>
        <v>리퍼리움</v>
      </c>
      <c r="L67" s="39">
        <f t="shared" ca="1" si="18"/>
        <v>15.2</v>
      </c>
      <c r="M67" s="77">
        <f t="shared" ca="1" si="19"/>
        <v>-3.1847133800000003E-2</v>
      </c>
      <c r="N67" s="86">
        <f t="shared" ca="1" si="23"/>
        <v>666885589.33560479</v>
      </c>
      <c r="O67" s="56" t="str">
        <f ca="1">IFERROR(OFFSET(INDIRECT($H$3 &amp; "!A152"), 11, 0), "")</f>
        <v>하이브</v>
      </c>
      <c r="P67" s="39">
        <f t="shared" ca="1" si="20"/>
        <v>548</v>
      </c>
      <c r="Q67" s="77">
        <f t="shared" ca="1" si="21"/>
        <v>-3.3509700199999999E-2</v>
      </c>
      <c r="R67" s="86">
        <f t="shared" ca="1" si="24"/>
        <v>29224543.738392159</v>
      </c>
    </row>
    <row r="68" spans="1:18">
      <c r="A68" s="40" t="s">
        <v>221</v>
      </c>
      <c r="B68" s="11" t="s">
        <v>222</v>
      </c>
      <c r="C68" s="205">
        <v>148</v>
      </c>
      <c r="D68" s="34">
        <v>-2.6315789499999999E-2</v>
      </c>
      <c r="E68" s="93">
        <v>79443176.90777342</v>
      </c>
      <c r="F68" s="35"/>
      <c r="G68" s="56" t="str">
        <f ca="1">IFERROR(OFFSET(INDIRECT($H$3 &amp; "!A179"), 12, 0), "")</f>
        <v>쎄타퓨엘</v>
      </c>
      <c r="H68" s="39">
        <f t="shared" ca="1" si="25"/>
        <v>393</v>
      </c>
      <c r="I68" s="77">
        <f t="shared" ca="1" si="26"/>
        <v>-2.9629629599999999E-2</v>
      </c>
      <c r="J68" s="86">
        <f t="shared" ca="1" si="22"/>
        <v>88694119.290372878</v>
      </c>
      <c r="K68" s="56" t="str">
        <f ca="1">IFERROR(OFFSET(INDIRECT($H$3 &amp; "!A125"), 12, 0), "")</f>
        <v>메인프레임</v>
      </c>
      <c r="L68" s="39">
        <f t="shared" ca="1" si="18"/>
        <v>14.2</v>
      </c>
      <c r="M68" s="77">
        <f t="shared" ca="1" si="19"/>
        <v>-4.05405405E-2</v>
      </c>
      <c r="N68" s="86">
        <f t="shared" ca="1" si="23"/>
        <v>457974775.154064</v>
      </c>
      <c r="O68" s="56" t="str">
        <f ca="1">IFERROR(OFFSET(INDIRECT($H$3 &amp; "!A152"), 12, 0), "")</f>
        <v>디센트럴랜드</v>
      </c>
      <c r="P68" s="39">
        <f t="shared" ca="1" si="20"/>
        <v>946</v>
      </c>
      <c r="Q68" s="77">
        <f t="shared" ca="1" si="21"/>
        <v>-2.57466529E-2</v>
      </c>
      <c r="R68" s="86">
        <f t="shared" ca="1" si="24"/>
        <v>31167927.949226812</v>
      </c>
    </row>
    <row r="69" spans="1:18">
      <c r="A69" s="40" t="s">
        <v>97</v>
      </c>
      <c r="B69" s="11" t="s">
        <v>98</v>
      </c>
      <c r="C69" s="205">
        <v>5.47</v>
      </c>
      <c r="D69" s="34">
        <v>-2.6690391500000001E-2</v>
      </c>
      <c r="E69" s="93">
        <v>36895693856.560944</v>
      </c>
      <c r="F69" s="35"/>
      <c r="G69" s="56" t="str">
        <f ca="1">IFERROR(OFFSET(INDIRECT($H$3 &amp; "!A179"), 13, 0), "")</f>
        <v>샌드박스</v>
      </c>
      <c r="H69" s="39">
        <f t="shared" ca="1" si="25"/>
        <v>737</v>
      </c>
      <c r="I69" s="77">
        <f t="shared" ca="1" si="26"/>
        <v>-3.5340314099999999E-2</v>
      </c>
      <c r="J69" s="86">
        <f t="shared" ca="1" si="22"/>
        <v>41528858.46459157</v>
      </c>
      <c r="K69" s="56" t="str">
        <f ca="1">IFERROR(OFFSET(INDIRECT($H$3 &amp; "!A125"), 13, 0), "")</f>
        <v>캐리프로토콜</v>
      </c>
      <c r="L69" s="39">
        <f t="shared" ca="1" si="18"/>
        <v>13.1</v>
      </c>
      <c r="M69" s="77">
        <f t="shared" ca="1" si="19"/>
        <v>-2.9629629599999999E-2</v>
      </c>
      <c r="N69" s="86">
        <f t="shared" ca="1" si="23"/>
        <v>938674944.02644885</v>
      </c>
      <c r="O69" s="56" t="str">
        <f ca="1">IFERROR(OFFSET(INDIRECT($H$3 &amp; "!A152"), 13, 0), "")</f>
        <v>왁스</v>
      </c>
      <c r="P69" s="39">
        <f t="shared" ca="1" si="20"/>
        <v>213</v>
      </c>
      <c r="Q69" s="77">
        <f t="shared" ca="1" si="21"/>
        <v>-9.3023255999999995E-3</v>
      </c>
      <c r="R69" s="86">
        <f t="shared" ca="1" si="24"/>
        <v>42419761.596612893</v>
      </c>
    </row>
    <row r="70" spans="1:18">
      <c r="A70" s="40" t="s">
        <v>197</v>
      </c>
      <c r="B70" s="11" t="s">
        <v>198</v>
      </c>
      <c r="C70" s="205">
        <v>26560</v>
      </c>
      <c r="D70" s="34">
        <v>-2.7106227100000001E-2</v>
      </c>
      <c r="E70" s="93">
        <v>3456926.2022341001</v>
      </c>
      <c r="F70" s="35"/>
      <c r="G70" s="56" t="str">
        <f ca="1">IFERROR(OFFSET(INDIRECT($H$3 &amp; "!A179"), 14, 0), "")</f>
        <v>비트토렌트</v>
      </c>
      <c r="H70" s="39">
        <f t="shared" ca="1" si="25"/>
        <v>5.47</v>
      </c>
      <c r="I70" s="77">
        <f t="shared" ca="1" si="26"/>
        <v>-2.6690391500000001E-2</v>
      </c>
      <c r="J70" s="90">
        <f t="shared" ca="1" si="22"/>
        <v>36895693856.560944</v>
      </c>
      <c r="K70" s="58" t="str">
        <f ca="1">IFERROR(OFFSET(INDIRECT($H$3 &amp; "!A125"), 14, 0), "")</f>
        <v>비트토렌트</v>
      </c>
      <c r="L70" s="44">
        <f t="shared" ca="1" si="18"/>
        <v>5.47</v>
      </c>
      <c r="M70" s="78">
        <f t="shared" ca="1" si="19"/>
        <v>-2.6690391500000001E-2</v>
      </c>
      <c r="N70" s="90">
        <f t="shared" ca="1" si="23"/>
        <v>36895693856.560944</v>
      </c>
      <c r="O70" s="58" t="str">
        <f ca="1">IFERROR(OFFSET(INDIRECT($H$3 &amp; "!A152"), 14, 0), "")</f>
        <v>헌트</v>
      </c>
      <c r="P70" s="44">
        <f t="shared" ca="1" si="20"/>
        <v>413</v>
      </c>
      <c r="Q70" s="78">
        <f t="shared" ca="1" si="21"/>
        <v>7.3170732000000004E-3</v>
      </c>
      <c r="R70" s="90">
        <f t="shared" ca="1" si="24"/>
        <v>41564220.562278718</v>
      </c>
    </row>
    <row r="71" spans="1:18">
      <c r="A71" s="40" t="s">
        <v>163</v>
      </c>
      <c r="B71" s="11" t="s">
        <v>164</v>
      </c>
      <c r="C71" s="205">
        <v>323</v>
      </c>
      <c r="D71" s="34">
        <v>-2.71084337E-2</v>
      </c>
      <c r="E71" s="93">
        <v>24876241.493331362</v>
      </c>
      <c r="F71" s="35"/>
      <c r="G71" s="60" t="str">
        <f ca="1">IFERROR(OFFSET(INDIRECT($H$3 &amp; "!A179"), 15, 0), "")</f>
        <v>아이오타</v>
      </c>
      <c r="H71" s="45">
        <f t="shared" ca="1" si="25"/>
        <v>1580</v>
      </c>
      <c r="I71" s="80">
        <f t="shared" ca="1" si="26"/>
        <v>-2.4691358E-2</v>
      </c>
      <c r="J71" s="99">
        <f t="shared" ca="1" si="22"/>
        <v>2965436.3176078801</v>
      </c>
      <c r="K71" s="56" t="str">
        <f ca="1">IFERROR(OFFSET(INDIRECT($H$3 &amp; "!A125"), 15, 0), "")</f>
        <v>엠블</v>
      </c>
      <c r="L71" s="39">
        <f t="shared" ca="1" si="18"/>
        <v>19.8</v>
      </c>
      <c r="M71" s="77">
        <f t="shared" ca="1" si="19"/>
        <v>-3.4146341500000003E-2</v>
      </c>
      <c r="N71" s="99">
        <f t="shared" ca="1" si="23"/>
        <v>1382772267.3752489</v>
      </c>
      <c r="O71" s="56" t="str">
        <f ca="1">IFERROR(OFFSET(INDIRECT($H$3 &amp; "!A152"), 15, 0), "")</f>
        <v>보라</v>
      </c>
      <c r="P71" s="39">
        <f t="shared" ca="1" si="20"/>
        <v>259</v>
      </c>
      <c r="Q71" s="77">
        <f t="shared" ca="1" si="21"/>
        <v>-2.99625468E-2</v>
      </c>
      <c r="R71" s="99">
        <f t="shared" ca="1" si="24"/>
        <v>191589283.33017749</v>
      </c>
    </row>
    <row r="72" spans="1:18">
      <c r="A72" s="40" t="s">
        <v>147</v>
      </c>
      <c r="B72" s="11" t="s">
        <v>148</v>
      </c>
      <c r="C72" s="205">
        <v>21.5</v>
      </c>
      <c r="D72" s="34">
        <v>-2.7149321300000001E-2</v>
      </c>
      <c r="E72" s="93">
        <v>907323478.68587494</v>
      </c>
      <c r="F72" s="35"/>
      <c r="G72" s="56" t="str">
        <f ca="1">IFERROR(OFFSET(INDIRECT($H$3 &amp; "!A179"), 16, 0), "")</f>
        <v>엠블</v>
      </c>
      <c r="H72" s="39">
        <f t="shared" ca="1" si="25"/>
        <v>19.8</v>
      </c>
      <c r="I72" s="77">
        <f t="shared" ca="1" si="26"/>
        <v>-3.4146341500000003E-2</v>
      </c>
      <c r="J72" s="86">
        <f t="shared" ca="1" si="22"/>
        <v>1382772267.3752489</v>
      </c>
      <c r="K72" s="56" t="str">
        <f ca="1">IFERROR(OFFSET(INDIRECT($H$3 &amp; "!A125"), 16, 0), "")</f>
        <v>메디블록</v>
      </c>
      <c r="L72" s="39">
        <f t="shared" ca="1" si="18"/>
        <v>96.9</v>
      </c>
      <c r="M72" s="77">
        <f t="shared" ca="1" si="19"/>
        <v>-3.0030029999999999E-2</v>
      </c>
      <c r="N72" s="86">
        <f t="shared" ca="1" si="23"/>
        <v>537663279.97667837</v>
      </c>
      <c r="O72" s="56" t="str">
        <f ca="1">IFERROR(OFFSET(INDIRECT($H$3 &amp; "!A152"), 16, 0), "")</f>
        <v>쎄타퓨엘</v>
      </c>
      <c r="P72" s="39">
        <f t="shared" ca="1" si="20"/>
        <v>393</v>
      </c>
      <c r="Q72" s="77">
        <f t="shared" ca="1" si="21"/>
        <v>-2.9629629599999999E-2</v>
      </c>
      <c r="R72" s="86">
        <f t="shared" ca="1" si="24"/>
        <v>88694119.290372878</v>
      </c>
    </row>
    <row r="73" spans="1:18">
      <c r="A73" s="40" t="s">
        <v>173</v>
      </c>
      <c r="B73" s="11" t="s">
        <v>174</v>
      </c>
      <c r="C73" s="205">
        <v>352</v>
      </c>
      <c r="D73" s="34">
        <v>-2.7624309400000002E-2</v>
      </c>
      <c r="E73" s="93">
        <v>26993182.11287846</v>
      </c>
      <c r="F73" s="35"/>
      <c r="G73" s="56" t="str">
        <f ca="1">IFERROR(OFFSET(INDIRECT($H$3 &amp; "!A179"), 17, 0), "")</f>
        <v>메디블록</v>
      </c>
      <c r="H73" s="39">
        <f t="shared" ca="1" si="25"/>
        <v>96.9</v>
      </c>
      <c r="I73" s="77">
        <f t="shared" ca="1" si="26"/>
        <v>-3.0030029999999999E-2</v>
      </c>
      <c r="J73" s="86">
        <f t="shared" ca="1" si="22"/>
        <v>537663279.97667837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샌드박스</v>
      </c>
      <c r="P73" s="39">
        <f t="shared" ca="1" si="20"/>
        <v>737</v>
      </c>
      <c r="Q73" s="77">
        <f t="shared" ca="1" si="21"/>
        <v>-3.5340314099999999E-2</v>
      </c>
      <c r="R73" s="86">
        <f t="shared" ca="1" si="24"/>
        <v>41528858.46459157</v>
      </c>
    </row>
    <row r="74" spans="1:18">
      <c r="A74" s="40" t="s">
        <v>187</v>
      </c>
      <c r="B74" s="11" t="s">
        <v>188</v>
      </c>
      <c r="C74" s="205">
        <v>13.3</v>
      </c>
      <c r="D74" s="34">
        <v>-2.9197080300000001E-2</v>
      </c>
      <c r="E74" s="93">
        <v>572866847.21543026</v>
      </c>
      <c r="F74" s="35"/>
      <c r="G74" s="56" t="str">
        <f ca="1">IFERROR(OFFSET(INDIRECT($H$3 &amp; "!A179"), 18, 0), "")</f>
        <v>모스코인</v>
      </c>
      <c r="H74" s="39">
        <f t="shared" ca="1" si="25"/>
        <v>148</v>
      </c>
      <c r="I74" s="77">
        <f t="shared" ca="1" si="26"/>
        <v>-2.6315789499999999E-2</v>
      </c>
      <c r="J74" s="86">
        <f t="shared" ca="1" si="22"/>
        <v>79443176.90777342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모스코인</v>
      </c>
      <c r="P74" s="39">
        <f t="shared" ca="1" si="20"/>
        <v>148</v>
      </c>
      <c r="Q74" s="77">
        <f t="shared" ca="1" si="21"/>
        <v>-2.6315789499999999E-2</v>
      </c>
      <c r="R74" s="86">
        <f t="shared" ca="1" si="24"/>
        <v>79443176.90777342</v>
      </c>
    </row>
    <row r="75" spans="1:18" ht="17.25" thickBot="1">
      <c r="A75" s="40" t="s">
        <v>195</v>
      </c>
      <c r="B75" s="11" t="s">
        <v>196</v>
      </c>
      <c r="C75" s="205">
        <v>4450</v>
      </c>
      <c r="D75" s="34">
        <v>-2.9443838600000001E-2</v>
      </c>
      <c r="E75" s="93">
        <v>8846005.7686872091</v>
      </c>
      <c r="F75" s="35"/>
      <c r="G75" s="57" t="str">
        <f ca="1">IFERROR(OFFSET(INDIRECT($H$3 &amp; "!A179"), 19, 0), "")</f>
        <v>칠리즈</v>
      </c>
      <c r="H75" s="37">
        <f t="shared" ca="1" si="25"/>
        <v>423</v>
      </c>
      <c r="I75" s="79">
        <f t="shared" ca="1" si="26"/>
        <v>-4.08163265E-2</v>
      </c>
      <c r="J75" s="87">
        <f t="shared" ca="1" si="22"/>
        <v>99148405.052421346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칠리즈</v>
      </c>
      <c r="P75" s="37">
        <f t="shared" ca="1" si="20"/>
        <v>423</v>
      </c>
      <c r="Q75" s="79">
        <f t="shared" ca="1" si="21"/>
        <v>-4.08163265E-2</v>
      </c>
      <c r="R75" s="87">
        <f t="shared" ca="1" si="24"/>
        <v>99148405.052421346</v>
      </c>
    </row>
    <row r="76" spans="1:18">
      <c r="A76" s="40" t="s">
        <v>137</v>
      </c>
      <c r="B76" s="11" t="s">
        <v>138</v>
      </c>
      <c r="C76" s="205">
        <v>393</v>
      </c>
      <c r="D76" s="34">
        <v>-2.9629629599999999E-2</v>
      </c>
      <c r="E76" s="93">
        <v>88694119.290372878</v>
      </c>
      <c r="F76" s="35"/>
      <c r="G76" s="35"/>
      <c r="H76" s="35"/>
      <c r="I76" s="35"/>
    </row>
    <row r="77" spans="1:18">
      <c r="A77" s="40" t="s">
        <v>149</v>
      </c>
      <c r="B77" s="11" t="s">
        <v>150</v>
      </c>
      <c r="C77" s="205">
        <v>13.1</v>
      </c>
      <c r="D77" s="34">
        <v>-2.9629629599999999E-2</v>
      </c>
      <c r="E77" s="93">
        <v>938674944.02644885</v>
      </c>
      <c r="F77" s="35"/>
      <c r="G77" s="35"/>
      <c r="H77" s="35"/>
      <c r="I77" s="35"/>
    </row>
    <row r="78" spans="1:18">
      <c r="A78" s="40" t="s">
        <v>165</v>
      </c>
      <c r="B78" s="11" t="s">
        <v>166</v>
      </c>
      <c r="C78" s="205">
        <v>259</v>
      </c>
      <c r="D78" s="34">
        <v>-2.99625468E-2</v>
      </c>
      <c r="E78" s="93">
        <v>191589283.33017749</v>
      </c>
      <c r="F78" s="35"/>
      <c r="G78" s="35"/>
      <c r="H78" s="35"/>
      <c r="I78" s="35"/>
    </row>
    <row r="79" spans="1:18">
      <c r="A79" s="40" t="s">
        <v>201</v>
      </c>
      <c r="B79" s="11" t="s">
        <v>202</v>
      </c>
      <c r="C79" s="205">
        <v>96.9</v>
      </c>
      <c r="D79" s="34">
        <v>-3.0030029999999999E-2</v>
      </c>
      <c r="E79" s="93">
        <v>537663279.97667837</v>
      </c>
      <c r="F79" s="35"/>
      <c r="G79" s="35"/>
      <c r="H79" s="35"/>
      <c r="I79" s="35"/>
    </row>
    <row r="80" spans="1:18">
      <c r="A80" s="40" t="s">
        <v>145</v>
      </c>
      <c r="B80" s="11" t="s">
        <v>146</v>
      </c>
      <c r="C80" s="205">
        <v>3995</v>
      </c>
      <c r="D80" s="34">
        <v>-3.0339805800000001E-2</v>
      </c>
      <c r="E80" s="93">
        <v>2846670.2495968202</v>
      </c>
      <c r="F80" s="35"/>
      <c r="G80" s="35"/>
      <c r="H80" s="35"/>
      <c r="I80" s="35"/>
    </row>
    <row r="81" spans="1:9">
      <c r="A81" s="40" t="s">
        <v>123</v>
      </c>
      <c r="B81" s="11" t="s">
        <v>124</v>
      </c>
      <c r="C81" s="205">
        <v>381</v>
      </c>
      <c r="D81" s="34">
        <v>-3.0534351099999999E-2</v>
      </c>
      <c r="E81" s="93">
        <v>20691066.33608789</v>
      </c>
      <c r="F81" s="35"/>
      <c r="G81" s="35"/>
      <c r="H81" s="35"/>
      <c r="I81" s="35"/>
    </row>
    <row r="82" spans="1:9">
      <c r="A82" s="40" t="s">
        <v>249</v>
      </c>
      <c r="B82" s="11" t="s">
        <v>250</v>
      </c>
      <c r="C82" s="205">
        <v>79.3</v>
      </c>
      <c r="D82" s="34">
        <v>-3.0562347199999999E-2</v>
      </c>
      <c r="E82" s="93">
        <v>150772601.56696492</v>
      </c>
      <c r="F82" s="35"/>
      <c r="G82" s="35"/>
      <c r="H82" s="35"/>
      <c r="I82" s="35"/>
    </row>
    <row r="83" spans="1:9">
      <c r="A83" s="40" t="s">
        <v>251</v>
      </c>
      <c r="B83" s="11" t="s">
        <v>252</v>
      </c>
      <c r="C83" s="205">
        <v>998</v>
      </c>
      <c r="D83" s="34">
        <v>-3.1067961200000001E-2</v>
      </c>
      <c r="E83" s="93">
        <v>7746201.8726060698</v>
      </c>
      <c r="F83" s="35"/>
      <c r="G83" s="35"/>
      <c r="H83" s="35"/>
      <c r="I83" s="35"/>
    </row>
    <row r="84" spans="1:9">
      <c r="A84" s="40" t="s">
        <v>75</v>
      </c>
      <c r="B84" s="11" t="s">
        <v>76</v>
      </c>
      <c r="C84" s="205">
        <v>30980</v>
      </c>
      <c r="D84" s="34">
        <v>-3.1269543499999997E-2</v>
      </c>
      <c r="E84" s="93">
        <v>730118.71805975004</v>
      </c>
      <c r="F84" s="35"/>
      <c r="G84" s="35"/>
      <c r="H84" s="35"/>
      <c r="I84" s="35"/>
    </row>
    <row r="85" spans="1:9">
      <c r="A85" s="40" t="s">
        <v>203</v>
      </c>
      <c r="B85" s="11" t="s">
        <v>204</v>
      </c>
      <c r="C85" s="205">
        <v>15.2</v>
      </c>
      <c r="D85" s="34">
        <v>-3.1847133800000003E-2</v>
      </c>
      <c r="E85" s="93">
        <v>666885589.33560479</v>
      </c>
      <c r="F85" s="35"/>
      <c r="G85" s="35"/>
      <c r="H85" s="35"/>
      <c r="I85" s="35"/>
    </row>
    <row r="86" spans="1:9">
      <c r="A86" s="40" t="s">
        <v>71</v>
      </c>
      <c r="B86" s="11" t="s">
        <v>72</v>
      </c>
      <c r="C86" s="205">
        <v>24.1</v>
      </c>
      <c r="D86" s="34">
        <v>-3.2128514099999998E-2</v>
      </c>
      <c r="E86" s="93">
        <v>373529587.18548191</v>
      </c>
      <c r="F86" s="35"/>
      <c r="G86" s="35"/>
      <c r="H86" s="35"/>
      <c r="I86" s="35"/>
    </row>
    <row r="87" spans="1:9">
      <c r="A87" s="40" t="s">
        <v>191</v>
      </c>
      <c r="B87" s="11" t="s">
        <v>192</v>
      </c>
      <c r="C87" s="205">
        <v>235</v>
      </c>
      <c r="D87" s="34">
        <v>-3.2921810699999998E-2</v>
      </c>
      <c r="E87" s="93">
        <v>37082931.05095239</v>
      </c>
      <c r="F87" s="35"/>
      <c r="G87" s="35"/>
      <c r="H87" s="35"/>
      <c r="I87" s="35"/>
    </row>
    <row r="88" spans="1:9">
      <c r="A88" s="40" t="s">
        <v>231</v>
      </c>
      <c r="B88" s="11" t="s">
        <v>232</v>
      </c>
      <c r="C88" s="205">
        <v>548</v>
      </c>
      <c r="D88" s="34">
        <v>-3.3509700199999999E-2</v>
      </c>
      <c r="E88" s="93">
        <v>29224543.738392159</v>
      </c>
      <c r="F88" s="35"/>
      <c r="G88" s="35"/>
      <c r="H88" s="35"/>
      <c r="I88" s="35"/>
    </row>
    <row r="89" spans="1:9">
      <c r="A89" s="40" t="s">
        <v>153</v>
      </c>
      <c r="B89" s="11" t="s">
        <v>154</v>
      </c>
      <c r="C89" s="205">
        <v>78460</v>
      </c>
      <c r="D89" s="34">
        <v>-3.3624830600000002E-2</v>
      </c>
      <c r="E89" s="93">
        <v>4543703.7842518101</v>
      </c>
      <c r="F89" s="35"/>
      <c r="G89" s="35"/>
      <c r="H89" s="35"/>
      <c r="I89" s="35"/>
    </row>
    <row r="90" spans="1:9">
      <c r="A90" s="40" t="s">
        <v>121</v>
      </c>
      <c r="B90" s="11" t="s">
        <v>122</v>
      </c>
      <c r="C90" s="205">
        <v>34.1</v>
      </c>
      <c r="D90" s="34">
        <v>-3.3994334299999998E-2</v>
      </c>
      <c r="E90" s="93">
        <v>394563175.1317274</v>
      </c>
      <c r="F90" s="35"/>
      <c r="G90" s="35"/>
      <c r="H90" s="35"/>
      <c r="I90" s="35"/>
    </row>
    <row r="91" spans="1:9">
      <c r="A91" s="40" t="s">
        <v>189</v>
      </c>
      <c r="B91" s="11" t="s">
        <v>190</v>
      </c>
      <c r="C91" s="205">
        <v>19.8</v>
      </c>
      <c r="D91" s="34">
        <v>-3.4146341500000003E-2</v>
      </c>
      <c r="E91" s="93">
        <v>1382772267.3752489</v>
      </c>
      <c r="F91" s="35"/>
      <c r="G91" s="35"/>
      <c r="H91" s="35"/>
      <c r="I91" s="35"/>
    </row>
    <row r="92" spans="1:9">
      <c r="A92" s="40" t="s">
        <v>135</v>
      </c>
      <c r="B92" s="11" t="s">
        <v>136</v>
      </c>
      <c r="C92" s="205">
        <v>2115</v>
      </c>
      <c r="D92" s="34">
        <v>-3.4246575299999998E-2</v>
      </c>
      <c r="E92" s="93">
        <v>5294428.2525653597</v>
      </c>
      <c r="F92" s="35"/>
      <c r="G92" s="35"/>
      <c r="H92" s="35"/>
      <c r="I92" s="35"/>
    </row>
    <row r="93" spans="1:9">
      <c r="A93" s="40" t="s">
        <v>215</v>
      </c>
      <c r="B93" s="11" t="s">
        <v>216</v>
      </c>
      <c r="C93" s="205">
        <v>11.2</v>
      </c>
      <c r="D93" s="34">
        <v>-3.4482758600000003E-2</v>
      </c>
      <c r="E93" s="93">
        <v>1207886072.2238634</v>
      </c>
      <c r="F93" s="35"/>
      <c r="G93" s="35"/>
      <c r="H93" s="35"/>
      <c r="I93" s="35"/>
    </row>
    <row r="94" spans="1:9">
      <c r="A94" s="40" t="s">
        <v>79</v>
      </c>
      <c r="B94" s="11" t="s">
        <v>80</v>
      </c>
      <c r="C94" s="205">
        <v>878</v>
      </c>
      <c r="D94" s="34">
        <v>-3.5164835200000001E-2</v>
      </c>
      <c r="E94" s="93">
        <v>8578182.6128019299</v>
      </c>
      <c r="F94" s="35"/>
      <c r="G94" s="35"/>
      <c r="H94" s="35"/>
      <c r="I94" s="35"/>
    </row>
    <row r="95" spans="1:9">
      <c r="A95" s="40" t="s">
        <v>105</v>
      </c>
      <c r="B95" s="11" t="s">
        <v>106</v>
      </c>
      <c r="C95" s="205">
        <v>63650</v>
      </c>
      <c r="D95" s="34">
        <v>-3.5167500400000003E-2</v>
      </c>
      <c r="E95" s="93">
        <v>754628.59669686004</v>
      </c>
      <c r="F95" s="35"/>
      <c r="G95" s="35"/>
      <c r="H95" s="35"/>
      <c r="I95" s="35"/>
    </row>
    <row r="96" spans="1:9">
      <c r="A96" s="40" t="s">
        <v>225</v>
      </c>
      <c r="B96" s="11" t="s">
        <v>226</v>
      </c>
      <c r="C96" s="205">
        <v>2055</v>
      </c>
      <c r="D96" s="34">
        <v>-3.5211267599999999E-2</v>
      </c>
      <c r="E96" s="93">
        <v>10433863.545685681</v>
      </c>
      <c r="F96" s="35"/>
      <c r="G96" s="35"/>
      <c r="H96" s="35"/>
      <c r="I96" s="35"/>
    </row>
    <row r="97" spans="1:9">
      <c r="A97" s="40" t="s">
        <v>113</v>
      </c>
      <c r="B97" s="11" t="s">
        <v>114</v>
      </c>
      <c r="C97" s="205">
        <v>737</v>
      </c>
      <c r="D97" s="34">
        <v>-3.5340314099999999E-2</v>
      </c>
      <c r="E97" s="93">
        <v>41528858.46459157</v>
      </c>
      <c r="F97" s="35"/>
      <c r="G97" s="35"/>
      <c r="H97" s="35"/>
      <c r="I97" s="35"/>
    </row>
    <row r="98" spans="1:9">
      <c r="A98" s="40" t="s">
        <v>68</v>
      </c>
      <c r="B98" s="11" t="s">
        <v>69</v>
      </c>
      <c r="C98" s="205">
        <v>5790</v>
      </c>
      <c r="D98" s="34">
        <v>-3.90041494E-2</v>
      </c>
      <c r="E98" s="93">
        <v>2178581.7433239198</v>
      </c>
      <c r="F98" s="35"/>
      <c r="G98" s="35"/>
      <c r="H98" s="35"/>
      <c r="I98" s="35"/>
    </row>
    <row r="99" spans="1:9">
      <c r="A99" s="40" t="s">
        <v>64</v>
      </c>
      <c r="B99" s="11" t="s">
        <v>65</v>
      </c>
      <c r="C99" s="205">
        <v>35.700000000000003</v>
      </c>
      <c r="D99" s="34">
        <v>-4.0322580599999998E-2</v>
      </c>
      <c r="E99" s="93">
        <v>161403981.90463483</v>
      </c>
      <c r="F99" s="35"/>
      <c r="G99" s="35"/>
      <c r="H99" s="35"/>
      <c r="I99" s="35"/>
    </row>
    <row r="100" spans="1:9">
      <c r="A100" s="40" t="s">
        <v>207</v>
      </c>
      <c r="B100" s="11" t="s">
        <v>208</v>
      </c>
      <c r="C100" s="205">
        <v>14.2</v>
      </c>
      <c r="D100" s="34">
        <v>-4.05405405E-2</v>
      </c>
      <c r="E100" s="93">
        <v>457974775.154064</v>
      </c>
      <c r="F100" s="35"/>
      <c r="G100" s="35"/>
      <c r="H100" s="35"/>
      <c r="I100" s="35"/>
    </row>
    <row r="101" spans="1:9">
      <c r="A101" s="40" t="s">
        <v>85</v>
      </c>
      <c r="B101" s="11" t="s">
        <v>86</v>
      </c>
      <c r="C101" s="205">
        <v>423</v>
      </c>
      <c r="D101" s="34">
        <v>-4.08163265E-2</v>
      </c>
      <c r="E101" s="93">
        <v>99148405.052421346</v>
      </c>
      <c r="F101" s="35"/>
      <c r="G101" s="35"/>
      <c r="H101" s="35"/>
      <c r="I101" s="35"/>
    </row>
    <row r="102" spans="1:9">
      <c r="A102" s="40" t="s">
        <v>239</v>
      </c>
      <c r="B102" s="11" t="s">
        <v>240</v>
      </c>
      <c r="C102" s="205">
        <v>78.099999999999994</v>
      </c>
      <c r="D102" s="34">
        <v>-4.2892156899999999E-2</v>
      </c>
      <c r="E102" s="93">
        <v>379286967.4849118</v>
      </c>
      <c r="F102" s="35"/>
      <c r="G102" s="35"/>
      <c r="H102" s="35"/>
      <c r="I102" s="35"/>
    </row>
    <row r="103" spans="1:9">
      <c r="A103" s="40" t="s">
        <v>213</v>
      </c>
      <c r="B103" s="11" t="s">
        <v>214</v>
      </c>
      <c r="C103" s="205">
        <v>1095</v>
      </c>
      <c r="D103" s="34">
        <v>-7.9831932800000005E-2</v>
      </c>
      <c r="E103" s="93">
        <v>96507758.975011483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157</v>
      </c>
      <c r="B2" s="11" t="s">
        <v>158</v>
      </c>
      <c r="C2" s="95">
        <v>30460</v>
      </c>
      <c r="D2" s="92">
        <v>0.27447698739999998</v>
      </c>
      <c r="E2" s="93">
        <v>11457525.022008641</v>
      </c>
      <c r="F2" s="35"/>
      <c r="G2" s="54"/>
      <c r="H2" s="35"/>
      <c r="I2" s="35"/>
    </row>
    <row r="3" spans="1:18" ht="17.25" thickBot="1">
      <c r="A3" s="40" t="s">
        <v>171</v>
      </c>
      <c r="B3" s="11" t="s">
        <v>172</v>
      </c>
      <c r="C3" s="95">
        <v>3575</v>
      </c>
      <c r="D3" s="92">
        <v>5.7692307700000001E-2</v>
      </c>
      <c r="E3" s="93">
        <v>88056756.544148222</v>
      </c>
      <c r="F3" s="35"/>
      <c r="G3" s="276" t="s">
        <v>260</v>
      </c>
      <c r="H3" s="288" t="s">
        <v>330</v>
      </c>
      <c r="I3" s="288"/>
      <c r="K3" s="215" t="s">
        <v>34</v>
      </c>
      <c r="L3" s="216"/>
      <c r="M3" s="216"/>
      <c r="N3" s="217"/>
      <c r="O3" s="215" t="s">
        <v>261</v>
      </c>
      <c r="P3" s="216"/>
      <c r="Q3" s="216"/>
      <c r="R3" s="217"/>
    </row>
    <row r="4" spans="1:18" ht="17.25" thickBot="1">
      <c r="A4" s="40" t="s">
        <v>119</v>
      </c>
      <c r="B4" s="11" t="s">
        <v>120</v>
      </c>
      <c r="C4" s="95">
        <v>5250</v>
      </c>
      <c r="D4" s="92">
        <v>5.5276381899999998E-2</v>
      </c>
      <c r="E4" s="93">
        <v>35979356.157234922</v>
      </c>
      <c r="F4" s="35"/>
      <c r="G4" s="277"/>
      <c r="H4" s="289"/>
      <c r="I4" s="289"/>
      <c r="K4" s="280" t="s">
        <v>55</v>
      </c>
      <c r="L4" s="292">
        <f ca="1">NOW()</f>
        <v>44422.917164583334</v>
      </c>
      <c r="M4" s="293"/>
      <c r="N4" s="294"/>
      <c r="O4" s="283" t="s">
        <v>55</v>
      </c>
      <c r="P4" s="292">
        <f ca="1">NOW()</f>
        <v>44422.917164583334</v>
      </c>
      <c r="Q4" s="293"/>
      <c r="R4" s="294"/>
    </row>
    <row r="5" spans="1:18" ht="17.25" thickBot="1">
      <c r="A5" s="40" t="s">
        <v>89</v>
      </c>
      <c r="B5" s="11" t="s">
        <v>90</v>
      </c>
      <c r="C5" s="95">
        <v>1320</v>
      </c>
      <c r="D5" s="92">
        <v>5.1792828700000001E-2</v>
      </c>
      <c r="E5" s="93">
        <v>636378325.27881539</v>
      </c>
      <c r="F5" s="35"/>
      <c r="K5" s="277"/>
      <c r="L5" s="51" t="s">
        <v>58</v>
      </c>
      <c r="M5" s="73" t="s">
        <v>59</v>
      </c>
      <c r="N5" s="69" t="s">
        <v>264</v>
      </c>
      <c r="O5" s="232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131</v>
      </c>
      <c r="B6" s="11" t="s">
        <v>132</v>
      </c>
      <c r="C6" s="95">
        <v>127</v>
      </c>
      <c r="D6" s="92">
        <v>4.9586776899999997E-2</v>
      </c>
      <c r="E6" s="93">
        <v>568701157.66997898</v>
      </c>
      <c r="F6" s="35"/>
      <c r="G6" s="215" t="s">
        <v>52</v>
      </c>
      <c r="H6" s="216"/>
      <c r="I6" s="21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158</v>
      </c>
      <c r="P6" s="38">
        <f t="shared" ref="P6:P25" si="2">_xlfn.IFNA(VLOOKUP(O6, $B$2:$D$200, 2, FALSE), "")</f>
        <v>30460</v>
      </c>
      <c r="Q6" s="76">
        <f t="shared" ref="Q6:Q25" si="3">_xlfn.IFNA(VLOOKUP(O6, $B$2:$D$200, 3, FALSE), "")</f>
        <v>0.27447698739999998</v>
      </c>
      <c r="R6" s="85">
        <f>_xlfn.IFNA(VLOOKUP(O6, $B$2:$E$200, 4, FALSE), "")</f>
        <v>11457525.022008641</v>
      </c>
    </row>
    <row r="7" spans="1:18">
      <c r="A7" s="40" t="s">
        <v>53</v>
      </c>
      <c r="B7" s="11" t="s">
        <v>54</v>
      </c>
      <c r="C7" s="95">
        <v>279</v>
      </c>
      <c r="D7" s="92">
        <v>4.1044776099999999E-2</v>
      </c>
      <c r="E7" s="93">
        <v>47511240.617363431</v>
      </c>
      <c r="F7" s="35"/>
      <c r="G7" s="224" t="s">
        <v>36</v>
      </c>
      <c r="H7" s="225"/>
      <c r="I7" s="22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172</v>
      </c>
      <c r="P7" s="39">
        <f t="shared" si="2"/>
        <v>3575</v>
      </c>
      <c r="Q7" s="77">
        <f t="shared" si="3"/>
        <v>5.7692307700000001E-2</v>
      </c>
      <c r="R7" s="86">
        <f t="shared" ref="R7:R25" si="5">_xlfn.IFNA(VLOOKUP(O7, $B$2:$E$200, 4, FALSE), "")</f>
        <v>88056756.544148222</v>
      </c>
    </row>
    <row r="8" spans="1:18" ht="17.25" thickBot="1">
      <c r="A8" s="40" t="s">
        <v>141</v>
      </c>
      <c r="B8" s="11" t="s">
        <v>142</v>
      </c>
      <c r="C8" s="95">
        <v>11930</v>
      </c>
      <c r="D8" s="92">
        <v>3.7391304299999997E-2</v>
      </c>
      <c r="E8" s="93">
        <v>15871967.97102851</v>
      </c>
      <c r="F8" s="35"/>
      <c r="G8" s="230"/>
      <c r="H8" s="231"/>
      <c r="I8" s="23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120</v>
      </c>
      <c r="P8" s="39">
        <f t="shared" si="2"/>
        <v>5250</v>
      </c>
      <c r="Q8" s="77">
        <f t="shared" si="3"/>
        <v>5.5276381899999998E-2</v>
      </c>
      <c r="R8" s="86">
        <f t="shared" si="5"/>
        <v>35979356.157234922</v>
      </c>
    </row>
    <row r="9" spans="1:18" ht="17.25" thickBot="1">
      <c r="A9" s="40" t="s">
        <v>235</v>
      </c>
      <c r="B9" s="11" t="s">
        <v>236</v>
      </c>
      <c r="C9" s="95">
        <v>678</v>
      </c>
      <c r="D9" s="92">
        <v>3.3536585399999999E-2</v>
      </c>
      <c r="E9" s="93">
        <v>99738063.797470585</v>
      </c>
      <c r="F9" s="35"/>
      <c r="G9" s="50" t="s">
        <v>38</v>
      </c>
      <c r="H9" s="216" t="s">
        <v>37</v>
      </c>
      <c r="I9" s="21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90</v>
      </c>
      <c r="P9" s="39">
        <f t="shared" si="2"/>
        <v>1320</v>
      </c>
      <c r="Q9" s="77">
        <f t="shared" si="3"/>
        <v>5.1792828700000001E-2</v>
      </c>
      <c r="R9" s="86">
        <f t="shared" si="5"/>
        <v>636378325.27881539</v>
      </c>
    </row>
    <row r="10" spans="1:18">
      <c r="A10" s="40" t="s">
        <v>223</v>
      </c>
      <c r="B10" s="11" t="s">
        <v>224</v>
      </c>
      <c r="C10" s="95">
        <v>5005</v>
      </c>
      <c r="D10" s="92">
        <v>3.19587629E-2</v>
      </c>
      <c r="E10" s="93">
        <v>13733627.1537943</v>
      </c>
      <c r="F10" s="35"/>
      <c r="G10" s="290">
        <f>_xlfn.IFNA(VLOOKUP(G7, $B$2:$D$200, 3, FALSE), "-")</f>
        <v>-2.1216407400000001E-2</v>
      </c>
      <c r="H10" s="284">
        <f>_xlfn.IFNA(VLOOKUP(G7, $B$2:$D$200, 2, FALSE), "-")</f>
        <v>53976000</v>
      </c>
      <c r="I10" s="28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132</v>
      </c>
      <c r="P10" s="39">
        <f t="shared" si="2"/>
        <v>127</v>
      </c>
      <c r="Q10" s="77">
        <f t="shared" si="3"/>
        <v>4.9586776899999997E-2</v>
      </c>
      <c r="R10" s="90">
        <f t="shared" si="5"/>
        <v>568701157.66997898</v>
      </c>
    </row>
    <row r="11" spans="1:18" ht="17.25" thickBot="1">
      <c r="A11" s="40" t="s">
        <v>245</v>
      </c>
      <c r="B11" s="11" t="s">
        <v>246</v>
      </c>
      <c r="C11" s="95">
        <v>9365</v>
      </c>
      <c r="D11" s="92">
        <v>2.91208791E-2</v>
      </c>
      <c r="E11" s="93">
        <v>14575586.47181697</v>
      </c>
      <c r="F11" s="35"/>
      <c r="G11" s="291"/>
      <c r="H11" s="286"/>
      <c r="I11" s="28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54</v>
      </c>
      <c r="P11" s="45">
        <f t="shared" si="2"/>
        <v>279</v>
      </c>
      <c r="Q11" s="80">
        <f t="shared" si="3"/>
        <v>4.1044776099999999E-2</v>
      </c>
      <c r="R11" s="99">
        <f t="shared" si="5"/>
        <v>47511240.617363431</v>
      </c>
    </row>
    <row r="12" spans="1:18" ht="17.25" thickBot="1">
      <c r="A12" s="40" t="s">
        <v>127</v>
      </c>
      <c r="B12" s="11" t="s">
        <v>128</v>
      </c>
      <c r="C12" s="95">
        <v>143</v>
      </c>
      <c r="D12" s="92">
        <v>2.87769784E-2</v>
      </c>
      <c r="E12" s="93">
        <v>635651143.23816228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142</v>
      </c>
      <c r="P12" s="39">
        <f t="shared" si="2"/>
        <v>11930</v>
      </c>
      <c r="Q12" s="77">
        <f t="shared" si="3"/>
        <v>3.7391304299999997E-2</v>
      </c>
      <c r="R12" s="86">
        <f t="shared" si="5"/>
        <v>15871967.97102851</v>
      </c>
    </row>
    <row r="13" spans="1:18" ht="17.25" thickBot="1">
      <c r="A13" s="40" t="s">
        <v>66</v>
      </c>
      <c r="B13" s="11" t="s">
        <v>67</v>
      </c>
      <c r="C13" s="95">
        <v>5015</v>
      </c>
      <c r="D13" s="92">
        <v>2.3469387800000002E-2</v>
      </c>
      <c r="E13" s="93">
        <v>15318576.68045181</v>
      </c>
      <c r="F13" s="35"/>
      <c r="G13" s="215" t="s">
        <v>70</v>
      </c>
      <c r="H13" s="216"/>
      <c r="I13" s="21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236</v>
      </c>
      <c r="P13" s="39">
        <f t="shared" si="2"/>
        <v>678</v>
      </c>
      <c r="Q13" s="77">
        <f t="shared" si="3"/>
        <v>3.3536585399999999E-2</v>
      </c>
      <c r="R13" s="86">
        <f t="shared" si="5"/>
        <v>99738063.797470585</v>
      </c>
    </row>
    <row r="14" spans="1:18">
      <c r="A14" s="40" t="s">
        <v>193</v>
      </c>
      <c r="B14" s="11" t="s">
        <v>194</v>
      </c>
      <c r="C14" s="95">
        <v>150</v>
      </c>
      <c r="D14" s="92">
        <v>2.0408163300000001E-2</v>
      </c>
      <c r="E14" s="93">
        <v>381842887.72246486</v>
      </c>
      <c r="F14" s="35"/>
      <c r="G14" s="224" t="s">
        <v>36</v>
      </c>
      <c r="H14" s="225"/>
      <c r="I14" s="22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224</v>
      </c>
      <c r="P14" s="39">
        <f t="shared" si="2"/>
        <v>5005</v>
      </c>
      <c r="Q14" s="77">
        <f t="shared" si="3"/>
        <v>3.19587629E-2</v>
      </c>
      <c r="R14" s="86">
        <f t="shared" si="5"/>
        <v>13733627.1537943</v>
      </c>
    </row>
    <row r="15" spans="1:18" ht="17.25" thickBot="1">
      <c r="A15" s="40" t="s">
        <v>247</v>
      </c>
      <c r="B15" s="11" t="s">
        <v>248</v>
      </c>
      <c r="C15" s="95">
        <v>2585</v>
      </c>
      <c r="D15" s="92">
        <v>1.77165354E-2</v>
      </c>
      <c r="E15" s="93">
        <v>21110913.97783437</v>
      </c>
      <c r="F15" s="35"/>
      <c r="G15" s="230"/>
      <c r="H15" s="231"/>
      <c r="I15" s="23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246</v>
      </c>
      <c r="P15" s="37">
        <f t="shared" si="2"/>
        <v>9365</v>
      </c>
      <c r="Q15" s="79">
        <f t="shared" si="3"/>
        <v>2.91208791E-2</v>
      </c>
      <c r="R15" s="87">
        <f t="shared" si="5"/>
        <v>14575586.47181697</v>
      </c>
    </row>
    <row r="16" spans="1:18" ht="17.25" thickBot="1">
      <c r="A16" s="40" t="s">
        <v>83</v>
      </c>
      <c r="B16" s="11" t="s">
        <v>84</v>
      </c>
      <c r="C16" s="95">
        <v>6020</v>
      </c>
      <c r="D16" s="92">
        <v>7.5313808000000001E-3</v>
      </c>
      <c r="E16" s="93">
        <v>59821910.678346731</v>
      </c>
      <c r="F16" s="35"/>
      <c r="G16" s="50" t="s">
        <v>38</v>
      </c>
      <c r="H16" s="216" t="s">
        <v>37</v>
      </c>
      <c r="I16" s="21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128</v>
      </c>
      <c r="P16" s="38">
        <f t="shared" si="2"/>
        <v>143</v>
      </c>
      <c r="Q16" s="76">
        <f t="shared" si="3"/>
        <v>2.87769784E-2</v>
      </c>
      <c r="R16" s="85">
        <f t="shared" si="5"/>
        <v>635651143.23816228</v>
      </c>
    </row>
    <row r="17" spans="1:18">
      <c r="A17" s="40" t="s">
        <v>217</v>
      </c>
      <c r="B17" s="11" t="s">
        <v>218</v>
      </c>
      <c r="C17" s="95">
        <v>137</v>
      </c>
      <c r="D17" s="92">
        <v>7.3529412000000001E-3</v>
      </c>
      <c r="E17" s="93">
        <v>151067330.53761843</v>
      </c>
      <c r="F17" s="35"/>
      <c r="G17" s="290">
        <f>_xlfn.IFNA(VLOOKUP(G14, $B$2:$D$200, 3, FALSE), "-")</f>
        <v>-2.1216407400000001E-2</v>
      </c>
      <c r="H17" s="284">
        <f>_xlfn.IFNA(VLOOKUP(G14, $B$2:$D$200, 2, FALSE), "-")</f>
        <v>53976000</v>
      </c>
      <c r="I17" s="28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67</v>
      </c>
      <c r="P17" s="39">
        <f t="shared" si="2"/>
        <v>5015</v>
      </c>
      <c r="Q17" s="77">
        <f t="shared" si="3"/>
        <v>2.3469387800000002E-2</v>
      </c>
      <c r="R17" s="86">
        <f t="shared" si="5"/>
        <v>15318576.68045181</v>
      </c>
    </row>
    <row r="18" spans="1:18" ht="17.25" thickBot="1">
      <c r="A18" s="40" t="s">
        <v>227</v>
      </c>
      <c r="B18" s="11" t="s">
        <v>228</v>
      </c>
      <c r="C18" s="95">
        <v>413</v>
      </c>
      <c r="D18" s="92">
        <v>7.3170732000000004E-3</v>
      </c>
      <c r="E18" s="93">
        <v>41564220.562278718</v>
      </c>
      <c r="F18" s="35"/>
      <c r="G18" s="291"/>
      <c r="H18" s="286"/>
      <c r="I18" s="28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194</v>
      </c>
      <c r="P18" s="39">
        <f t="shared" si="2"/>
        <v>150</v>
      </c>
      <c r="Q18" s="77">
        <f t="shared" si="3"/>
        <v>2.0408163300000001E-2</v>
      </c>
      <c r="R18" s="86">
        <f t="shared" si="5"/>
        <v>381842887.72246486</v>
      </c>
    </row>
    <row r="19" spans="1:18" ht="17.25" thickBot="1">
      <c r="A19" s="40" t="s">
        <v>50</v>
      </c>
      <c r="B19" s="11" t="s">
        <v>51</v>
      </c>
      <c r="C19" s="95">
        <v>419</v>
      </c>
      <c r="D19" s="92">
        <v>7.2115384999999997E-3</v>
      </c>
      <c r="E19" s="93">
        <v>176113547.81699979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248</v>
      </c>
      <c r="P19" s="39">
        <f t="shared" si="2"/>
        <v>2585</v>
      </c>
      <c r="Q19" s="77">
        <f t="shared" si="3"/>
        <v>1.77165354E-2</v>
      </c>
      <c r="R19" s="86">
        <f t="shared" si="5"/>
        <v>21110913.97783437</v>
      </c>
    </row>
    <row r="20" spans="1:18" ht="17.25" thickBot="1">
      <c r="A20" s="40" t="s">
        <v>111</v>
      </c>
      <c r="B20" s="11" t="s">
        <v>112</v>
      </c>
      <c r="C20" s="95">
        <v>8310</v>
      </c>
      <c r="D20" s="92">
        <v>6.0532687999999999E-3</v>
      </c>
      <c r="E20" s="93">
        <v>1857422.08013367</v>
      </c>
      <c r="F20" s="35"/>
      <c r="G20" s="215" t="s">
        <v>256</v>
      </c>
      <c r="H20" s="216"/>
      <c r="I20" s="21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84</v>
      </c>
      <c r="P20" s="39">
        <f t="shared" si="2"/>
        <v>6020</v>
      </c>
      <c r="Q20" s="77">
        <f t="shared" si="3"/>
        <v>7.5313808000000001E-3</v>
      </c>
      <c r="R20" s="90">
        <f t="shared" si="5"/>
        <v>59821910.678346731</v>
      </c>
    </row>
    <row r="21" spans="1:18">
      <c r="A21" s="40" t="s">
        <v>56</v>
      </c>
      <c r="B21" s="11" t="s">
        <v>57</v>
      </c>
      <c r="C21" s="95">
        <v>234</v>
      </c>
      <c r="D21" s="92">
        <v>4.2918454999999996E-3</v>
      </c>
      <c r="E21" s="93">
        <v>199482866.78469613</v>
      </c>
      <c r="F21" s="35"/>
      <c r="G21" s="224" t="s">
        <v>36</v>
      </c>
      <c r="H21" s="225"/>
      <c r="I21" s="22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218</v>
      </c>
      <c r="P21" s="45">
        <f t="shared" si="2"/>
        <v>137</v>
      </c>
      <c r="Q21" s="80">
        <f t="shared" si="3"/>
        <v>7.3529412000000001E-3</v>
      </c>
      <c r="R21" s="99">
        <f t="shared" si="5"/>
        <v>151067330.53761843</v>
      </c>
    </row>
    <row r="22" spans="1:18" ht="17.25" thickBot="1">
      <c r="A22" s="40" t="s">
        <v>169</v>
      </c>
      <c r="B22" s="11" t="s">
        <v>170</v>
      </c>
      <c r="C22" s="95">
        <v>32670</v>
      </c>
      <c r="D22" s="92">
        <v>3.3783784000000002E-3</v>
      </c>
      <c r="E22" s="93">
        <v>2504135.1409128099</v>
      </c>
      <c r="F22" s="35"/>
      <c r="G22" s="230"/>
      <c r="H22" s="231"/>
      <c r="I22" s="23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228</v>
      </c>
      <c r="P22" s="39">
        <f t="shared" si="2"/>
        <v>413</v>
      </c>
      <c r="Q22" s="77">
        <f t="shared" si="3"/>
        <v>7.3170732000000004E-3</v>
      </c>
      <c r="R22" s="86">
        <f t="shared" si="5"/>
        <v>41564220.562278718</v>
      </c>
    </row>
    <row r="23" spans="1:18" ht="17.25" thickBot="1">
      <c r="A23" s="40" t="s">
        <v>243</v>
      </c>
      <c r="B23" s="11" t="s">
        <v>244</v>
      </c>
      <c r="C23" s="95">
        <v>1515</v>
      </c>
      <c r="D23" s="92">
        <v>3.3112583000000002E-3</v>
      </c>
      <c r="E23" s="93">
        <v>15293741.25441228</v>
      </c>
      <c r="F23" s="35"/>
      <c r="G23" s="50" t="s">
        <v>38</v>
      </c>
      <c r="H23" s="216" t="s">
        <v>37</v>
      </c>
      <c r="I23" s="21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51</v>
      </c>
      <c r="P23" s="39">
        <f t="shared" si="2"/>
        <v>419</v>
      </c>
      <c r="Q23" s="77">
        <f t="shared" si="3"/>
        <v>7.2115384999999997E-3</v>
      </c>
      <c r="R23" s="86">
        <f t="shared" si="5"/>
        <v>176113547.81699979</v>
      </c>
    </row>
    <row r="24" spans="1:18">
      <c r="A24" s="40" t="s">
        <v>179</v>
      </c>
      <c r="B24" s="11" t="s">
        <v>180</v>
      </c>
      <c r="C24" s="95">
        <v>16430</v>
      </c>
      <c r="D24" s="92">
        <v>3.0525030999999998E-3</v>
      </c>
      <c r="E24" s="93">
        <v>28662891.728918161</v>
      </c>
      <c r="F24" s="35"/>
      <c r="G24" s="290">
        <f>_xlfn.IFNA(VLOOKUP(G21, $B$2:$D$200, 3, FALSE), "-")</f>
        <v>-2.1216407400000001E-2</v>
      </c>
      <c r="H24" s="284">
        <f>_xlfn.IFNA(VLOOKUP(G21, $B$2:$D$200, 2, FALSE), "-")</f>
        <v>53976000</v>
      </c>
      <c r="I24" s="28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112</v>
      </c>
      <c r="P24" s="39">
        <f t="shared" si="2"/>
        <v>8310</v>
      </c>
      <c r="Q24" s="77">
        <f t="shared" si="3"/>
        <v>6.0532687999999999E-3</v>
      </c>
      <c r="R24" s="86">
        <f t="shared" si="5"/>
        <v>1857422.08013367</v>
      </c>
    </row>
    <row r="25" spans="1:18" ht="17.25" thickBot="1">
      <c r="A25" s="40" t="s">
        <v>185</v>
      </c>
      <c r="B25" s="11" t="s">
        <v>186</v>
      </c>
      <c r="C25" s="95">
        <v>10110</v>
      </c>
      <c r="D25" s="92">
        <v>2.9761904999999998E-3</v>
      </c>
      <c r="E25" s="93">
        <v>6512073.4345971197</v>
      </c>
      <c r="F25" s="35"/>
      <c r="G25" s="291"/>
      <c r="H25" s="286"/>
      <c r="I25" s="287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57</v>
      </c>
      <c r="P25" s="37">
        <f t="shared" si="2"/>
        <v>234</v>
      </c>
      <c r="Q25" s="79">
        <f t="shared" si="3"/>
        <v>4.2918454999999996E-3</v>
      </c>
      <c r="R25" s="87">
        <f t="shared" si="5"/>
        <v>199482866.78469613</v>
      </c>
    </row>
    <row r="26" spans="1:18">
      <c r="A26" s="40" t="s">
        <v>81</v>
      </c>
      <c r="B26" s="11" t="s">
        <v>82</v>
      </c>
      <c r="C26" s="95">
        <v>2480</v>
      </c>
      <c r="D26" s="92">
        <v>0</v>
      </c>
      <c r="E26" s="93">
        <v>172593845.9148564</v>
      </c>
      <c r="F26" s="35"/>
    </row>
    <row r="27" spans="1:18" ht="17.25" thickBot="1">
      <c r="A27" s="40" t="s">
        <v>107</v>
      </c>
      <c r="B27" s="11" t="s">
        <v>108</v>
      </c>
      <c r="C27" s="95">
        <v>1410</v>
      </c>
      <c r="D27" s="92">
        <v>0</v>
      </c>
      <c r="E27" s="93">
        <v>5861558.9913769504</v>
      </c>
      <c r="F27" s="35"/>
    </row>
    <row r="28" spans="1:18" ht="17.25" thickBot="1">
      <c r="A28" s="40" t="s">
        <v>109</v>
      </c>
      <c r="B28" s="11" t="s">
        <v>110</v>
      </c>
      <c r="C28" s="95">
        <v>192</v>
      </c>
      <c r="D28" s="92">
        <v>0</v>
      </c>
      <c r="E28" s="93">
        <v>219752975.48653781</v>
      </c>
      <c r="F28" s="35"/>
      <c r="G28" s="215" t="s">
        <v>46</v>
      </c>
      <c r="H28" s="216"/>
      <c r="I28" s="216"/>
      <c r="J28" s="217"/>
      <c r="K28" s="215" t="s">
        <v>44</v>
      </c>
      <c r="L28" s="216"/>
      <c r="M28" s="216"/>
      <c r="N28" s="217"/>
      <c r="O28" s="215" t="s">
        <v>45</v>
      </c>
      <c r="P28" s="216"/>
      <c r="Q28" s="216"/>
      <c r="R28" s="217"/>
    </row>
    <row r="29" spans="1:18" ht="17.25" thickBot="1">
      <c r="A29" s="40" t="s">
        <v>77</v>
      </c>
      <c r="B29" s="11" t="s">
        <v>78</v>
      </c>
      <c r="C29" s="95">
        <v>754300</v>
      </c>
      <c r="D29" s="92">
        <v>-5.2749570999999999E-3</v>
      </c>
      <c r="E29" s="93">
        <v>77558.604759649999</v>
      </c>
      <c r="F29" s="35"/>
      <c r="G29" s="280" t="s">
        <v>55</v>
      </c>
      <c r="H29" s="292">
        <f ca="1">NOW()</f>
        <v>44422.917164583334</v>
      </c>
      <c r="I29" s="293"/>
      <c r="J29" s="294"/>
      <c r="K29" s="283" t="s">
        <v>55</v>
      </c>
      <c r="L29" s="292">
        <f ca="1">NOW()</f>
        <v>44422.917164583334</v>
      </c>
      <c r="M29" s="293"/>
      <c r="N29" s="294"/>
      <c r="O29" s="283" t="s">
        <v>55</v>
      </c>
      <c r="P29" s="292">
        <f ca="1">NOW()</f>
        <v>44422.917164583334</v>
      </c>
      <c r="Q29" s="293"/>
      <c r="R29" s="294"/>
    </row>
    <row r="30" spans="1:18" ht="17.25" thickBot="1">
      <c r="A30" s="40" t="s">
        <v>95</v>
      </c>
      <c r="B30" s="11" t="s">
        <v>96</v>
      </c>
      <c r="C30" s="95">
        <v>4125</v>
      </c>
      <c r="D30" s="92">
        <v>-7.2202166E-3</v>
      </c>
      <c r="E30" s="93">
        <v>6252325.9726221999</v>
      </c>
      <c r="F30" s="35"/>
      <c r="G30" s="277"/>
      <c r="H30" s="51" t="s">
        <v>58</v>
      </c>
      <c r="I30" s="73" t="s">
        <v>59</v>
      </c>
      <c r="J30" s="69" t="s">
        <v>264</v>
      </c>
      <c r="K30" s="232"/>
      <c r="L30" s="51" t="s">
        <v>58</v>
      </c>
      <c r="M30" s="73" t="s">
        <v>59</v>
      </c>
      <c r="N30" s="91" t="s">
        <v>264</v>
      </c>
      <c r="O30" s="232"/>
      <c r="P30" s="51" t="s">
        <v>58</v>
      </c>
      <c r="Q30" s="73" t="s">
        <v>59</v>
      </c>
      <c r="R30" s="91" t="s">
        <v>264</v>
      </c>
    </row>
    <row r="31" spans="1:18">
      <c r="A31" s="40" t="s">
        <v>161</v>
      </c>
      <c r="B31" s="11" t="s">
        <v>162</v>
      </c>
      <c r="C31" s="95">
        <v>113</v>
      </c>
      <c r="D31" s="92">
        <v>-8.7719297999999998E-3</v>
      </c>
      <c r="E31" s="93">
        <v>423718419.14048797</v>
      </c>
      <c r="F31" s="35"/>
      <c r="G31" s="52" t="s">
        <v>158</v>
      </c>
      <c r="H31" s="38">
        <f t="shared" ref="H31:H50" si="6">_xlfn.IFNA(VLOOKUP(G31, $B$2:$D$200, 2, FALSE), "")</f>
        <v>30460</v>
      </c>
      <c r="I31" s="76">
        <f t="shared" ref="I31:I50" si="7">_xlfn.IFNA(VLOOKUP(G31, $B$2:$D$200, 3, FALSE), "")</f>
        <v>0.27447698739999998</v>
      </c>
      <c r="J31" s="85">
        <f>_xlfn.IFNA(VLOOKUP(G31, $B$2:$E$200, 4, FALSE), "")</f>
        <v>11457525.022008641</v>
      </c>
      <c r="K31" s="81" t="s">
        <v>178</v>
      </c>
      <c r="L31" s="38">
        <f t="shared" ref="L31:L50" si="8">_xlfn.IFNA(VLOOKUP(K31, $B$2:$D$200, 2, FALSE), "")</f>
        <v>17.2</v>
      </c>
      <c r="M31" s="76">
        <f t="shared" ref="M31:M50" si="9">_xlfn.IFNA(VLOOKUP(K31, $B$2:$D$200, 3, FALSE), "")</f>
        <v>-2.2727272699999999E-2</v>
      </c>
      <c r="N31" s="85">
        <f>_xlfn.IFNA(VLOOKUP(K31, $B$2:$E$200, 4, FALSE), "")</f>
        <v>430279970.51127499</v>
      </c>
      <c r="O31" s="81" t="s">
        <v>132</v>
      </c>
      <c r="P31" s="38">
        <f t="shared" ref="P31:P50" si="10">_xlfn.IFNA(VLOOKUP(O31, $B$2:$D$200, 2, FALSE), "")</f>
        <v>127</v>
      </c>
      <c r="Q31" s="76">
        <f t="shared" ref="Q31:Q50" si="11">_xlfn.IFNA(VLOOKUP(O31, $B$2:$D$200, 3, FALSE), "")</f>
        <v>4.9586776899999997E-2</v>
      </c>
      <c r="R31" s="85">
        <f>_xlfn.IFNA(VLOOKUP(O31, $B$2:$E$200, 4, FALSE), "")</f>
        <v>568701157.66997898</v>
      </c>
    </row>
    <row r="32" spans="1:18">
      <c r="A32" s="40" t="s">
        <v>237</v>
      </c>
      <c r="B32" s="11" t="s">
        <v>238</v>
      </c>
      <c r="C32" s="95">
        <v>108</v>
      </c>
      <c r="D32" s="92">
        <v>-9.1743119000000008E-3</v>
      </c>
      <c r="E32" s="93">
        <v>167825865.8552871</v>
      </c>
      <c r="F32" s="35"/>
      <c r="G32" s="47" t="s">
        <v>172</v>
      </c>
      <c r="H32" s="39">
        <f t="shared" si="6"/>
        <v>3575</v>
      </c>
      <c r="I32" s="77">
        <f t="shared" si="7"/>
        <v>5.7692307700000001E-2</v>
      </c>
      <c r="J32" s="86">
        <f t="shared" ref="J32:J50" si="12">_xlfn.IFNA(VLOOKUP(G32, $B$2:$E$200, 4, FALSE), "")</f>
        <v>88056756.544148222</v>
      </c>
      <c r="K32" s="82" t="s">
        <v>234</v>
      </c>
      <c r="L32" s="39">
        <f t="shared" si="8"/>
        <v>75.900000000000006</v>
      </c>
      <c r="M32" s="77">
        <f t="shared" si="9"/>
        <v>-2.31660232E-2</v>
      </c>
      <c r="N32" s="86">
        <f t="shared" ref="N32:N50" si="13">_xlfn.IFNA(VLOOKUP(K32, $B$2:$E$200, 4, FALSE), "")</f>
        <v>362757094.09962928</v>
      </c>
      <c r="O32" s="82" t="s">
        <v>54</v>
      </c>
      <c r="P32" s="39">
        <f t="shared" si="10"/>
        <v>279</v>
      </c>
      <c r="Q32" s="77">
        <f t="shared" si="11"/>
        <v>4.1044776099999999E-2</v>
      </c>
      <c r="R32" s="86">
        <f t="shared" ref="R32:R50" si="14">_xlfn.IFNA(VLOOKUP(O32, $B$2:$E$200, 4, FALSE), "")</f>
        <v>47511240.617363431</v>
      </c>
    </row>
    <row r="33" spans="1:18">
      <c r="A33" s="40" t="s">
        <v>229</v>
      </c>
      <c r="B33" s="11" t="s">
        <v>230</v>
      </c>
      <c r="C33" s="95">
        <v>213</v>
      </c>
      <c r="D33" s="92">
        <v>-9.3023255999999995E-3</v>
      </c>
      <c r="E33" s="93">
        <v>42419761.596612893</v>
      </c>
      <c r="F33" s="35"/>
      <c r="G33" s="47" t="s">
        <v>120</v>
      </c>
      <c r="H33" s="39">
        <f t="shared" si="6"/>
        <v>5250</v>
      </c>
      <c r="I33" s="77">
        <f t="shared" si="7"/>
        <v>5.5276381899999998E-2</v>
      </c>
      <c r="J33" s="86">
        <f t="shared" si="12"/>
        <v>35979356.157234922</v>
      </c>
      <c r="K33" s="82" t="s">
        <v>210</v>
      </c>
      <c r="L33" s="39">
        <f t="shared" si="8"/>
        <v>12.6</v>
      </c>
      <c r="M33" s="77">
        <f t="shared" si="9"/>
        <v>-2.3255814E-2</v>
      </c>
      <c r="N33" s="86">
        <f t="shared" si="13"/>
        <v>467216959.72219229</v>
      </c>
      <c r="O33" s="82" t="s">
        <v>236</v>
      </c>
      <c r="P33" s="39">
        <f t="shared" si="10"/>
        <v>678</v>
      </c>
      <c r="Q33" s="77">
        <f t="shared" si="11"/>
        <v>3.3536585399999999E-2</v>
      </c>
      <c r="R33" s="86">
        <f t="shared" si="14"/>
        <v>99738063.797470585</v>
      </c>
    </row>
    <row r="34" spans="1:18">
      <c r="A34" s="40" t="s">
        <v>253</v>
      </c>
      <c r="B34" s="11" t="s">
        <v>254</v>
      </c>
      <c r="C34" s="95">
        <v>315</v>
      </c>
      <c r="D34" s="92">
        <v>-9.4339622999999994E-3</v>
      </c>
      <c r="E34" s="93">
        <v>42140824.493994102</v>
      </c>
      <c r="F34" s="35"/>
      <c r="G34" s="47" t="s">
        <v>90</v>
      </c>
      <c r="H34" s="39">
        <f t="shared" si="6"/>
        <v>1320</v>
      </c>
      <c r="I34" s="77">
        <f t="shared" si="7"/>
        <v>5.1792828700000001E-2</v>
      </c>
      <c r="J34" s="86">
        <f t="shared" si="12"/>
        <v>636378325.27881539</v>
      </c>
      <c r="K34" s="82" t="s">
        <v>98</v>
      </c>
      <c r="L34" s="39">
        <f t="shared" si="8"/>
        <v>5.47</v>
      </c>
      <c r="M34" s="77">
        <f t="shared" si="9"/>
        <v>-2.6690391500000001E-2</v>
      </c>
      <c r="N34" s="86">
        <f t="shared" si="13"/>
        <v>36895693856.560944</v>
      </c>
      <c r="O34" s="82" t="s">
        <v>128</v>
      </c>
      <c r="P34" s="39">
        <f t="shared" si="10"/>
        <v>143</v>
      </c>
      <c r="Q34" s="77">
        <f t="shared" si="11"/>
        <v>2.87769784E-2</v>
      </c>
      <c r="R34" s="86">
        <f t="shared" si="14"/>
        <v>635651143.23816228</v>
      </c>
    </row>
    <row r="35" spans="1:18">
      <c r="A35" s="40" t="s">
        <v>99</v>
      </c>
      <c r="B35" s="11" t="s">
        <v>100</v>
      </c>
      <c r="C35" s="95">
        <v>73420</v>
      </c>
      <c r="D35" s="92">
        <v>-9.4441445999999991E-3</v>
      </c>
      <c r="E35" s="93">
        <v>5986501.6100235796</v>
      </c>
      <c r="F35" s="35"/>
      <c r="G35" s="47" t="s">
        <v>132</v>
      </c>
      <c r="H35" s="44">
        <f t="shared" si="6"/>
        <v>127</v>
      </c>
      <c r="I35" s="78">
        <f t="shared" si="7"/>
        <v>4.9586776899999997E-2</v>
      </c>
      <c r="J35" s="90">
        <f t="shared" si="12"/>
        <v>568701157.66997898</v>
      </c>
      <c r="K35" s="83" t="s">
        <v>148</v>
      </c>
      <c r="L35" s="44">
        <f t="shared" si="8"/>
        <v>21.5</v>
      </c>
      <c r="M35" s="78">
        <f t="shared" si="9"/>
        <v>-2.7149321300000001E-2</v>
      </c>
      <c r="N35" s="90">
        <f t="shared" si="13"/>
        <v>907323478.68587494</v>
      </c>
      <c r="O35" s="83" t="s">
        <v>194</v>
      </c>
      <c r="P35" s="44">
        <f t="shared" si="10"/>
        <v>150</v>
      </c>
      <c r="Q35" s="78">
        <f t="shared" si="11"/>
        <v>2.0408163300000001E-2</v>
      </c>
      <c r="R35" s="90">
        <f t="shared" si="14"/>
        <v>381842887.72246486</v>
      </c>
    </row>
    <row r="36" spans="1:18">
      <c r="A36" s="40" t="s">
        <v>151</v>
      </c>
      <c r="B36" s="11" t="s">
        <v>152</v>
      </c>
      <c r="C36" s="95">
        <v>102</v>
      </c>
      <c r="D36" s="92">
        <v>-9.7087379000000001E-3</v>
      </c>
      <c r="E36" s="93">
        <v>547663494.49144328</v>
      </c>
      <c r="F36" s="35"/>
      <c r="G36" s="49" t="s">
        <v>54</v>
      </c>
      <c r="H36" s="39">
        <f t="shared" si="6"/>
        <v>279</v>
      </c>
      <c r="I36" s="77">
        <f t="shared" si="7"/>
        <v>4.1044776099999999E-2</v>
      </c>
      <c r="J36" s="99">
        <f t="shared" si="12"/>
        <v>47511240.617363431</v>
      </c>
      <c r="K36" s="82" t="s">
        <v>188</v>
      </c>
      <c r="L36" s="39">
        <f t="shared" si="8"/>
        <v>13.3</v>
      </c>
      <c r="M36" s="77">
        <f t="shared" si="9"/>
        <v>-2.9197080300000001E-2</v>
      </c>
      <c r="N36" s="99">
        <f t="shared" si="13"/>
        <v>572866847.21543026</v>
      </c>
      <c r="O36" s="82" t="s">
        <v>218</v>
      </c>
      <c r="P36" s="39">
        <f t="shared" si="10"/>
        <v>137</v>
      </c>
      <c r="Q36" s="77">
        <f t="shared" si="11"/>
        <v>7.3529412000000001E-3</v>
      </c>
      <c r="R36" s="99">
        <f t="shared" si="14"/>
        <v>151067330.53761843</v>
      </c>
    </row>
    <row r="37" spans="1:18">
      <c r="A37" s="40" t="s">
        <v>91</v>
      </c>
      <c r="B37" s="11" t="s">
        <v>92</v>
      </c>
      <c r="C37" s="95">
        <v>71400</v>
      </c>
      <c r="D37" s="92">
        <v>-1.2584704699999999E-2</v>
      </c>
      <c r="E37" s="93">
        <v>518339.23732874001</v>
      </c>
      <c r="F37" s="35"/>
      <c r="G37" s="47" t="s">
        <v>142</v>
      </c>
      <c r="H37" s="39">
        <f t="shared" si="6"/>
        <v>11930</v>
      </c>
      <c r="I37" s="77">
        <f t="shared" si="7"/>
        <v>3.7391304299999997E-2</v>
      </c>
      <c r="J37" s="86">
        <f t="shared" si="12"/>
        <v>15871967.97102851</v>
      </c>
      <c r="K37" s="82" t="s">
        <v>150</v>
      </c>
      <c r="L37" s="39">
        <f t="shared" si="8"/>
        <v>13.1</v>
      </c>
      <c r="M37" s="77">
        <f t="shared" si="9"/>
        <v>-2.9629629599999999E-2</v>
      </c>
      <c r="N37" s="86">
        <f t="shared" si="13"/>
        <v>938674944.02644885</v>
      </c>
      <c r="O37" s="82" t="s">
        <v>228</v>
      </c>
      <c r="P37" s="39">
        <f t="shared" si="10"/>
        <v>413</v>
      </c>
      <c r="Q37" s="77">
        <f t="shared" si="11"/>
        <v>7.3170732000000004E-3</v>
      </c>
      <c r="R37" s="86">
        <f t="shared" si="14"/>
        <v>41564220.562278718</v>
      </c>
    </row>
    <row r="38" spans="1:18">
      <c r="A38" s="40" t="s">
        <v>73</v>
      </c>
      <c r="B38" s="11" t="s">
        <v>74</v>
      </c>
      <c r="C38" s="95">
        <v>17300</v>
      </c>
      <c r="D38" s="92">
        <v>-1.31203651E-2</v>
      </c>
      <c r="E38" s="93">
        <v>558569.52438488998</v>
      </c>
      <c r="F38" s="35"/>
      <c r="G38" s="47" t="s">
        <v>236</v>
      </c>
      <c r="H38" s="39">
        <f t="shared" si="6"/>
        <v>678</v>
      </c>
      <c r="I38" s="77">
        <f t="shared" si="7"/>
        <v>3.3536585399999999E-2</v>
      </c>
      <c r="J38" s="86">
        <f t="shared" si="12"/>
        <v>99738063.797470585</v>
      </c>
      <c r="K38" s="82" t="s">
        <v>202</v>
      </c>
      <c r="L38" s="39">
        <f t="shared" si="8"/>
        <v>96.9</v>
      </c>
      <c r="M38" s="77">
        <f t="shared" si="9"/>
        <v>-3.0030029999999999E-2</v>
      </c>
      <c r="N38" s="86">
        <f t="shared" si="13"/>
        <v>537663279.97667837</v>
      </c>
      <c r="O38" s="82" t="s">
        <v>51</v>
      </c>
      <c r="P38" s="39">
        <f t="shared" si="10"/>
        <v>419</v>
      </c>
      <c r="Q38" s="77">
        <f t="shared" si="11"/>
        <v>7.2115384999999997E-3</v>
      </c>
      <c r="R38" s="86">
        <f t="shared" si="14"/>
        <v>176113547.81699979</v>
      </c>
    </row>
    <row r="39" spans="1:18">
      <c r="A39" s="40" t="s">
        <v>183</v>
      </c>
      <c r="B39" s="11" t="s">
        <v>184</v>
      </c>
      <c r="C39" s="95">
        <v>1055</v>
      </c>
      <c r="D39" s="92">
        <v>-1.4018691600000001E-2</v>
      </c>
      <c r="E39" s="93">
        <v>40347848.320198901</v>
      </c>
      <c r="F39" s="35"/>
      <c r="G39" s="47" t="s">
        <v>224</v>
      </c>
      <c r="H39" s="39">
        <f t="shared" si="6"/>
        <v>5005</v>
      </c>
      <c r="I39" s="77">
        <f t="shared" si="7"/>
        <v>3.19587629E-2</v>
      </c>
      <c r="J39" s="86">
        <f t="shared" si="12"/>
        <v>13733627.1537943</v>
      </c>
      <c r="K39" s="82" t="s">
        <v>250</v>
      </c>
      <c r="L39" s="39">
        <f t="shared" si="8"/>
        <v>79.3</v>
      </c>
      <c r="M39" s="77">
        <f t="shared" si="9"/>
        <v>-3.0562347199999999E-2</v>
      </c>
      <c r="N39" s="86">
        <f t="shared" si="13"/>
        <v>150772601.56696492</v>
      </c>
      <c r="O39" s="82" t="s">
        <v>57</v>
      </c>
      <c r="P39" s="39">
        <f t="shared" si="10"/>
        <v>234</v>
      </c>
      <c r="Q39" s="77">
        <f t="shared" si="11"/>
        <v>4.2918454999999996E-3</v>
      </c>
      <c r="R39" s="86">
        <f t="shared" si="14"/>
        <v>199482866.78469613</v>
      </c>
    </row>
    <row r="40" spans="1:18" ht="17.25" thickBot="1">
      <c r="A40" s="40" t="s">
        <v>181</v>
      </c>
      <c r="B40" s="11" t="s">
        <v>182</v>
      </c>
      <c r="C40" s="95">
        <v>63010</v>
      </c>
      <c r="D40" s="92">
        <v>-1.5314893E-2</v>
      </c>
      <c r="E40" s="93">
        <v>402303.88018842001</v>
      </c>
      <c r="F40" s="35"/>
      <c r="G40" s="53" t="s">
        <v>246</v>
      </c>
      <c r="H40" s="37">
        <f t="shared" si="6"/>
        <v>9365</v>
      </c>
      <c r="I40" s="79">
        <f t="shared" si="7"/>
        <v>2.91208791E-2</v>
      </c>
      <c r="J40" s="87">
        <f t="shared" si="12"/>
        <v>14575586.47181697</v>
      </c>
      <c r="K40" s="84" t="s">
        <v>204</v>
      </c>
      <c r="L40" s="37">
        <f t="shared" si="8"/>
        <v>15.2</v>
      </c>
      <c r="M40" s="79">
        <f t="shared" si="9"/>
        <v>-3.1847133800000003E-2</v>
      </c>
      <c r="N40" s="87">
        <f t="shared" si="13"/>
        <v>666885589.33560479</v>
      </c>
      <c r="O40" s="84" t="s">
        <v>110</v>
      </c>
      <c r="P40" s="37">
        <f t="shared" si="10"/>
        <v>192</v>
      </c>
      <c r="Q40" s="79">
        <f t="shared" si="11"/>
        <v>0</v>
      </c>
      <c r="R40" s="87">
        <f t="shared" si="14"/>
        <v>219752975.48653781</v>
      </c>
    </row>
    <row r="41" spans="1:18">
      <c r="A41" s="40" t="s">
        <v>143</v>
      </c>
      <c r="B41" s="11" t="s">
        <v>144</v>
      </c>
      <c r="C41" s="95">
        <v>116</v>
      </c>
      <c r="D41" s="92">
        <v>-1.6949152499999998E-2</v>
      </c>
      <c r="E41" s="93">
        <v>361744655.67061895</v>
      </c>
      <c r="F41" s="35"/>
      <c r="G41" s="52" t="s">
        <v>128</v>
      </c>
      <c r="H41" s="38">
        <f t="shared" si="6"/>
        <v>143</v>
      </c>
      <c r="I41" s="76">
        <f t="shared" si="7"/>
        <v>2.87769784E-2</v>
      </c>
      <c r="J41" s="85">
        <f t="shared" si="12"/>
        <v>635651143.23816228</v>
      </c>
      <c r="K41" s="81" t="s">
        <v>72</v>
      </c>
      <c r="L41" s="38">
        <f t="shared" si="8"/>
        <v>24.1</v>
      </c>
      <c r="M41" s="76">
        <f t="shared" si="9"/>
        <v>-3.2128514099999998E-2</v>
      </c>
      <c r="N41" s="85">
        <f t="shared" si="13"/>
        <v>373529587.18548191</v>
      </c>
      <c r="O41" s="81" t="s">
        <v>162</v>
      </c>
      <c r="P41" s="38">
        <f t="shared" si="10"/>
        <v>113</v>
      </c>
      <c r="Q41" s="76">
        <f t="shared" si="11"/>
        <v>-8.7719297999999998E-3</v>
      </c>
      <c r="R41" s="85">
        <f t="shared" si="14"/>
        <v>423718419.14048797</v>
      </c>
    </row>
    <row r="42" spans="1:18">
      <c r="A42" s="40" t="s">
        <v>241</v>
      </c>
      <c r="B42" s="11" t="s">
        <v>242</v>
      </c>
      <c r="C42" s="95">
        <v>490</v>
      </c>
      <c r="D42" s="92">
        <v>-1.8036072100000002E-2</v>
      </c>
      <c r="E42" s="93">
        <v>7926266.6690986101</v>
      </c>
      <c r="F42" s="35"/>
      <c r="G42" s="47" t="s">
        <v>67</v>
      </c>
      <c r="H42" s="39">
        <f t="shared" si="6"/>
        <v>5015</v>
      </c>
      <c r="I42" s="77">
        <f t="shared" si="7"/>
        <v>2.3469387800000002E-2</v>
      </c>
      <c r="J42" s="86">
        <f t="shared" si="12"/>
        <v>15318576.68045181</v>
      </c>
      <c r="K42" s="82" t="s">
        <v>122</v>
      </c>
      <c r="L42" s="39">
        <f t="shared" si="8"/>
        <v>34.1</v>
      </c>
      <c r="M42" s="77">
        <f t="shared" si="9"/>
        <v>-3.3994334299999998E-2</v>
      </c>
      <c r="N42" s="86">
        <f t="shared" si="13"/>
        <v>394563175.1317274</v>
      </c>
      <c r="O42" s="82" t="s">
        <v>238</v>
      </c>
      <c r="P42" s="39">
        <f t="shared" si="10"/>
        <v>108</v>
      </c>
      <c r="Q42" s="77">
        <f t="shared" si="11"/>
        <v>-9.1743119000000008E-3</v>
      </c>
      <c r="R42" s="86">
        <f t="shared" si="14"/>
        <v>167825865.8552871</v>
      </c>
    </row>
    <row r="43" spans="1:18">
      <c r="A43" s="40" t="s">
        <v>265</v>
      </c>
      <c r="B43" s="11" t="s">
        <v>266</v>
      </c>
      <c r="C43" s="95">
        <v>325</v>
      </c>
      <c r="D43" s="92">
        <v>-1.81268882E-2</v>
      </c>
      <c r="E43" s="93">
        <v>2627901508.5836163</v>
      </c>
      <c r="F43" s="35"/>
      <c r="G43" s="47" t="s">
        <v>194</v>
      </c>
      <c r="H43" s="39">
        <f t="shared" si="6"/>
        <v>150</v>
      </c>
      <c r="I43" s="77">
        <f t="shared" si="7"/>
        <v>2.0408163300000001E-2</v>
      </c>
      <c r="J43" s="86">
        <f t="shared" si="12"/>
        <v>381842887.72246486</v>
      </c>
      <c r="K43" s="82" t="s">
        <v>190</v>
      </c>
      <c r="L43" s="39">
        <f t="shared" si="8"/>
        <v>19.8</v>
      </c>
      <c r="M43" s="77">
        <f t="shared" si="9"/>
        <v>-3.4146341500000003E-2</v>
      </c>
      <c r="N43" s="86">
        <f t="shared" si="13"/>
        <v>1382772267.3752489</v>
      </c>
      <c r="O43" s="82" t="s">
        <v>230</v>
      </c>
      <c r="P43" s="39">
        <f t="shared" si="10"/>
        <v>213</v>
      </c>
      <c r="Q43" s="77">
        <f t="shared" si="11"/>
        <v>-9.3023255999999995E-3</v>
      </c>
      <c r="R43" s="86">
        <f t="shared" si="14"/>
        <v>42419761.596612893</v>
      </c>
    </row>
    <row r="44" spans="1:18">
      <c r="A44" s="40" t="s">
        <v>133</v>
      </c>
      <c r="B44" s="11" t="s">
        <v>134</v>
      </c>
      <c r="C44" s="95">
        <v>25730</v>
      </c>
      <c r="D44" s="92">
        <v>-1.8313620799999999E-2</v>
      </c>
      <c r="E44" s="93">
        <v>1737977.5427997101</v>
      </c>
      <c r="F44" s="35"/>
      <c r="G44" s="47" t="s">
        <v>248</v>
      </c>
      <c r="H44" s="39">
        <f t="shared" si="6"/>
        <v>2585</v>
      </c>
      <c r="I44" s="77">
        <f t="shared" si="7"/>
        <v>1.77165354E-2</v>
      </c>
      <c r="J44" s="86">
        <f t="shared" si="12"/>
        <v>21110913.97783437</v>
      </c>
      <c r="K44" s="82" t="s">
        <v>216</v>
      </c>
      <c r="L44" s="39">
        <f t="shared" si="8"/>
        <v>11.2</v>
      </c>
      <c r="M44" s="77">
        <f t="shared" si="9"/>
        <v>-3.4482758600000003E-2</v>
      </c>
      <c r="N44" s="86">
        <f t="shared" si="13"/>
        <v>1207886072.2238634</v>
      </c>
      <c r="O44" s="82" t="s">
        <v>254</v>
      </c>
      <c r="P44" s="39">
        <f t="shared" si="10"/>
        <v>315</v>
      </c>
      <c r="Q44" s="77">
        <f t="shared" si="11"/>
        <v>-9.4339622999999994E-3</v>
      </c>
      <c r="R44" s="86">
        <f t="shared" si="14"/>
        <v>42140824.493994102</v>
      </c>
    </row>
    <row r="45" spans="1:18">
      <c r="A45" s="40" t="s">
        <v>139</v>
      </c>
      <c r="B45" s="11" t="s">
        <v>140</v>
      </c>
      <c r="C45" s="95">
        <v>6365</v>
      </c>
      <c r="D45" s="92">
        <v>-1.8504240599999999E-2</v>
      </c>
      <c r="E45" s="93">
        <v>3351412.9355506701</v>
      </c>
      <c r="F45" s="35"/>
      <c r="G45" s="47" t="s">
        <v>84</v>
      </c>
      <c r="H45" s="44">
        <f t="shared" si="6"/>
        <v>6020</v>
      </c>
      <c r="I45" s="78">
        <f t="shared" si="7"/>
        <v>7.5313808000000001E-3</v>
      </c>
      <c r="J45" s="90">
        <f t="shared" si="12"/>
        <v>59821910.678346731</v>
      </c>
      <c r="K45" s="83" t="s">
        <v>65</v>
      </c>
      <c r="L45" s="44">
        <f t="shared" si="8"/>
        <v>35.700000000000003</v>
      </c>
      <c r="M45" s="78">
        <f t="shared" si="9"/>
        <v>-4.0322580599999998E-2</v>
      </c>
      <c r="N45" s="90">
        <f t="shared" si="13"/>
        <v>161403981.90463483</v>
      </c>
      <c r="O45" s="83" t="s">
        <v>152</v>
      </c>
      <c r="P45" s="44">
        <f t="shared" si="10"/>
        <v>102</v>
      </c>
      <c r="Q45" s="78">
        <f t="shared" si="11"/>
        <v>-9.7087379000000001E-3</v>
      </c>
      <c r="R45" s="90">
        <f t="shared" si="14"/>
        <v>547663494.49144328</v>
      </c>
    </row>
    <row r="46" spans="1:18">
      <c r="A46" s="40" t="s">
        <v>93</v>
      </c>
      <c r="B46" s="11" t="s">
        <v>94</v>
      </c>
      <c r="C46" s="95">
        <v>3757000</v>
      </c>
      <c r="D46" s="92">
        <v>-1.9572025100000001E-2</v>
      </c>
      <c r="E46" s="93">
        <v>68928.731489359998</v>
      </c>
      <c r="F46" s="35"/>
      <c r="G46" s="49" t="s">
        <v>218</v>
      </c>
      <c r="H46" s="39">
        <f t="shared" si="6"/>
        <v>137</v>
      </c>
      <c r="I46" s="77">
        <f t="shared" si="7"/>
        <v>7.3529412000000001E-3</v>
      </c>
      <c r="J46" s="99">
        <f t="shared" si="12"/>
        <v>151067330.53761843</v>
      </c>
      <c r="K46" s="82" t="s">
        <v>208</v>
      </c>
      <c r="L46" s="39">
        <f t="shared" si="8"/>
        <v>14.2</v>
      </c>
      <c r="M46" s="77">
        <f t="shared" si="9"/>
        <v>-4.05405405E-2</v>
      </c>
      <c r="N46" s="99">
        <f t="shared" si="13"/>
        <v>457974775.154064</v>
      </c>
      <c r="O46" s="82" t="s">
        <v>144</v>
      </c>
      <c r="P46" s="39">
        <f t="shared" si="10"/>
        <v>116</v>
      </c>
      <c r="Q46" s="77">
        <f t="shared" si="11"/>
        <v>-1.6949152499999998E-2</v>
      </c>
      <c r="R46" s="99">
        <f t="shared" si="14"/>
        <v>361744655.67061895</v>
      </c>
    </row>
    <row r="47" spans="1:18">
      <c r="A47" s="40" t="s">
        <v>62</v>
      </c>
      <c r="B47" s="11" t="s">
        <v>63</v>
      </c>
      <c r="C47" s="95">
        <v>62590</v>
      </c>
      <c r="D47" s="92">
        <v>-2.0194113999999999E-2</v>
      </c>
      <c r="E47" s="93">
        <v>1354228.2127085601</v>
      </c>
      <c r="F47" s="35"/>
      <c r="G47" s="47" t="s">
        <v>228</v>
      </c>
      <c r="H47" s="39">
        <f t="shared" si="6"/>
        <v>413</v>
      </c>
      <c r="I47" s="77">
        <f t="shared" si="7"/>
        <v>7.3170732000000004E-3</v>
      </c>
      <c r="J47" s="86">
        <f t="shared" si="12"/>
        <v>41564220.562278718</v>
      </c>
      <c r="K47" s="82" t="s">
        <v>240</v>
      </c>
      <c r="L47" s="39">
        <f t="shared" si="8"/>
        <v>78.099999999999994</v>
      </c>
      <c r="M47" s="77">
        <f t="shared" si="9"/>
        <v>-4.2892156899999999E-2</v>
      </c>
      <c r="N47" s="86">
        <f t="shared" si="13"/>
        <v>379286967.4849118</v>
      </c>
      <c r="O47" s="82" t="s">
        <v>242</v>
      </c>
      <c r="P47" s="39">
        <f t="shared" si="10"/>
        <v>490</v>
      </c>
      <c r="Q47" s="77">
        <f t="shared" si="11"/>
        <v>-1.8036072100000002E-2</v>
      </c>
      <c r="R47" s="86">
        <f t="shared" si="14"/>
        <v>7926266.6690986101</v>
      </c>
    </row>
    <row r="48" spans="1:18">
      <c r="A48" s="40" t="s">
        <v>101</v>
      </c>
      <c r="B48" s="11" t="s">
        <v>102</v>
      </c>
      <c r="C48" s="95">
        <v>1210</v>
      </c>
      <c r="D48" s="92">
        <v>-2.0242915E-2</v>
      </c>
      <c r="E48" s="93">
        <v>15615456.070376709</v>
      </c>
      <c r="F48" s="35"/>
      <c r="G48" s="47" t="s">
        <v>51</v>
      </c>
      <c r="H48" s="39">
        <f t="shared" si="6"/>
        <v>419</v>
      </c>
      <c r="I48" s="77">
        <f t="shared" si="7"/>
        <v>7.2115384999999997E-3</v>
      </c>
      <c r="J48" s="86">
        <f t="shared" si="12"/>
        <v>176113547.81699979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266</v>
      </c>
      <c r="P48" s="39">
        <f t="shared" si="10"/>
        <v>325</v>
      </c>
      <c r="Q48" s="77">
        <f t="shared" si="11"/>
        <v>-1.81268882E-2</v>
      </c>
      <c r="R48" s="86">
        <f t="shared" si="14"/>
        <v>2627901508.5836163</v>
      </c>
    </row>
    <row r="49" spans="1:18">
      <c r="A49" s="40" t="s">
        <v>103</v>
      </c>
      <c r="B49" s="11" t="s">
        <v>104</v>
      </c>
      <c r="C49" s="95">
        <v>1200</v>
      </c>
      <c r="D49" s="92">
        <v>-2.0408163300000001E-2</v>
      </c>
      <c r="E49" s="93">
        <v>18199286.657842211</v>
      </c>
      <c r="F49" s="35"/>
      <c r="G49" s="47" t="s">
        <v>112</v>
      </c>
      <c r="H49" s="39">
        <f t="shared" si="6"/>
        <v>8310</v>
      </c>
      <c r="I49" s="77">
        <f t="shared" si="7"/>
        <v>6.0532687999999999E-3</v>
      </c>
      <c r="J49" s="86">
        <f t="shared" si="12"/>
        <v>1857422.08013367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200</v>
      </c>
      <c r="P49" s="39">
        <f t="shared" si="10"/>
        <v>143</v>
      </c>
      <c r="Q49" s="77">
        <f t="shared" si="11"/>
        <v>-2.0547945200000001E-2</v>
      </c>
      <c r="R49" s="86">
        <f t="shared" si="14"/>
        <v>59335573.122811243</v>
      </c>
    </row>
    <row r="50" spans="1:18" ht="17.25" thickBot="1">
      <c r="A50" s="40" t="s">
        <v>199</v>
      </c>
      <c r="B50" s="11" t="s">
        <v>200</v>
      </c>
      <c r="C50" s="95">
        <v>143</v>
      </c>
      <c r="D50" s="92">
        <v>-2.0547945200000001E-2</v>
      </c>
      <c r="E50" s="93">
        <v>59335573.122811243</v>
      </c>
      <c r="F50" s="35"/>
      <c r="G50" s="53" t="s">
        <v>57</v>
      </c>
      <c r="H50" s="37">
        <f t="shared" si="6"/>
        <v>234</v>
      </c>
      <c r="I50" s="79">
        <f t="shared" si="7"/>
        <v>4.2918454999999996E-3</v>
      </c>
      <c r="J50" s="87">
        <f t="shared" si="12"/>
        <v>199482866.78469613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206</v>
      </c>
      <c r="P50" s="37">
        <f t="shared" si="10"/>
        <v>347</v>
      </c>
      <c r="Q50" s="79">
        <f t="shared" si="11"/>
        <v>-2.25352113E-2</v>
      </c>
      <c r="R50" s="87">
        <f t="shared" si="14"/>
        <v>13438313.92057717</v>
      </c>
    </row>
    <row r="51" spans="1:18">
      <c r="A51" s="40" t="s">
        <v>155</v>
      </c>
      <c r="B51" s="11" t="s">
        <v>156</v>
      </c>
      <c r="C51" s="95">
        <v>1895</v>
      </c>
      <c r="D51" s="92">
        <v>-2.0671834600000001E-2</v>
      </c>
      <c r="E51" s="93">
        <v>7899154.8787333397</v>
      </c>
      <c r="F51" s="35"/>
    </row>
    <row r="52" spans="1:18" ht="17.25" thickBot="1">
      <c r="A52" s="40" t="s">
        <v>48</v>
      </c>
      <c r="B52" s="11" t="s">
        <v>49</v>
      </c>
      <c r="C52" s="95">
        <v>53976000</v>
      </c>
      <c r="D52" s="92">
        <v>-2.1216407400000001E-2</v>
      </c>
      <c r="E52" s="93">
        <v>7619.1117597000002</v>
      </c>
      <c r="F52" s="35"/>
    </row>
    <row r="53" spans="1:18" ht="17.25" thickBot="1">
      <c r="A53" s="40" t="s">
        <v>167</v>
      </c>
      <c r="B53" s="11" t="s">
        <v>168</v>
      </c>
      <c r="C53" s="95">
        <v>1605</v>
      </c>
      <c r="D53" s="92">
        <v>-2.13414634E-2</v>
      </c>
      <c r="E53" s="93">
        <v>12526439.52187665</v>
      </c>
      <c r="F53" s="35"/>
      <c r="G53" s="215" t="s">
        <v>255</v>
      </c>
      <c r="H53" s="216"/>
      <c r="I53" s="216"/>
      <c r="J53" s="217"/>
      <c r="K53" s="215" t="s">
        <v>258</v>
      </c>
      <c r="L53" s="216"/>
      <c r="M53" s="216"/>
      <c r="N53" s="217"/>
      <c r="O53" s="215" t="s">
        <v>259</v>
      </c>
      <c r="P53" s="216"/>
      <c r="Q53" s="216"/>
      <c r="R53" s="217"/>
    </row>
    <row r="54" spans="1:18" ht="17.25" thickBot="1">
      <c r="A54" s="40" t="s">
        <v>211</v>
      </c>
      <c r="B54" s="11" t="s">
        <v>212</v>
      </c>
      <c r="C54" s="95">
        <v>1325</v>
      </c>
      <c r="D54" s="92">
        <v>-2.21402214E-2</v>
      </c>
      <c r="E54" s="93">
        <v>30498833.383427419</v>
      </c>
      <c r="F54" s="35"/>
      <c r="G54" s="280" t="s">
        <v>55</v>
      </c>
      <c r="H54" s="292">
        <f ca="1">NOW()</f>
        <v>44422.917164583334</v>
      </c>
      <c r="I54" s="293"/>
      <c r="J54" s="294"/>
      <c r="K54" s="283" t="s">
        <v>55</v>
      </c>
      <c r="L54" s="292">
        <f ca="1">NOW()</f>
        <v>44422.917164583334</v>
      </c>
      <c r="M54" s="293"/>
      <c r="N54" s="294"/>
      <c r="O54" s="283" t="s">
        <v>55</v>
      </c>
      <c r="P54" s="292">
        <f ca="1">NOW()</f>
        <v>44422.917164583334</v>
      </c>
      <c r="Q54" s="293"/>
      <c r="R54" s="294"/>
    </row>
    <row r="55" spans="1:18" ht="17.25" thickBot="1">
      <c r="A55" s="40" t="s">
        <v>87</v>
      </c>
      <c r="B55" s="11" t="s">
        <v>88</v>
      </c>
      <c r="C55" s="95">
        <v>190900</v>
      </c>
      <c r="D55" s="92">
        <v>-2.2279129299999999E-2</v>
      </c>
      <c r="E55" s="93">
        <v>81035.884826399997</v>
      </c>
      <c r="F55" s="35"/>
      <c r="G55" s="277"/>
      <c r="H55" s="51" t="s">
        <v>58</v>
      </c>
      <c r="I55" s="73" t="s">
        <v>59</v>
      </c>
      <c r="J55" s="69" t="s">
        <v>264</v>
      </c>
      <c r="K55" s="232"/>
      <c r="L55" s="51" t="s">
        <v>58</v>
      </c>
      <c r="M55" s="73" t="s">
        <v>59</v>
      </c>
      <c r="N55" s="69" t="s">
        <v>264</v>
      </c>
      <c r="O55" s="232"/>
      <c r="P55" s="51" t="s">
        <v>58</v>
      </c>
      <c r="Q55" s="73" t="s">
        <v>59</v>
      </c>
      <c r="R55" s="69" t="s">
        <v>264</v>
      </c>
    </row>
    <row r="56" spans="1:18">
      <c r="A56" s="40" t="s">
        <v>205</v>
      </c>
      <c r="B56" s="11" t="s">
        <v>206</v>
      </c>
      <c r="C56" s="95">
        <v>347</v>
      </c>
      <c r="D56" s="92">
        <v>-2.25352113E-2</v>
      </c>
      <c r="E56" s="93">
        <v>13438313.92057717</v>
      </c>
      <c r="F56" s="35"/>
      <c r="G56" s="55" t="s">
        <v>76</v>
      </c>
      <c r="H56" s="38">
        <f t="shared" ref="H56:H75" si="15">_xlfn.IFNA(VLOOKUP(G56, $B$2:$D$200, 2, FALSE), "")</f>
        <v>30980</v>
      </c>
      <c r="I56" s="76">
        <f t="shared" ref="I56:I65" si="16">_xlfn.IFNA(VLOOKUP(G56, $B$2:$D$200, 3, FALSE), "")</f>
        <v>-3.1269543499999997E-2</v>
      </c>
      <c r="J56" s="85">
        <f>_xlfn.IFNA(VLOOKUP(G56, $B$2:$E$200, 4, FALSE), "")</f>
        <v>730118.71805975004</v>
      </c>
      <c r="K56" s="81" t="s">
        <v>178</v>
      </c>
      <c r="L56" s="38">
        <f t="shared" ref="L56:L75" si="17">_xlfn.IFNA(VLOOKUP(K56, $B$2:$D$200, 2, FALSE), "")</f>
        <v>17.2</v>
      </c>
      <c r="M56" s="76">
        <f t="shared" ref="M56:M75" si="18">_xlfn.IFNA(VLOOKUP(K56, $B$2:$D$200, 3, FALSE), "")</f>
        <v>-2.2727272699999999E-2</v>
      </c>
      <c r="N56" s="85">
        <f>_xlfn.IFNA(VLOOKUP(K56, $B$2:$E$200, 4, FALSE), "")</f>
        <v>430279970.51127499</v>
      </c>
      <c r="O56" s="81" t="s">
        <v>242</v>
      </c>
      <c r="P56" s="38">
        <f t="shared" ref="P56:P75" si="19">_xlfn.IFNA(VLOOKUP(O56, $B$2:$D$200, 2, FALSE), "")</f>
        <v>490</v>
      </c>
      <c r="Q56" s="76">
        <f t="shared" ref="Q56:Q75" si="20">_xlfn.IFNA(VLOOKUP(O56, $B$2:$D$200, 3, FALSE), "")</f>
        <v>-1.8036072100000002E-2</v>
      </c>
      <c r="R56" s="85">
        <f>_xlfn.IFNA(VLOOKUP(O56, $B$2:$E$200, 4, FALSE), "")</f>
        <v>7926266.6690986101</v>
      </c>
    </row>
    <row r="57" spans="1:18">
      <c r="A57" s="40" t="s">
        <v>117</v>
      </c>
      <c r="B57" s="11" t="s">
        <v>118</v>
      </c>
      <c r="C57" s="95">
        <v>173</v>
      </c>
      <c r="D57" s="92">
        <v>-2.2598870100000001E-2</v>
      </c>
      <c r="E57" s="93">
        <v>34094804.538425677</v>
      </c>
      <c r="F57" s="35"/>
      <c r="G57" s="56" t="s">
        <v>204</v>
      </c>
      <c r="H57" s="39">
        <f t="shared" si="15"/>
        <v>15.2</v>
      </c>
      <c r="I57" s="77">
        <f t="shared" si="16"/>
        <v>-3.1847133800000003E-2</v>
      </c>
      <c r="J57" s="86">
        <f t="shared" ref="J57:J75" si="21">_xlfn.IFNA(VLOOKUP(G57, $B$2:$E$200, 4, FALSE), "")</f>
        <v>666885589.33560479</v>
      </c>
      <c r="K57" s="82" t="s">
        <v>234</v>
      </c>
      <c r="L57" s="39">
        <f t="shared" si="17"/>
        <v>75.900000000000006</v>
      </c>
      <c r="M57" s="77">
        <f t="shared" si="18"/>
        <v>-2.31660232E-2</v>
      </c>
      <c r="N57" s="86">
        <f t="shared" ref="N57:N75" si="22">_xlfn.IFNA(VLOOKUP(K57, $B$2:$E$200, 4, FALSE), "")</f>
        <v>362757094.09962928</v>
      </c>
      <c r="O57" s="82" t="s">
        <v>266</v>
      </c>
      <c r="P57" s="39">
        <f t="shared" si="19"/>
        <v>325</v>
      </c>
      <c r="Q57" s="77">
        <f t="shared" si="20"/>
        <v>-1.81268882E-2</v>
      </c>
      <c r="R57" s="86">
        <f t="shared" ref="R57:R75" si="23">_xlfn.IFNA(VLOOKUP(O57, $B$2:$E$200, 4, FALSE), "")</f>
        <v>2627901508.5836163</v>
      </c>
    </row>
    <row r="58" spans="1:18">
      <c r="A58" s="40" t="s">
        <v>177</v>
      </c>
      <c r="B58" s="11" t="s">
        <v>178</v>
      </c>
      <c r="C58" s="95">
        <v>17.2</v>
      </c>
      <c r="D58" s="92">
        <v>-2.2727272699999999E-2</v>
      </c>
      <c r="E58" s="93">
        <v>430279970.51127499</v>
      </c>
      <c r="F58" s="35"/>
      <c r="G58" s="56" t="s">
        <v>72</v>
      </c>
      <c r="H58" s="39">
        <f t="shared" si="15"/>
        <v>24.1</v>
      </c>
      <c r="I58" s="77">
        <f t="shared" si="16"/>
        <v>-3.2128514099999998E-2</v>
      </c>
      <c r="J58" s="86">
        <f t="shared" si="21"/>
        <v>373529587.18548191</v>
      </c>
      <c r="K58" s="82" t="s">
        <v>210</v>
      </c>
      <c r="L58" s="39">
        <f t="shared" si="17"/>
        <v>12.6</v>
      </c>
      <c r="M58" s="77">
        <f t="shared" si="18"/>
        <v>-2.3255814E-2</v>
      </c>
      <c r="N58" s="86">
        <f t="shared" si="22"/>
        <v>467216959.72219229</v>
      </c>
      <c r="O58" s="82" t="s">
        <v>200</v>
      </c>
      <c r="P58" s="39">
        <f t="shared" si="19"/>
        <v>143</v>
      </c>
      <c r="Q58" s="77">
        <f t="shared" si="20"/>
        <v>-2.0547945200000001E-2</v>
      </c>
      <c r="R58" s="86">
        <f t="shared" si="23"/>
        <v>59335573.122811243</v>
      </c>
    </row>
    <row r="59" spans="1:18">
      <c r="A59" s="40" t="s">
        <v>219</v>
      </c>
      <c r="B59" s="11" t="s">
        <v>220</v>
      </c>
      <c r="C59" s="95">
        <v>215</v>
      </c>
      <c r="D59" s="92">
        <v>-2.2727272699999999E-2</v>
      </c>
      <c r="E59" s="93">
        <v>86604270.123401821</v>
      </c>
      <c r="F59" s="35"/>
      <c r="G59" s="56" t="s">
        <v>192</v>
      </c>
      <c r="H59" s="39">
        <f t="shared" si="15"/>
        <v>235</v>
      </c>
      <c r="I59" s="77">
        <f t="shared" si="16"/>
        <v>-3.2921810699999998E-2</v>
      </c>
      <c r="J59" s="86">
        <f t="shared" si="21"/>
        <v>37082931.05095239</v>
      </c>
      <c r="K59" s="82" t="s">
        <v>98</v>
      </c>
      <c r="L59" s="39">
        <f t="shared" si="17"/>
        <v>5.47</v>
      </c>
      <c r="M59" s="77">
        <f t="shared" si="18"/>
        <v>-2.6690391500000001E-2</v>
      </c>
      <c r="N59" s="86">
        <f t="shared" si="22"/>
        <v>36895693856.560944</v>
      </c>
      <c r="O59" s="82" t="s">
        <v>206</v>
      </c>
      <c r="P59" s="39">
        <f t="shared" si="19"/>
        <v>347</v>
      </c>
      <c r="Q59" s="77">
        <f t="shared" si="20"/>
        <v>-2.25352113E-2</v>
      </c>
      <c r="R59" s="86">
        <f t="shared" si="23"/>
        <v>13438313.92057717</v>
      </c>
    </row>
    <row r="60" spans="1:18">
      <c r="A60" s="40" t="s">
        <v>233</v>
      </c>
      <c r="B60" s="11" t="s">
        <v>234</v>
      </c>
      <c r="C60" s="95">
        <v>75.900000000000006</v>
      </c>
      <c r="D60" s="92">
        <v>-2.31660232E-2</v>
      </c>
      <c r="E60" s="93">
        <v>362757094.09962928</v>
      </c>
      <c r="F60" s="35"/>
      <c r="G60" s="56" t="s">
        <v>232</v>
      </c>
      <c r="H60" s="39">
        <f t="shared" si="15"/>
        <v>548</v>
      </c>
      <c r="I60" s="77">
        <f t="shared" si="16"/>
        <v>-3.3509700199999999E-2</v>
      </c>
      <c r="J60" s="90">
        <f t="shared" si="21"/>
        <v>29224543.738392159</v>
      </c>
      <c r="K60" s="83" t="s">
        <v>148</v>
      </c>
      <c r="L60" s="44">
        <f t="shared" si="17"/>
        <v>21.5</v>
      </c>
      <c r="M60" s="78">
        <f t="shared" si="18"/>
        <v>-2.7149321300000001E-2</v>
      </c>
      <c r="N60" s="90">
        <f t="shared" si="22"/>
        <v>907323478.68587494</v>
      </c>
      <c r="O60" s="83" t="s">
        <v>118</v>
      </c>
      <c r="P60" s="44">
        <f t="shared" si="19"/>
        <v>173</v>
      </c>
      <c r="Q60" s="78">
        <f t="shared" si="20"/>
        <v>-2.2598870100000001E-2</v>
      </c>
      <c r="R60" s="90">
        <f t="shared" si="23"/>
        <v>34094804.538425677</v>
      </c>
    </row>
    <row r="61" spans="1:18">
      <c r="A61" s="40" t="s">
        <v>209</v>
      </c>
      <c r="B61" s="11" t="s">
        <v>210</v>
      </c>
      <c r="C61" s="95">
        <v>12.6</v>
      </c>
      <c r="D61" s="92">
        <v>-2.3255814E-2</v>
      </c>
      <c r="E61" s="93">
        <v>467216959.72219229</v>
      </c>
      <c r="F61" s="35"/>
      <c r="G61" s="60" t="s">
        <v>154</v>
      </c>
      <c r="H61" s="45">
        <f t="shared" si="15"/>
        <v>78460</v>
      </c>
      <c r="I61" s="80">
        <f t="shared" si="16"/>
        <v>-3.3624830600000002E-2</v>
      </c>
      <c r="J61" s="99">
        <f t="shared" si="21"/>
        <v>4543703.7842518101</v>
      </c>
      <c r="K61" s="82" t="s">
        <v>188</v>
      </c>
      <c r="L61" s="39">
        <f t="shared" si="17"/>
        <v>13.3</v>
      </c>
      <c r="M61" s="77">
        <f t="shared" si="18"/>
        <v>-2.9197080300000001E-2</v>
      </c>
      <c r="N61" s="99">
        <f t="shared" si="22"/>
        <v>572866847.21543026</v>
      </c>
      <c r="O61" s="82" t="s">
        <v>220</v>
      </c>
      <c r="P61" s="39">
        <f t="shared" si="19"/>
        <v>215</v>
      </c>
      <c r="Q61" s="77">
        <f t="shared" si="20"/>
        <v>-2.2727272699999999E-2</v>
      </c>
      <c r="R61" s="99">
        <f t="shared" si="23"/>
        <v>86604270.123401821</v>
      </c>
    </row>
    <row r="62" spans="1:18">
      <c r="A62" s="40" t="s">
        <v>125</v>
      </c>
      <c r="B62" s="11" t="s">
        <v>126</v>
      </c>
      <c r="C62" s="95">
        <v>206700</v>
      </c>
      <c r="D62" s="92">
        <v>-2.3387668300000001E-2</v>
      </c>
      <c r="E62" s="93">
        <v>137771.22810008001</v>
      </c>
      <c r="F62" s="35"/>
      <c r="G62" s="56" t="s">
        <v>122</v>
      </c>
      <c r="H62" s="39">
        <f t="shared" si="15"/>
        <v>34.1</v>
      </c>
      <c r="I62" s="77">
        <f t="shared" si="16"/>
        <v>-3.3994334299999998E-2</v>
      </c>
      <c r="J62" s="86">
        <f t="shared" si="21"/>
        <v>394563175.1317274</v>
      </c>
      <c r="K62" s="82" t="s">
        <v>150</v>
      </c>
      <c r="L62" s="39">
        <f t="shared" si="17"/>
        <v>13.1</v>
      </c>
      <c r="M62" s="77">
        <f t="shared" si="18"/>
        <v>-2.9629629599999999E-2</v>
      </c>
      <c r="N62" s="86">
        <f t="shared" si="22"/>
        <v>938674944.02644885</v>
      </c>
      <c r="O62" s="82" t="s">
        <v>61</v>
      </c>
      <c r="P62" s="39">
        <f t="shared" si="19"/>
        <v>946</v>
      </c>
      <c r="Q62" s="77">
        <f t="shared" si="20"/>
        <v>-2.57466529E-2</v>
      </c>
      <c r="R62" s="86">
        <f t="shared" si="23"/>
        <v>31167927.949226812</v>
      </c>
    </row>
    <row r="63" spans="1:18">
      <c r="A63" s="40" t="s">
        <v>159</v>
      </c>
      <c r="B63" s="11" t="s">
        <v>160</v>
      </c>
      <c r="C63" s="95">
        <v>1415</v>
      </c>
      <c r="D63" s="92">
        <v>-2.4137931000000001E-2</v>
      </c>
      <c r="E63" s="93">
        <v>5472096.9029747201</v>
      </c>
      <c r="F63" s="35"/>
      <c r="G63" s="56" t="s">
        <v>190</v>
      </c>
      <c r="H63" s="39">
        <f t="shared" si="15"/>
        <v>19.8</v>
      </c>
      <c r="I63" s="77">
        <f t="shared" si="16"/>
        <v>-3.4146341500000003E-2</v>
      </c>
      <c r="J63" s="86">
        <f t="shared" si="21"/>
        <v>1382772267.3752489</v>
      </c>
      <c r="K63" s="82" t="s">
        <v>202</v>
      </c>
      <c r="L63" s="39">
        <f t="shared" si="17"/>
        <v>96.9</v>
      </c>
      <c r="M63" s="77">
        <f t="shared" si="18"/>
        <v>-3.0030029999999999E-2</v>
      </c>
      <c r="N63" s="86">
        <f t="shared" si="22"/>
        <v>537663279.97667837</v>
      </c>
      <c r="O63" s="82" t="s">
        <v>130</v>
      </c>
      <c r="P63" s="39">
        <f t="shared" si="19"/>
        <v>113</v>
      </c>
      <c r="Q63" s="77">
        <f t="shared" si="20"/>
        <v>-2.5862069000000001E-2</v>
      </c>
      <c r="R63" s="86">
        <f t="shared" si="23"/>
        <v>143169284.02136001</v>
      </c>
    </row>
    <row r="64" spans="1:18">
      <c r="A64" s="40" t="s">
        <v>115</v>
      </c>
      <c r="B64" s="11" t="s">
        <v>116</v>
      </c>
      <c r="C64" s="95">
        <v>6945</v>
      </c>
      <c r="D64" s="92">
        <v>-2.4578651699999999E-2</v>
      </c>
      <c r="E64" s="93">
        <v>1534594.31207934</v>
      </c>
      <c r="F64" s="35"/>
      <c r="G64" s="56" t="s">
        <v>136</v>
      </c>
      <c r="H64" s="39">
        <f t="shared" si="15"/>
        <v>2115</v>
      </c>
      <c r="I64" s="77">
        <f t="shared" si="16"/>
        <v>-3.4246575299999998E-2</v>
      </c>
      <c r="J64" s="86">
        <f t="shared" si="21"/>
        <v>5294428.2525653597</v>
      </c>
      <c r="K64" s="82" t="s">
        <v>250</v>
      </c>
      <c r="L64" s="39">
        <f t="shared" si="17"/>
        <v>79.3</v>
      </c>
      <c r="M64" s="77">
        <f t="shared" si="18"/>
        <v>-3.0562347199999999E-2</v>
      </c>
      <c r="N64" s="86">
        <f t="shared" si="22"/>
        <v>150772601.56696492</v>
      </c>
      <c r="O64" s="82" t="s">
        <v>222</v>
      </c>
      <c r="P64" s="39">
        <f t="shared" si="19"/>
        <v>148</v>
      </c>
      <c r="Q64" s="77">
        <f t="shared" si="20"/>
        <v>-2.6315789499999999E-2</v>
      </c>
      <c r="R64" s="86">
        <f t="shared" si="23"/>
        <v>79443176.90777342</v>
      </c>
    </row>
    <row r="65" spans="1:18" ht="17.25" thickBot="1">
      <c r="A65" s="40" t="s">
        <v>175</v>
      </c>
      <c r="B65" s="11" t="s">
        <v>176</v>
      </c>
      <c r="C65" s="95">
        <v>1580</v>
      </c>
      <c r="D65" s="92">
        <v>-2.4691358E-2</v>
      </c>
      <c r="E65" s="93">
        <v>2965436.3176078801</v>
      </c>
      <c r="F65" s="35"/>
      <c r="G65" s="57" t="s">
        <v>216</v>
      </c>
      <c r="H65" s="37">
        <f t="shared" si="15"/>
        <v>11.2</v>
      </c>
      <c r="I65" s="79">
        <f t="shared" si="16"/>
        <v>-3.4482758600000003E-2</v>
      </c>
      <c r="J65" s="87">
        <f t="shared" si="21"/>
        <v>1207886072.2238634</v>
      </c>
      <c r="K65" s="84" t="s">
        <v>204</v>
      </c>
      <c r="L65" s="37">
        <f t="shared" si="17"/>
        <v>15.2</v>
      </c>
      <c r="M65" s="79">
        <f t="shared" si="18"/>
        <v>-3.1847133800000003E-2</v>
      </c>
      <c r="N65" s="87">
        <f t="shared" si="22"/>
        <v>666885589.33560479</v>
      </c>
      <c r="O65" s="84" t="s">
        <v>164</v>
      </c>
      <c r="P65" s="37">
        <f t="shared" si="19"/>
        <v>323</v>
      </c>
      <c r="Q65" s="79">
        <f t="shared" si="20"/>
        <v>-2.71084337E-2</v>
      </c>
      <c r="R65" s="87">
        <f t="shared" si="23"/>
        <v>24876241.493331362</v>
      </c>
    </row>
    <row r="66" spans="1:18">
      <c r="A66" s="40" t="s">
        <v>60</v>
      </c>
      <c r="B66" s="11" t="s">
        <v>61</v>
      </c>
      <c r="C66" s="95">
        <v>946</v>
      </c>
      <c r="D66" s="92">
        <v>-2.57466529E-2</v>
      </c>
      <c r="E66" s="93">
        <v>31167927.949226812</v>
      </c>
      <c r="F66" s="35"/>
      <c r="G66" s="56" t="s">
        <v>80</v>
      </c>
      <c r="H66" s="38">
        <f t="shared" si="15"/>
        <v>878</v>
      </c>
      <c r="I66" s="76">
        <f t="shared" ref="I66:I75" si="24">_xlfn.IFNA(VLOOKUP(G66, $B$2:$D$200, 3, FALSE), "")</f>
        <v>-3.5164835200000001E-2</v>
      </c>
      <c r="J66" s="85">
        <f t="shared" si="21"/>
        <v>8578182.6128019299</v>
      </c>
      <c r="K66" s="81" t="s">
        <v>72</v>
      </c>
      <c r="L66" s="38">
        <f t="shared" si="17"/>
        <v>24.1</v>
      </c>
      <c r="M66" s="76">
        <f t="shared" si="18"/>
        <v>-3.2128514099999998E-2</v>
      </c>
      <c r="N66" s="85">
        <f t="shared" si="22"/>
        <v>373529587.18548191</v>
      </c>
      <c r="O66" s="81" t="s">
        <v>174</v>
      </c>
      <c r="P66" s="38">
        <f t="shared" si="19"/>
        <v>352</v>
      </c>
      <c r="Q66" s="76">
        <f t="shared" si="20"/>
        <v>-2.7624309400000002E-2</v>
      </c>
      <c r="R66" s="85">
        <f t="shared" si="23"/>
        <v>26993182.11287846</v>
      </c>
    </row>
    <row r="67" spans="1:18">
      <c r="A67" s="40" t="s">
        <v>129</v>
      </c>
      <c r="B67" s="11" t="s">
        <v>130</v>
      </c>
      <c r="C67" s="95">
        <v>113</v>
      </c>
      <c r="D67" s="92">
        <v>-2.5862069000000001E-2</v>
      </c>
      <c r="E67" s="93">
        <v>143169284.02136001</v>
      </c>
      <c r="F67" s="35"/>
      <c r="G67" s="56" t="s">
        <v>106</v>
      </c>
      <c r="H67" s="39">
        <f t="shared" si="15"/>
        <v>63650</v>
      </c>
      <c r="I67" s="77">
        <f t="shared" si="24"/>
        <v>-3.5167500400000003E-2</v>
      </c>
      <c r="J67" s="86">
        <f t="shared" si="21"/>
        <v>754628.59669686004</v>
      </c>
      <c r="K67" s="82" t="s">
        <v>122</v>
      </c>
      <c r="L67" s="39">
        <f t="shared" si="17"/>
        <v>34.1</v>
      </c>
      <c r="M67" s="77">
        <f t="shared" si="18"/>
        <v>-3.3994334299999998E-2</v>
      </c>
      <c r="N67" s="86">
        <f t="shared" si="22"/>
        <v>394563175.1317274</v>
      </c>
      <c r="O67" s="82" t="s">
        <v>138</v>
      </c>
      <c r="P67" s="39">
        <f t="shared" si="19"/>
        <v>393</v>
      </c>
      <c r="Q67" s="77">
        <f t="shared" si="20"/>
        <v>-2.9629629599999999E-2</v>
      </c>
      <c r="R67" s="86">
        <f t="shared" si="23"/>
        <v>88694119.290372878</v>
      </c>
    </row>
    <row r="68" spans="1:18">
      <c r="A68" s="40" t="s">
        <v>221</v>
      </c>
      <c r="B68" s="11" t="s">
        <v>222</v>
      </c>
      <c r="C68" s="95">
        <v>148</v>
      </c>
      <c r="D68" s="92">
        <v>-2.6315789499999999E-2</v>
      </c>
      <c r="E68" s="93">
        <v>79443176.90777342</v>
      </c>
      <c r="F68" s="35"/>
      <c r="G68" s="56" t="s">
        <v>226</v>
      </c>
      <c r="H68" s="39">
        <f t="shared" si="15"/>
        <v>2055</v>
      </c>
      <c r="I68" s="77">
        <f t="shared" si="24"/>
        <v>-3.5211267599999999E-2</v>
      </c>
      <c r="J68" s="86">
        <f t="shared" si="21"/>
        <v>10433863.545685681</v>
      </c>
      <c r="K68" s="82" t="s">
        <v>190</v>
      </c>
      <c r="L68" s="39">
        <f t="shared" si="17"/>
        <v>19.8</v>
      </c>
      <c r="M68" s="77">
        <f t="shared" si="18"/>
        <v>-3.4146341500000003E-2</v>
      </c>
      <c r="N68" s="86">
        <f t="shared" si="22"/>
        <v>1382772267.3752489</v>
      </c>
      <c r="O68" s="82" t="s">
        <v>166</v>
      </c>
      <c r="P68" s="39">
        <f t="shared" si="19"/>
        <v>259</v>
      </c>
      <c r="Q68" s="77">
        <f t="shared" si="20"/>
        <v>-2.99625468E-2</v>
      </c>
      <c r="R68" s="86">
        <f t="shared" si="23"/>
        <v>191589283.33017749</v>
      </c>
    </row>
    <row r="69" spans="1:18">
      <c r="A69" s="40" t="s">
        <v>97</v>
      </c>
      <c r="B69" s="11" t="s">
        <v>98</v>
      </c>
      <c r="C69" s="95">
        <v>5.47</v>
      </c>
      <c r="D69" s="92">
        <v>-2.6690391500000001E-2</v>
      </c>
      <c r="E69" s="93">
        <v>36895693856.560944</v>
      </c>
      <c r="F69" s="35"/>
      <c r="G69" s="56" t="s">
        <v>114</v>
      </c>
      <c r="H69" s="39">
        <f t="shared" si="15"/>
        <v>737</v>
      </c>
      <c r="I69" s="77">
        <f t="shared" si="24"/>
        <v>-3.5340314099999999E-2</v>
      </c>
      <c r="J69" s="86">
        <f t="shared" si="21"/>
        <v>41528858.46459157</v>
      </c>
      <c r="K69" s="82" t="s">
        <v>216</v>
      </c>
      <c r="L69" s="39">
        <f t="shared" si="17"/>
        <v>11.2</v>
      </c>
      <c r="M69" s="77">
        <f t="shared" si="18"/>
        <v>-3.4482758600000003E-2</v>
      </c>
      <c r="N69" s="86">
        <f t="shared" si="22"/>
        <v>1207886072.2238634</v>
      </c>
      <c r="O69" s="82" t="s">
        <v>124</v>
      </c>
      <c r="P69" s="39">
        <f t="shared" si="19"/>
        <v>381</v>
      </c>
      <c r="Q69" s="77">
        <f t="shared" si="20"/>
        <v>-3.0534351099999999E-2</v>
      </c>
      <c r="R69" s="86">
        <f t="shared" si="23"/>
        <v>20691066.33608789</v>
      </c>
    </row>
    <row r="70" spans="1:18">
      <c r="A70" s="40" t="s">
        <v>197</v>
      </c>
      <c r="B70" s="11" t="s">
        <v>198</v>
      </c>
      <c r="C70" s="95">
        <v>26560</v>
      </c>
      <c r="D70" s="92">
        <v>-2.7106227100000001E-2</v>
      </c>
      <c r="E70" s="93">
        <v>3456926.2022341001</v>
      </c>
      <c r="F70" s="35"/>
      <c r="G70" s="56" t="s">
        <v>69</v>
      </c>
      <c r="H70" s="39">
        <f t="shared" si="15"/>
        <v>5790</v>
      </c>
      <c r="I70" s="77">
        <f t="shared" si="24"/>
        <v>-3.90041494E-2</v>
      </c>
      <c r="J70" s="90">
        <f t="shared" si="21"/>
        <v>2178581.7433239198</v>
      </c>
      <c r="K70" s="83" t="s">
        <v>65</v>
      </c>
      <c r="L70" s="44">
        <f t="shared" si="17"/>
        <v>35.700000000000003</v>
      </c>
      <c r="M70" s="78">
        <f t="shared" si="18"/>
        <v>-4.0322580599999998E-2</v>
      </c>
      <c r="N70" s="90">
        <f t="shared" si="22"/>
        <v>161403981.90463483</v>
      </c>
      <c r="O70" s="83" t="s">
        <v>252</v>
      </c>
      <c r="P70" s="44">
        <f t="shared" si="19"/>
        <v>998</v>
      </c>
      <c r="Q70" s="78">
        <f t="shared" si="20"/>
        <v>-3.1067961200000001E-2</v>
      </c>
      <c r="R70" s="90">
        <f t="shared" si="23"/>
        <v>7746201.8726060698</v>
      </c>
    </row>
    <row r="71" spans="1:18">
      <c r="A71" s="40" t="s">
        <v>163</v>
      </c>
      <c r="B71" s="11" t="s">
        <v>164</v>
      </c>
      <c r="C71" s="95">
        <v>323</v>
      </c>
      <c r="D71" s="92">
        <v>-2.71084337E-2</v>
      </c>
      <c r="E71" s="93">
        <v>24876241.493331362</v>
      </c>
      <c r="F71" s="35"/>
      <c r="G71" s="60" t="s">
        <v>65</v>
      </c>
      <c r="H71" s="45">
        <f t="shared" si="15"/>
        <v>35.700000000000003</v>
      </c>
      <c r="I71" s="80">
        <f t="shared" si="24"/>
        <v>-4.0322580599999998E-2</v>
      </c>
      <c r="J71" s="99">
        <f t="shared" si="21"/>
        <v>161403981.90463483</v>
      </c>
      <c r="K71" s="82" t="s">
        <v>208</v>
      </c>
      <c r="L71" s="39">
        <f t="shared" si="17"/>
        <v>14.2</v>
      </c>
      <c r="M71" s="77">
        <f t="shared" si="18"/>
        <v>-4.05405405E-2</v>
      </c>
      <c r="N71" s="99">
        <f t="shared" si="22"/>
        <v>457974775.154064</v>
      </c>
      <c r="O71" s="82" t="s">
        <v>192</v>
      </c>
      <c r="P71" s="39">
        <f t="shared" si="19"/>
        <v>235</v>
      </c>
      <c r="Q71" s="77">
        <f t="shared" si="20"/>
        <v>-3.2921810699999998E-2</v>
      </c>
      <c r="R71" s="99">
        <f t="shared" si="23"/>
        <v>37082931.05095239</v>
      </c>
    </row>
    <row r="72" spans="1:18">
      <c r="A72" s="40" t="s">
        <v>147</v>
      </c>
      <c r="B72" s="11" t="s">
        <v>148</v>
      </c>
      <c r="C72" s="95">
        <v>21.5</v>
      </c>
      <c r="D72" s="92">
        <v>-2.7149321300000001E-2</v>
      </c>
      <c r="E72" s="93">
        <v>907323478.68587494</v>
      </c>
      <c r="F72" s="35"/>
      <c r="G72" s="56" t="s">
        <v>208</v>
      </c>
      <c r="H72" s="39">
        <f t="shared" si="15"/>
        <v>14.2</v>
      </c>
      <c r="I72" s="77">
        <f t="shared" si="24"/>
        <v>-4.05405405E-2</v>
      </c>
      <c r="J72" s="86">
        <f t="shared" si="21"/>
        <v>457974775.154064</v>
      </c>
      <c r="K72" s="82" t="s">
        <v>240</v>
      </c>
      <c r="L72" s="39">
        <f t="shared" si="17"/>
        <v>78.099999999999994</v>
      </c>
      <c r="M72" s="77">
        <f t="shared" si="18"/>
        <v>-4.2892156899999999E-2</v>
      </c>
      <c r="N72" s="86">
        <f t="shared" si="22"/>
        <v>379286967.4849118</v>
      </c>
      <c r="O72" s="82" t="s">
        <v>232</v>
      </c>
      <c r="P72" s="39">
        <f t="shared" si="19"/>
        <v>548</v>
      </c>
      <c r="Q72" s="77">
        <f t="shared" si="20"/>
        <v>-3.3509700199999999E-2</v>
      </c>
      <c r="R72" s="86">
        <f t="shared" si="23"/>
        <v>29224543.738392159</v>
      </c>
    </row>
    <row r="73" spans="1:18">
      <c r="A73" s="40" t="s">
        <v>173</v>
      </c>
      <c r="B73" s="11" t="s">
        <v>174</v>
      </c>
      <c r="C73" s="95">
        <v>352</v>
      </c>
      <c r="D73" s="92">
        <v>-2.7624309400000002E-2</v>
      </c>
      <c r="E73" s="93">
        <v>26993182.11287846</v>
      </c>
      <c r="F73" s="35"/>
      <c r="G73" s="56" t="s">
        <v>86</v>
      </c>
      <c r="H73" s="39">
        <f t="shared" si="15"/>
        <v>423</v>
      </c>
      <c r="I73" s="77">
        <f t="shared" si="24"/>
        <v>-4.08163265E-2</v>
      </c>
      <c r="J73" s="86">
        <f t="shared" si="21"/>
        <v>99148405.052421346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80</v>
      </c>
      <c r="P73" s="39">
        <f t="shared" si="19"/>
        <v>878</v>
      </c>
      <c r="Q73" s="77">
        <f t="shared" si="20"/>
        <v>-3.5164835200000001E-2</v>
      </c>
      <c r="R73" s="86">
        <f t="shared" si="23"/>
        <v>8578182.6128019299</v>
      </c>
    </row>
    <row r="74" spans="1:18">
      <c r="A74" s="40" t="s">
        <v>187</v>
      </c>
      <c r="B74" s="11" t="s">
        <v>188</v>
      </c>
      <c r="C74" s="95">
        <v>13.3</v>
      </c>
      <c r="D74" s="92">
        <v>-2.9197080300000001E-2</v>
      </c>
      <c r="E74" s="93">
        <v>572866847.21543026</v>
      </c>
      <c r="F74" s="35"/>
      <c r="G74" s="56" t="s">
        <v>240</v>
      </c>
      <c r="H74" s="39">
        <f t="shared" si="15"/>
        <v>78.099999999999994</v>
      </c>
      <c r="I74" s="77">
        <f t="shared" si="24"/>
        <v>-4.2892156899999999E-2</v>
      </c>
      <c r="J74" s="86">
        <f t="shared" si="21"/>
        <v>379286967.4849118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114</v>
      </c>
      <c r="P74" s="39">
        <f t="shared" si="19"/>
        <v>737</v>
      </c>
      <c r="Q74" s="77">
        <f t="shared" si="20"/>
        <v>-3.5340314099999999E-2</v>
      </c>
      <c r="R74" s="86">
        <f t="shared" si="23"/>
        <v>41528858.46459157</v>
      </c>
    </row>
    <row r="75" spans="1:18" ht="17.25" thickBot="1">
      <c r="A75" s="40" t="s">
        <v>195</v>
      </c>
      <c r="B75" s="11" t="s">
        <v>196</v>
      </c>
      <c r="C75" s="95">
        <v>4450</v>
      </c>
      <c r="D75" s="92">
        <v>-2.9443838600000001E-2</v>
      </c>
      <c r="E75" s="93">
        <v>8846005.7686872091</v>
      </c>
      <c r="F75" s="35"/>
      <c r="G75" s="57" t="s">
        <v>214</v>
      </c>
      <c r="H75" s="37">
        <f t="shared" si="15"/>
        <v>1095</v>
      </c>
      <c r="I75" s="79">
        <f t="shared" si="24"/>
        <v>-7.9831932800000005E-2</v>
      </c>
      <c r="J75" s="87">
        <f t="shared" si="21"/>
        <v>96507758.975011483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86</v>
      </c>
      <c r="P75" s="37">
        <f t="shared" si="19"/>
        <v>423</v>
      </c>
      <c r="Q75" s="79">
        <f t="shared" si="20"/>
        <v>-4.08163265E-2</v>
      </c>
      <c r="R75" s="87">
        <f t="shared" si="23"/>
        <v>99148405.052421346</v>
      </c>
    </row>
    <row r="76" spans="1:18">
      <c r="A76" s="40" t="s">
        <v>137</v>
      </c>
      <c r="B76" s="11" t="s">
        <v>138</v>
      </c>
      <c r="C76" s="95">
        <v>393</v>
      </c>
      <c r="D76" s="92">
        <v>-2.9629629599999999E-2</v>
      </c>
      <c r="E76" s="93">
        <v>88694119.290372878</v>
      </c>
      <c r="F76" s="35"/>
      <c r="G76" s="35"/>
      <c r="H76" s="35"/>
      <c r="I76" s="35"/>
    </row>
    <row r="77" spans="1:18">
      <c r="A77" s="40" t="s">
        <v>149</v>
      </c>
      <c r="B77" s="11" t="s">
        <v>150</v>
      </c>
      <c r="C77" s="95">
        <v>13.1</v>
      </c>
      <c r="D77" s="92">
        <v>-2.9629629599999999E-2</v>
      </c>
      <c r="E77" s="93">
        <v>938674944.02644885</v>
      </c>
      <c r="F77" s="35"/>
      <c r="G77" s="35"/>
      <c r="H77" s="35"/>
      <c r="I77" s="35"/>
    </row>
    <row r="78" spans="1:18">
      <c r="A78" s="40" t="s">
        <v>165</v>
      </c>
      <c r="B78" s="11" t="s">
        <v>166</v>
      </c>
      <c r="C78" s="95">
        <v>259</v>
      </c>
      <c r="D78" s="92">
        <v>-2.99625468E-2</v>
      </c>
      <c r="E78" s="93">
        <v>191589283.33017749</v>
      </c>
      <c r="F78" s="35"/>
      <c r="G78" s="35"/>
      <c r="H78" s="35"/>
      <c r="I78" s="35"/>
    </row>
    <row r="79" spans="1:18">
      <c r="A79" s="40" t="s">
        <v>201</v>
      </c>
      <c r="B79" s="11" t="s">
        <v>202</v>
      </c>
      <c r="C79" s="95">
        <v>96.9</v>
      </c>
      <c r="D79" s="92">
        <v>-3.0030029999999999E-2</v>
      </c>
      <c r="E79" s="93">
        <v>537663279.97667837</v>
      </c>
      <c r="F79" s="35"/>
      <c r="G79" s="35"/>
      <c r="H79" s="35"/>
      <c r="I79" s="35"/>
    </row>
    <row r="80" spans="1:18">
      <c r="A80" s="40" t="s">
        <v>145</v>
      </c>
      <c r="B80" s="11" t="s">
        <v>146</v>
      </c>
      <c r="C80" s="95">
        <v>3995</v>
      </c>
      <c r="D80" s="92">
        <v>-3.0339805800000001E-2</v>
      </c>
      <c r="E80" s="93">
        <v>2846670.2495968202</v>
      </c>
      <c r="F80" s="35"/>
      <c r="G80" s="35"/>
      <c r="H80" s="35"/>
      <c r="I80" s="35"/>
    </row>
    <row r="81" spans="1:9">
      <c r="A81" s="40" t="s">
        <v>123</v>
      </c>
      <c r="B81" s="11" t="s">
        <v>124</v>
      </c>
      <c r="C81" s="95">
        <v>381</v>
      </c>
      <c r="D81" s="92">
        <v>-3.0534351099999999E-2</v>
      </c>
      <c r="E81" s="93">
        <v>20691066.33608789</v>
      </c>
      <c r="F81" s="35"/>
      <c r="G81" s="35"/>
      <c r="H81" s="35"/>
      <c r="I81" s="35"/>
    </row>
    <row r="82" spans="1:9">
      <c r="A82" s="40" t="s">
        <v>249</v>
      </c>
      <c r="B82" s="11" t="s">
        <v>250</v>
      </c>
      <c r="C82" s="95">
        <v>79.3</v>
      </c>
      <c r="D82" s="92">
        <v>-3.0562347199999999E-2</v>
      </c>
      <c r="E82" s="93">
        <v>150772601.56696492</v>
      </c>
      <c r="F82" s="35"/>
      <c r="G82" s="35"/>
      <c r="H82" s="35"/>
      <c r="I82" s="35"/>
    </row>
    <row r="83" spans="1:9">
      <c r="A83" s="40" t="s">
        <v>251</v>
      </c>
      <c r="B83" s="11" t="s">
        <v>252</v>
      </c>
      <c r="C83" s="95">
        <v>998</v>
      </c>
      <c r="D83" s="92">
        <v>-3.1067961200000001E-2</v>
      </c>
      <c r="E83" s="93">
        <v>7746201.8726060698</v>
      </c>
      <c r="F83" s="35"/>
      <c r="G83" s="35"/>
      <c r="H83" s="35"/>
      <c r="I83" s="35"/>
    </row>
    <row r="84" spans="1:9">
      <c r="A84" s="40" t="s">
        <v>75</v>
      </c>
      <c r="B84" s="11" t="s">
        <v>76</v>
      </c>
      <c r="C84" s="95">
        <v>30980</v>
      </c>
      <c r="D84" s="92">
        <v>-3.1269543499999997E-2</v>
      </c>
      <c r="E84" s="93">
        <v>730118.71805975004</v>
      </c>
      <c r="F84" s="35"/>
      <c r="G84" s="35"/>
      <c r="H84" s="35"/>
      <c r="I84" s="35"/>
    </row>
    <row r="85" spans="1:9">
      <c r="A85" s="40" t="s">
        <v>203</v>
      </c>
      <c r="B85" s="11" t="s">
        <v>204</v>
      </c>
      <c r="C85" s="95">
        <v>15.2</v>
      </c>
      <c r="D85" s="92">
        <v>-3.1847133800000003E-2</v>
      </c>
      <c r="E85" s="93">
        <v>666885589.33560479</v>
      </c>
      <c r="F85" s="35"/>
      <c r="G85" s="35"/>
      <c r="H85" s="35"/>
      <c r="I85" s="35"/>
    </row>
    <row r="86" spans="1:9">
      <c r="A86" s="40" t="s">
        <v>71</v>
      </c>
      <c r="B86" s="11" t="s">
        <v>72</v>
      </c>
      <c r="C86" s="95">
        <v>24.1</v>
      </c>
      <c r="D86" s="92">
        <v>-3.2128514099999998E-2</v>
      </c>
      <c r="E86" s="93">
        <v>373529587.18548191</v>
      </c>
      <c r="F86" s="35"/>
      <c r="G86" s="35"/>
      <c r="H86" s="35"/>
      <c r="I86" s="35"/>
    </row>
    <row r="87" spans="1:9">
      <c r="A87" s="40" t="s">
        <v>191</v>
      </c>
      <c r="B87" s="11" t="s">
        <v>192</v>
      </c>
      <c r="C87" s="95">
        <v>235</v>
      </c>
      <c r="D87" s="92">
        <v>-3.2921810699999998E-2</v>
      </c>
      <c r="E87" s="93">
        <v>37082931.05095239</v>
      </c>
      <c r="F87" s="35"/>
      <c r="G87" s="35"/>
      <c r="H87" s="35"/>
      <c r="I87" s="35"/>
    </row>
    <row r="88" spans="1:9">
      <c r="A88" s="40" t="s">
        <v>231</v>
      </c>
      <c r="B88" s="11" t="s">
        <v>232</v>
      </c>
      <c r="C88" s="95">
        <v>548</v>
      </c>
      <c r="D88" s="92">
        <v>-3.3509700199999999E-2</v>
      </c>
      <c r="E88" s="93">
        <v>29224543.738392159</v>
      </c>
      <c r="F88" s="35"/>
      <c r="G88" s="35"/>
      <c r="H88" s="35"/>
      <c r="I88" s="35"/>
    </row>
    <row r="89" spans="1:9">
      <c r="A89" s="40" t="s">
        <v>153</v>
      </c>
      <c r="B89" s="11" t="s">
        <v>154</v>
      </c>
      <c r="C89" s="95">
        <v>78460</v>
      </c>
      <c r="D89" s="92">
        <v>-3.3624830600000002E-2</v>
      </c>
      <c r="E89" s="93">
        <v>4543703.7842518101</v>
      </c>
      <c r="F89" s="35"/>
      <c r="G89" s="35"/>
      <c r="H89" s="35"/>
      <c r="I89" s="35"/>
    </row>
    <row r="90" spans="1:9">
      <c r="A90" s="40" t="s">
        <v>121</v>
      </c>
      <c r="B90" s="11" t="s">
        <v>122</v>
      </c>
      <c r="C90" s="95">
        <v>34.1</v>
      </c>
      <c r="D90" s="92">
        <v>-3.3994334299999998E-2</v>
      </c>
      <c r="E90" s="93">
        <v>394563175.1317274</v>
      </c>
      <c r="F90" s="35"/>
      <c r="G90" s="35"/>
      <c r="H90" s="35"/>
      <c r="I90" s="35"/>
    </row>
    <row r="91" spans="1:9">
      <c r="A91" s="40" t="s">
        <v>189</v>
      </c>
      <c r="B91" s="11" t="s">
        <v>190</v>
      </c>
      <c r="C91" s="95">
        <v>19.8</v>
      </c>
      <c r="D91" s="92">
        <v>-3.4146341500000003E-2</v>
      </c>
      <c r="E91" s="93">
        <v>1382772267.3752489</v>
      </c>
      <c r="F91" s="35"/>
      <c r="G91" s="35"/>
      <c r="H91" s="35"/>
      <c r="I91" s="35"/>
    </row>
    <row r="92" spans="1:9">
      <c r="A92" s="40" t="s">
        <v>135</v>
      </c>
      <c r="B92" s="11" t="s">
        <v>136</v>
      </c>
      <c r="C92" s="95">
        <v>2115</v>
      </c>
      <c r="D92" s="92">
        <v>-3.4246575299999998E-2</v>
      </c>
      <c r="E92" s="93">
        <v>5294428.2525653597</v>
      </c>
      <c r="F92" s="35"/>
      <c r="G92" s="35"/>
      <c r="H92" s="35"/>
      <c r="I92" s="35"/>
    </row>
    <row r="93" spans="1:9">
      <c r="A93" s="40" t="s">
        <v>215</v>
      </c>
      <c r="B93" s="11" t="s">
        <v>216</v>
      </c>
      <c r="C93" s="95">
        <v>11.2</v>
      </c>
      <c r="D93" s="92">
        <v>-3.4482758600000003E-2</v>
      </c>
      <c r="E93" s="93">
        <v>1207886072.2238634</v>
      </c>
      <c r="F93" s="35"/>
      <c r="G93" s="35"/>
      <c r="H93" s="35"/>
      <c r="I93" s="35"/>
    </row>
    <row r="94" spans="1:9">
      <c r="A94" s="40" t="s">
        <v>79</v>
      </c>
      <c r="B94" s="11" t="s">
        <v>80</v>
      </c>
      <c r="C94" s="95">
        <v>878</v>
      </c>
      <c r="D94" s="92">
        <v>-3.5164835200000001E-2</v>
      </c>
      <c r="E94" s="93">
        <v>8578182.6128019299</v>
      </c>
      <c r="F94" s="35"/>
      <c r="G94" s="35"/>
      <c r="H94" s="35"/>
      <c r="I94" s="35"/>
    </row>
    <row r="95" spans="1:9">
      <c r="A95" s="40" t="s">
        <v>105</v>
      </c>
      <c r="B95" s="11" t="s">
        <v>106</v>
      </c>
      <c r="C95" s="95">
        <v>63650</v>
      </c>
      <c r="D95" s="92">
        <v>-3.5167500400000003E-2</v>
      </c>
      <c r="E95" s="93">
        <v>754628.59669686004</v>
      </c>
      <c r="F95" s="35"/>
      <c r="G95" s="35"/>
      <c r="H95" s="35"/>
      <c r="I95" s="35"/>
    </row>
    <row r="96" spans="1:9">
      <c r="A96" s="40" t="s">
        <v>225</v>
      </c>
      <c r="B96" s="11" t="s">
        <v>226</v>
      </c>
      <c r="C96" s="95">
        <v>2055</v>
      </c>
      <c r="D96" s="92">
        <v>-3.5211267599999999E-2</v>
      </c>
      <c r="E96" s="93">
        <v>10433863.545685681</v>
      </c>
      <c r="F96" s="35"/>
      <c r="G96" s="35"/>
      <c r="H96" s="35"/>
      <c r="I96" s="35"/>
    </row>
    <row r="97" spans="1:9">
      <c r="A97" s="40" t="s">
        <v>113</v>
      </c>
      <c r="B97" s="11" t="s">
        <v>114</v>
      </c>
      <c r="C97" s="95">
        <v>737</v>
      </c>
      <c r="D97" s="92">
        <v>-3.5340314099999999E-2</v>
      </c>
      <c r="E97" s="93">
        <v>41528858.46459157</v>
      </c>
      <c r="F97" s="35"/>
      <c r="G97" s="35"/>
      <c r="H97" s="35"/>
      <c r="I97" s="35"/>
    </row>
    <row r="98" spans="1:9">
      <c r="A98" s="40" t="s">
        <v>68</v>
      </c>
      <c r="B98" s="11" t="s">
        <v>69</v>
      </c>
      <c r="C98" s="95">
        <v>5790</v>
      </c>
      <c r="D98" s="92">
        <v>-3.90041494E-2</v>
      </c>
      <c r="E98" s="93">
        <v>2178581.7433239198</v>
      </c>
      <c r="F98" s="35"/>
      <c r="G98" s="35"/>
      <c r="H98" s="35"/>
      <c r="I98" s="35"/>
    </row>
    <row r="99" spans="1:9">
      <c r="A99" s="40" t="s">
        <v>64</v>
      </c>
      <c r="B99" s="11" t="s">
        <v>65</v>
      </c>
      <c r="C99" s="95">
        <v>35.700000000000003</v>
      </c>
      <c r="D99" s="92">
        <v>-4.0322580599999998E-2</v>
      </c>
      <c r="E99" s="93">
        <v>161403981.90463483</v>
      </c>
      <c r="F99" s="35"/>
      <c r="G99" s="35"/>
      <c r="H99" s="35"/>
      <c r="I99" s="35"/>
    </row>
    <row r="100" spans="1:9">
      <c r="A100" s="40" t="s">
        <v>207</v>
      </c>
      <c r="B100" s="11" t="s">
        <v>208</v>
      </c>
      <c r="C100" s="95">
        <v>14.2</v>
      </c>
      <c r="D100" s="92">
        <v>-4.05405405E-2</v>
      </c>
      <c r="E100" s="93">
        <v>457974775.154064</v>
      </c>
      <c r="F100" s="35"/>
      <c r="G100" s="35"/>
      <c r="H100" s="35"/>
      <c r="I100" s="35"/>
    </row>
    <row r="101" spans="1:9">
      <c r="A101" s="40" t="s">
        <v>85</v>
      </c>
      <c r="B101" s="11" t="s">
        <v>86</v>
      </c>
      <c r="C101" s="95">
        <v>423</v>
      </c>
      <c r="D101" s="92">
        <v>-4.08163265E-2</v>
      </c>
      <c r="E101" s="93">
        <v>99148405.052421346</v>
      </c>
      <c r="F101" s="35"/>
      <c r="G101" s="35"/>
      <c r="H101" s="35"/>
      <c r="I101" s="35"/>
    </row>
    <row r="102" spans="1:9">
      <c r="A102" s="40" t="s">
        <v>239</v>
      </c>
      <c r="B102" s="11" t="s">
        <v>240</v>
      </c>
      <c r="C102" s="95">
        <v>78.099999999999994</v>
      </c>
      <c r="D102" s="92">
        <v>-4.2892156899999999E-2</v>
      </c>
      <c r="E102" s="93">
        <v>379286967.4849118</v>
      </c>
      <c r="F102" s="35"/>
      <c r="G102" s="35"/>
      <c r="H102" s="35"/>
      <c r="I102" s="35"/>
    </row>
    <row r="103" spans="1:9">
      <c r="A103" s="40" t="s">
        <v>213</v>
      </c>
      <c r="B103" s="11" t="s">
        <v>214</v>
      </c>
      <c r="C103" s="95">
        <v>1095</v>
      </c>
      <c r="D103" s="92">
        <v>-7.9831932800000005E-2</v>
      </c>
      <c r="E103" s="93">
        <v>96507758.975011483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76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18" t="str">
        <f>TEXT(투자전략!$G$1, "[$-ko-KR]yyyy년 mm월") &amp; " 총결산"</f>
        <v>2021년 08월 총결산</v>
      </c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20"/>
    </row>
    <row r="2" spans="1:15" ht="16.5" customHeight="1" thickBot="1">
      <c r="A2" s="224" t="s">
        <v>289</v>
      </c>
      <c r="B2" s="225"/>
      <c r="C2" s="225"/>
      <c r="D2" s="216" t="s">
        <v>285</v>
      </c>
      <c r="E2" s="216"/>
      <c r="F2" s="217"/>
      <c r="G2" s="218" t="s">
        <v>286</v>
      </c>
      <c r="H2" s="219"/>
      <c r="I2" s="220"/>
      <c r="J2" s="215" t="s">
        <v>287</v>
      </c>
      <c r="K2" s="216"/>
      <c r="L2" s="216"/>
      <c r="M2" s="216" t="s">
        <v>288</v>
      </c>
      <c r="N2" s="216"/>
      <c r="O2" s="217"/>
    </row>
    <row r="3" spans="1:15" ht="16.5" customHeight="1">
      <c r="A3" s="295">
        <v>1</v>
      </c>
      <c r="B3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Bottom20</v>
      </c>
      <c r="C3" s="226"/>
      <c r="D3" s="224" t="s">
        <v>290</v>
      </c>
      <c r="E3" s="225"/>
      <c r="F3" s="226"/>
      <c r="G3" s="224" t="s">
        <v>297</v>
      </c>
      <c r="H3" s="225"/>
      <c r="I3" s="226"/>
      <c r="J3" s="224" t="s">
        <v>304</v>
      </c>
      <c r="K3" s="225"/>
      <c r="L3" s="226"/>
      <c r="M3" s="224" t="s">
        <v>311</v>
      </c>
      <c r="N3" s="225"/>
      <c r="O3" s="226"/>
    </row>
    <row r="4" spans="1:15" ht="16.5" customHeight="1" thickBot="1">
      <c r="A4" s="296"/>
      <c r="B4" s="2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736,075 KRW (38.60%)</v>
      </c>
      <c r="C4" s="232"/>
      <c r="D4" s="230" t="str">
        <f ca="1" xml:space="preserve"> TEXT($F$92, "#,##0") &amp; " KRW (" &amp; TEXT($E$92, "0.00%)")</f>
        <v>603,000 KRW (31.62%)</v>
      </c>
      <c r="E4" s="231"/>
      <c r="F4" s="232"/>
      <c r="G4" s="230" t="str">
        <f ca="1" xml:space="preserve"> TEXT($I$92, "#,##0") &amp; " KRW (" &amp; TEXT($H$92, "0.00%)")</f>
        <v>731,454 KRW (38.35%)</v>
      </c>
      <c r="H4" s="231"/>
      <c r="I4" s="232"/>
      <c r="J4" s="230" t="str">
        <f ca="1" xml:space="preserve"> TEXT($L$92, "#,##0") &amp; " KRW (" &amp; TEXT($K$92, "0.00%)")</f>
        <v>603,581 KRW (31.65%)</v>
      </c>
      <c r="K4" s="231"/>
      <c r="L4" s="232"/>
      <c r="M4" s="230" t="str">
        <f ca="1" xml:space="preserve"> TEXT($O$92, "#,##0") &amp; " KRW (" &amp; TEXT($N$92, "0.00%)")</f>
        <v>667,772 KRW (35.01%)</v>
      </c>
      <c r="N4" s="231"/>
      <c r="O4" s="232"/>
    </row>
    <row r="5" spans="1:15" ht="16.5" customHeight="1">
      <c r="A5" s="295">
        <v>2</v>
      </c>
      <c r="B5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226"/>
      <c r="D5" s="224" t="s">
        <v>291</v>
      </c>
      <c r="E5" s="225"/>
      <c r="F5" s="226"/>
      <c r="G5" s="224" t="s">
        <v>298</v>
      </c>
      <c r="H5" s="225"/>
      <c r="I5" s="226"/>
      <c r="J5" s="224" t="s">
        <v>305</v>
      </c>
      <c r="K5" s="225"/>
      <c r="L5" s="226"/>
      <c r="M5" s="224" t="s">
        <v>312</v>
      </c>
      <c r="N5" s="225"/>
      <c r="O5" s="226"/>
    </row>
    <row r="6" spans="1:15" ht="16.5" customHeight="1" thickBot="1">
      <c r="A6" s="296"/>
      <c r="B6" s="2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731,454 KRW (38.35%)</v>
      </c>
      <c r="C6" s="232"/>
      <c r="D6" s="230" t="str">
        <f ca="1" xml:space="preserve"> TEXT($F$130, "#,##0") &amp; " KRW (" &amp; TEXT($E$130, "0.00%)")</f>
        <v>383,692 KRW (19.18%)</v>
      </c>
      <c r="E6" s="231"/>
      <c r="F6" s="232"/>
      <c r="G6" s="230" t="str">
        <f ca="1" xml:space="preserve"> TEXT($I$130, "#,##0") &amp; " KRW (" &amp; TEXT($H$130, "0.00%)")</f>
        <v>493,678 KRW (24.68%)</v>
      </c>
      <c r="H6" s="231"/>
      <c r="I6" s="232"/>
      <c r="J6" s="230" t="str">
        <f ca="1" xml:space="preserve"> TEXT($L$130, "#,##0") &amp; " KRW (" &amp; TEXT($K$130, "0.00%)")</f>
        <v>400,905 KRW (20.05%)</v>
      </c>
      <c r="K6" s="231"/>
      <c r="L6" s="232"/>
      <c r="M6" s="230" t="str">
        <f ca="1" xml:space="preserve"> TEXT($O$130, "#,##0") &amp; " KRW (" &amp; TEXT($N$130, "0.00%)")</f>
        <v>434,129 KRW (21.71%)</v>
      </c>
      <c r="N6" s="231"/>
      <c r="O6" s="232"/>
    </row>
    <row r="7" spans="1:15" ht="16.5" customHeight="1">
      <c r="A7" s="295">
        <v>3</v>
      </c>
      <c r="B7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Bottom20</v>
      </c>
      <c r="C7" s="226"/>
      <c r="D7" s="224" t="s">
        <v>292</v>
      </c>
      <c r="E7" s="225"/>
      <c r="F7" s="226"/>
      <c r="G7" s="224" t="s">
        <v>299</v>
      </c>
      <c r="H7" s="225"/>
      <c r="I7" s="226"/>
      <c r="J7" s="224" t="s">
        <v>306</v>
      </c>
      <c r="K7" s="225"/>
      <c r="L7" s="226"/>
      <c r="M7" s="224" t="s">
        <v>313</v>
      </c>
      <c r="N7" s="225"/>
      <c r="O7" s="226"/>
    </row>
    <row r="8" spans="1:15" ht="16.5" customHeight="1" thickBot="1">
      <c r="A8" s="296"/>
      <c r="B8" s="2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674,311 KRW (35.36%)</v>
      </c>
      <c r="C8" s="232"/>
      <c r="D8" s="230" t="str">
        <f ca="1" xml:space="preserve"> TEXT($F$206, "#,##0") &amp; " KRW (" &amp; TEXT($E$206, "0.00%)")</f>
        <v>594,749 KRW (31.19%)</v>
      </c>
      <c r="E8" s="231"/>
      <c r="F8" s="232"/>
      <c r="G8" s="230" t="str">
        <f ca="1" xml:space="preserve"> TEXT($I$206, "#,##0") &amp; " KRW (" &amp; TEXT($H$206, "0.00%)")</f>
        <v>736,075 KRW (38.60%)</v>
      </c>
      <c r="H8" s="231"/>
      <c r="I8" s="232"/>
      <c r="J8" s="230" t="str">
        <f ca="1" xml:space="preserve"> TEXT($L$206, "#,##0") &amp; " KRW (" &amp; TEXT($K$206, "0.00%)")</f>
        <v>607,401 KRW (31.85%)</v>
      </c>
      <c r="K8" s="231"/>
      <c r="L8" s="232"/>
      <c r="M8" s="230" t="str">
        <f ca="1" xml:space="preserve"> TEXT($O$206, "#,##0") &amp; " KRW (" &amp; TEXT($N$206, "0.00%)")</f>
        <v>674,311 KRW (35.36%)</v>
      </c>
      <c r="N8" s="231"/>
      <c r="O8" s="232"/>
    </row>
    <row r="9" spans="1:15" ht="16.5" customHeight="1">
      <c r="A9" s="295">
        <v>4</v>
      </c>
      <c r="B9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26"/>
      <c r="D9" s="224" t="s">
        <v>293</v>
      </c>
      <c r="E9" s="225"/>
      <c r="F9" s="226"/>
      <c r="G9" s="224" t="s">
        <v>300</v>
      </c>
      <c r="H9" s="225"/>
      <c r="I9" s="226"/>
      <c r="J9" s="224" t="s">
        <v>307</v>
      </c>
      <c r="K9" s="225"/>
      <c r="L9" s="226"/>
      <c r="M9" s="224" t="s">
        <v>314</v>
      </c>
      <c r="N9" s="225"/>
      <c r="O9" s="226"/>
    </row>
    <row r="10" spans="1:15" ht="16.5" customHeight="1" thickBot="1">
      <c r="A10" s="296"/>
      <c r="B10" s="2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667,772 KRW (35.01%)</v>
      </c>
      <c r="C10" s="232"/>
      <c r="D10" s="230" t="str">
        <f ca="1" xml:space="preserve"> TEXT($F$244, "#,##0") &amp; " KRW (" &amp; TEXT($E$244, "0.00%)")</f>
        <v>429,469 KRW (21.47%)</v>
      </c>
      <c r="E10" s="231"/>
      <c r="F10" s="232"/>
      <c r="G10" s="230" t="str">
        <f ca="1" xml:space="preserve"> TEXT($I$244, "#,##0") &amp; " KRW (" &amp; TEXT($H$244, "0.00%)")</f>
        <v>540,864 KRW (27.04%)</v>
      </c>
      <c r="H10" s="231"/>
      <c r="I10" s="232"/>
      <c r="J10" s="230" t="str">
        <f ca="1" xml:space="preserve"> TEXT($L$244, "#,##0") &amp; " KRW (" &amp; TEXT($K$244, "0.00%)")</f>
        <v>439,299 KRW (21.96%)</v>
      </c>
      <c r="K10" s="231"/>
      <c r="L10" s="232"/>
      <c r="M10" s="230" t="str">
        <f ca="1" xml:space="preserve"> TEXT($O$244, "#,##0") &amp; " KRW (" &amp; TEXT($N$244, "0.00%)")</f>
        <v>527,284 KRW (26.36%)</v>
      </c>
      <c r="N10" s="231"/>
      <c r="O10" s="232"/>
    </row>
    <row r="11" spans="1:15" ht="16.5" customHeight="1">
      <c r="A11" s="295">
        <v>5</v>
      </c>
      <c r="B11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엽전코인 Bottom20</v>
      </c>
      <c r="C11" s="226"/>
      <c r="D11" s="224" t="s">
        <v>294</v>
      </c>
      <c r="E11" s="225"/>
      <c r="F11" s="226"/>
      <c r="G11" s="224" t="s">
        <v>301</v>
      </c>
      <c r="H11" s="225"/>
      <c r="I11" s="226"/>
      <c r="J11" s="224" t="s">
        <v>308</v>
      </c>
      <c r="K11" s="225"/>
      <c r="L11" s="226"/>
      <c r="M11" s="224" t="s">
        <v>315</v>
      </c>
      <c r="N11" s="225"/>
      <c r="O11" s="226"/>
    </row>
    <row r="12" spans="1:15" ht="16.5" customHeight="1" thickBot="1">
      <c r="A12" s="296"/>
      <c r="B12" s="2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607,401 KRW (31.85%)</v>
      </c>
      <c r="C12" s="232"/>
      <c r="D12" s="230" t="str">
        <f ca="1" xml:space="preserve"> TEXT($F$168, "#,##0") &amp; " KRW (" &amp; TEXT($E$168, "0.00%)")</f>
        <v>473,956 KRW (23.70%)</v>
      </c>
      <c r="E12" s="231"/>
      <c r="F12" s="232"/>
      <c r="G12" s="230" t="str">
        <f ca="1" xml:space="preserve"> TEXT($I$168, "#,##0") &amp; " KRW (" &amp; TEXT($H$168, "0.00%)")</f>
        <v>554,690 KRW (27.73%)</v>
      </c>
      <c r="H12" s="231"/>
      <c r="I12" s="232"/>
      <c r="J12" s="230" t="str">
        <f ca="1" xml:space="preserve"> TEXT($L$168, "#,##0") &amp; " KRW (" &amp; TEXT($K$168, "0.00%)")</f>
        <v>415,107 KRW (20.76%)</v>
      </c>
      <c r="K12" s="231"/>
      <c r="L12" s="232"/>
      <c r="M12" s="230" t="str">
        <f ca="1" xml:space="preserve"> TEXT($O$168, "#,##0") &amp; " KRW (" &amp; TEXT($N$168, "0.00%)")</f>
        <v>398,494 KRW (19.92%)</v>
      </c>
      <c r="N12" s="231"/>
      <c r="O12" s="232"/>
    </row>
    <row r="13" spans="1:15" ht="16.5" customHeight="1">
      <c r="A13" s="295">
        <v>6</v>
      </c>
      <c r="B13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엽전코인 Top20</v>
      </c>
      <c r="C13" s="226"/>
      <c r="D13" s="224" t="s">
        <v>295</v>
      </c>
      <c r="E13" s="225"/>
      <c r="F13" s="226"/>
      <c r="G13" s="224" t="s">
        <v>302</v>
      </c>
      <c r="H13" s="225"/>
      <c r="I13" s="226"/>
      <c r="J13" s="224" t="s">
        <v>309</v>
      </c>
      <c r="K13" s="225"/>
      <c r="L13" s="226"/>
      <c r="M13" s="224" t="s">
        <v>316</v>
      </c>
      <c r="N13" s="225"/>
      <c r="O13" s="226"/>
    </row>
    <row r="14" spans="1:15" ht="16.5" customHeight="1" thickBot="1">
      <c r="A14" s="296"/>
      <c r="B14" s="2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603,581 KRW (31.65%)</v>
      </c>
      <c r="C14" s="232"/>
      <c r="D14" s="230" t="str">
        <f ca="1" xml:space="preserve"> TEXT($F$282, "#,##0") &amp; " KRW (" &amp; TEXT($E$282, "0.00%)")</f>
        <v>441,055 KRW (22.05%)</v>
      </c>
      <c r="E14" s="231"/>
      <c r="F14" s="232"/>
      <c r="G14" s="230" t="str">
        <f ca="1" xml:space="preserve"> TEXT($I$282, "#,##0") &amp; " KRW (" &amp; TEXT($H$282, "0.00%)")</f>
        <v>555,643 KRW (27.78%)</v>
      </c>
      <c r="H14" s="231"/>
      <c r="I14" s="232"/>
      <c r="J14" s="230" t="str">
        <f ca="1" xml:space="preserve"> TEXT($L$282, "#,##0") &amp; " KRW (" &amp; TEXT($K$282, "0.00%)")</f>
        <v>430,238 KRW (21.51%)</v>
      </c>
      <c r="K14" s="231"/>
      <c r="L14" s="232"/>
      <c r="M14" s="230" t="str">
        <f ca="1" xml:space="preserve"> TEXT($O$282, "#,##0") &amp; " KRW (" &amp; TEXT($N$282, "0.00%)")</f>
        <v>523,771 KRW (26.19%)</v>
      </c>
      <c r="N14" s="231"/>
      <c r="O14" s="232"/>
    </row>
    <row r="15" spans="1:15" ht="16.5" customHeight="1">
      <c r="A15" s="295">
        <v>7</v>
      </c>
      <c r="B15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5" s="226"/>
      <c r="D15" s="224" t="s">
        <v>296</v>
      </c>
      <c r="E15" s="225"/>
      <c r="F15" s="226"/>
      <c r="G15" s="224" t="s">
        <v>303</v>
      </c>
      <c r="H15" s="225"/>
      <c r="I15" s="226"/>
      <c r="J15" s="224" t="s">
        <v>310</v>
      </c>
      <c r="K15" s="225"/>
      <c r="L15" s="226"/>
      <c r="M15" s="224" t="s">
        <v>317</v>
      </c>
      <c r="N15" s="225"/>
      <c r="O15" s="226"/>
    </row>
    <row r="16" spans="1:15" ht="16.5" customHeight="1" thickBot="1">
      <c r="A16" s="296"/>
      <c r="B16" s="2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603,000 KRW (31.62%)</v>
      </c>
      <c r="C16" s="232"/>
      <c r="D16" s="230" t="str">
        <f ca="1" xml:space="preserve"> TEXT($F$54, "#,##0") &amp; " KRW (" &amp; TEXT($E$54, "0.00%)")</f>
        <v>0 KRW (0.00%)</v>
      </c>
      <c r="E16" s="231"/>
      <c r="F16" s="232"/>
      <c r="G16" s="230" t="str">
        <f ca="1" xml:space="preserve"> TEXT($I$54, "#,##0") &amp; " KRW (" &amp; TEXT($H$54, "0.00%)")</f>
        <v>0 KRW (0.00%)</v>
      </c>
      <c r="H16" s="231"/>
      <c r="I16" s="232"/>
      <c r="J16" s="230" t="str">
        <f ca="1" xml:space="preserve"> TEXT($L$54, "#,##0") &amp; " KRW (" &amp; TEXT($K$54, "0.00%)")</f>
        <v>0 KRW (0.00%)</v>
      </c>
      <c r="K16" s="231"/>
      <c r="L16" s="232"/>
      <c r="M16" s="230" t="str">
        <f ca="1" xml:space="preserve"> TEXT($O$54, "#,##0") &amp; " KRW (" &amp; TEXT($N$54, "0.00%)")</f>
        <v>0 KRW (0.00%)</v>
      </c>
      <c r="N16" s="231"/>
      <c r="O16" s="232"/>
    </row>
    <row r="18" spans="1:15" ht="16.5" customHeight="1" thickBot="1"/>
    <row r="19" spans="1:15" ht="16.5" customHeight="1" thickBot="1">
      <c r="A19" s="215" t="str">
        <f>TEXT(투자전략!$G$1, "[$-ko-KR]yyyy년 mm월 ") &amp; "실거래 월말결산"</f>
        <v>2021년 08월 실거래 월말결산</v>
      </c>
      <c r="B19" s="216"/>
      <c r="C19" s="216"/>
      <c r="D19" s="216"/>
      <c r="E19" s="216"/>
      <c r="F19" s="216"/>
      <c r="G19" s="216"/>
      <c r="H19" s="216"/>
      <c r="I19" s="216"/>
      <c r="J19" s="216"/>
      <c r="K19" s="216"/>
      <c r="L19" s="216"/>
      <c r="M19" s="216"/>
      <c r="N19" s="216"/>
      <c r="O19" s="217"/>
    </row>
    <row r="20" spans="1:15" ht="16.5" customHeight="1" thickBot="1">
      <c r="A20" s="276" t="s">
        <v>284</v>
      </c>
      <c r="B20" s="230" t="s">
        <v>282</v>
      </c>
      <c r="C20" s="232"/>
      <c r="D20" s="230" t="s">
        <v>274</v>
      </c>
      <c r="E20" s="231"/>
      <c r="F20" s="232"/>
      <c r="G20" s="230" t="s">
        <v>275</v>
      </c>
      <c r="H20" s="231"/>
      <c r="I20" s="232"/>
      <c r="J20" s="230" t="s">
        <v>276</v>
      </c>
      <c r="K20" s="231"/>
      <c r="L20" s="232"/>
      <c r="M20" s="230" t="s">
        <v>277</v>
      </c>
      <c r="N20" s="231"/>
      <c r="O20" s="232"/>
    </row>
    <row r="21" spans="1:15" ht="16.5" customHeight="1" thickBot="1">
      <c r="A21" s="280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24" t="s">
        <v>283</v>
      </c>
      <c r="B53" s="226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30"/>
      <c r="B54" s="23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15" t="str">
        <f>TEXT(투자전략!$G$1, "[$-ko-KR]yyyy년 mm월 ") &amp; "[엽전코인] 전일대비 상승률 Top20 월말결산"</f>
        <v>2021년 08월 [엽전코인] 전일대비 상승률 Top20 월말결산</v>
      </c>
      <c r="B57" s="216"/>
      <c r="C57" s="216"/>
      <c r="D57" s="216"/>
      <c r="E57" s="216"/>
      <c r="F57" s="216"/>
      <c r="G57" s="216"/>
      <c r="H57" s="216"/>
      <c r="I57" s="216"/>
      <c r="J57" s="216"/>
      <c r="K57" s="216"/>
      <c r="L57" s="216"/>
      <c r="M57" s="216"/>
      <c r="N57" s="216"/>
      <c r="O57" s="217"/>
    </row>
    <row r="58" spans="1:15" ht="16.5" customHeight="1" thickBot="1">
      <c r="A58" s="276" t="s">
        <v>284</v>
      </c>
      <c r="B58" s="230" t="s">
        <v>282</v>
      </c>
      <c r="C58" s="232"/>
      <c r="D58" s="230" t="s">
        <v>274</v>
      </c>
      <c r="E58" s="231"/>
      <c r="F58" s="232"/>
      <c r="G58" s="230" t="s">
        <v>275</v>
      </c>
      <c r="H58" s="231"/>
      <c r="I58" s="232"/>
      <c r="J58" s="230" t="s">
        <v>276</v>
      </c>
      <c r="K58" s="231"/>
      <c r="L58" s="232"/>
      <c r="M58" s="230" t="s">
        <v>277</v>
      </c>
      <c r="N58" s="231"/>
      <c r="O58" s="232"/>
    </row>
    <row r="59" spans="1:15" ht="16.5" customHeight="1" thickBot="1">
      <c r="A59" s="280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2055804.8405905436</v>
      </c>
      <c r="N68" s="77">
        <f t="shared" ca="1" si="24"/>
        <v>2.7902420295271894E-2</v>
      </c>
      <c r="O68" s="137">
        <f t="shared" ca="1" si="25"/>
        <v>55804.840590543812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>
        <f t="shared" ca="1" si="13"/>
        <v>1800000</v>
      </c>
      <c r="D69" s="139">
        <f t="shared" ca="1" si="14"/>
        <v>1818899.4806794254</v>
      </c>
      <c r="E69" s="77">
        <f t="shared" ca="1" si="15"/>
        <v>1.0499711488569726E-2</v>
      </c>
      <c r="F69" s="137">
        <f t="shared" ca="1" si="16"/>
        <v>18899.480679425509</v>
      </c>
      <c r="G69" s="139">
        <f t="shared" ca="1" si="17"/>
        <v>1842748.3554756248</v>
      </c>
      <c r="H69" s="77">
        <f t="shared" ca="1" si="18"/>
        <v>2.3749086375347221E-2</v>
      </c>
      <c r="I69" s="137">
        <f t="shared" ca="1" si="19"/>
        <v>42748.355475624987</v>
      </c>
      <c r="J69" s="139">
        <f t="shared" ca="1" si="20"/>
        <v>1818737.1070886063</v>
      </c>
      <c r="K69" s="77">
        <f t="shared" ca="1" si="21"/>
        <v>1.0409503938114661E-2</v>
      </c>
      <c r="L69" s="137">
        <f t="shared" ca="1" si="22"/>
        <v>18737.107088606386</v>
      </c>
      <c r="M69" s="139">
        <f t="shared" ca="1" si="23"/>
        <v>1813599.8950606664</v>
      </c>
      <c r="N69" s="77">
        <f t="shared" ca="1" si="24"/>
        <v>7.5554972559257732E-3</v>
      </c>
      <c r="O69" s="137">
        <f t="shared" ca="1" si="25"/>
        <v>13599.895060666389</v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>
        <f t="shared" ca="1" si="13"/>
        <v>1800000</v>
      </c>
      <c r="D70" s="139">
        <f t="shared" ca="1" si="14"/>
        <v>1863783.6799108451</v>
      </c>
      <c r="E70" s="77">
        <f t="shared" ca="1" si="15"/>
        <v>3.5435377728247258E-2</v>
      </c>
      <c r="F70" s="137">
        <f t="shared" ca="1" si="16"/>
        <v>63783.679910845065</v>
      </c>
      <c r="G70" s="139">
        <f t="shared" ca="1" si="17"/>
        <v>1906022.8707645715</v>
      </c>
      <c r="H70" s="77">
        <f t="shared" ca="1" si="18"/>
        <v>5.8901594869206333E-2</v>
      </c>
      <c r="I70" s="137">
        <f t="shared" ca="1" si="19"/>
        <v>106022.87076457139</v>
      </c>
      <c r="J70" s="139">
        <f t="shared" ca="1" si="20"/>
        <v>1894568.2179449624</v>
      </c>
      <c r="K70" s="77">
        <f t="shared" ca="1" si="21"/>
        <v>5.2537898858312476E-2</v>
      </c>
      <c r="L70" s="137">
        <f t="shared" ca="1" si="22"/>
        <v>94568.217944962424</v>
      </c>
      <c r="M70" s="139">
        <f t="shared" ca="1" si="23"/>
        <v>1948710.7560345037</v>
      </c>
      <c r="N70" s="77">
        <f t="shared" ca="1" si="24"/>
        <v>8.2617086685835284E-2</v>
      </c>
      <c r="O70" s="137">
        <f t="shared" ca="1" si="25"/>
        <v>148710.75603450349</v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>
        <f t="shared" ca="1" si="13"/>
        <v>1800000</v>
      </c>
      <c r="D71" s="139">
        <f t="shared" ca="1" si="14"/>
        <v>1854190.4115156569</v>
      </c>
      <c r="E71" s="77">
        <f t="shared" ca="1" si="15"/>
        <v>3.0105784175364875E-2</v>
      </c>
      <c r="F71" s="137">
        <f t="shared" ca="1" si="16"/>
        <v>54190.411515656771</v>
      </c>
      <c r="G71" s="139">
        <f t="shared" ca="1" si="17"/>
        <v>1811992.8425473114</v>
      </c>
      <c r="H71" s="77">
        <f t="shared" ca="1" si="18"/>
        <v>6.6626903040617885E-3</v>
      </c>
      <c r="I71" s="137">
        <f t="shared" ca="1" si="19"/>
        <v>11992.842547311218</v>
      </c>
      <c r="J71" s="139">
        <f t="shared" ca="1" si="20"/>
        <v>1782765.9477877172</v>
      </c>
      <c r="K71" s="77">
        <f t="shared" ca="1" si="21"/>
        <v>-9.5744734512683196E-3</v>
      </c>
      <c r="L71" s="137">
        <f t="shared" ca="1" si="22"/>
        <v>-17234.052212282972</v>
      </c>
      <c r="M71" s="139">
        <f t="shared" ca="1" si="23"/>
        <v>1759399.1102913728</v>
      </c>
      <c r="N71" s="77">
        <f t="shared" ca="1" si="24"/>
        <v>-2.2556049838126216E-2</v>
      </c>
      <c r="O71" s="137">
        <f t="shared" ca="1" si="25"/>
        <v>-40600.889708627183</v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>
        <f t="shared" ca="1" si="13"/>
        <v>1800000</v>
      </c>
      <c r="D72" s="139">
        <f t="shared" ca="1" si="14"/>
        <v>1873541.2955045453</v>
      </c>
      <c r="E72" s="77">
        <f t="shared" ca="1" si="15"/>
        <v>4.085627528030298E-2</v>
      </c>
      <c r="F72" s="137">
        <f t="shared" ca="1" si="16"/>
        <v>73541.295504545385</v>
      </c>
      <c r="G72" s="139">
        <f t="shared" ca="1" si="17"/>
        <v>1904445.3449554569</v>
      </c>
      <c r="H72" s="77">
        <f t="shared" ca="1" si="18"/>
        <v>5.8025191641920472E-2</v>
      </c>
      <c r="I72" s="137">
        <f t="shared" ca="1" si="19"/>
        <v>104445.34495545685</v>
      </c>
      <c r="J72" s="139">
        <f t="shared" ca="1" si="20"/>
        <v>1892900.1590908121</v>
      </c>
      <c r="K72" s="77">
        <f t="shared" ca="1" si="21"/>
        <v>5.1611199494895642E-2</v>
      </c>
      <c r="L72" s="137">
        <f t="shared" ca="1" si="22"/>
        <v>92900.159090812143</v>
      </c>
      <c r="M72" s="139">
        <f t="shared" ca="1" si="23"/>
        <v>1882722.6614657538</v>
      </c>
      <c r="N72" s="77">
        <f t="shared" ca="1" si="24"/>
        <v>4.5957034147640886E-2</v>
      </c>
      <c r="O72" s="137">
        <f t="shared" ca="1" si="25"/>
        <v>82722.661465753568</v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>
        <f t="shared" ca="1" si="13"/>
        <v>1700000</v>
      </c>
      <c r="D73" s="140">
        <f t="shared" ca="1" si="14"/>
        <v>1744639.2200355434</v>
      </c>
      <c r="E73" s="79">
        <f t="shared" ca="1" si="15"/>
        <v>2.625836472679011E-2</v>
      </c>
      <c r="F73" s="138">
        <f t="shared" ca="1" si="16"/>
        <v>44639.220035543185</v>
      </c>
      <c r="G73" s="140">
        <f t="shared" ca="1" si="17"/>
        <v>1721332.4234656629</v>
      </c>
      <c r="H73" s="79">
        <f t="shared" ca="1" si="18"/>
        <v>1.2548484391566337E-2</v>
      </c>
      <c r="I73" s="138">
        <f t="shared" ca="1" si="19"/>
        <v>21332.42346566277</v>
      </c>
      <c r="J73" s="140">
        <f t="shared" ca="1" si="20"/>
        <v>1706866.3271011377</v>
      </c>
      <c r="K73" s="79">
        <f t="shared" ca="1" si="21"/>
        <v>4.0390159418457238E-3</v>
      </c>
      <c r="L73" s="138">
        <f t="shared" ca="1" si="22"/>
        <v>6866.3271011377319</v>
      </c>
      <c r="M73" s="140">
        <f t="shared" ca="1" si="23"/>
        <v>1700000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24" t="s">
        <v>283</v>
      </c>
      <c r="B91" s="226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30"/>
      <c r="B92" s="232"/>
      <c r="C92" s="136">
        <f ca="1">SUM(C60:C90)</f>
        <v>26700000</v>
      </c>
      <c r="D92" s="140">
        <f ca="1">SUM(D60:D90)</f>
        <v>27302999.959020335</v>
      </c>
      <c r="E92" s="79">
        <f ca="1">IFERROR(F92 / (SUM($C60:$C90) / COUNT($C60:$C90)), 0)</f>
        <v>0.3161797537934336</v>
      </c>
      <c r="F92" s="138">
        <f ca="1">SUM(F60:F90)</f>
        <v>602999.95902033406</v>
      </c>
      <c r="G92" s="140">
        <f ca="1">SUM(G60:G90)</f>
        <v>27431454.258180387</v>
      </c>
      <c r="H92" s="79">
        <f ca="1">IFERROR(I92 / (SUM($C60:$C90) / COUNT($C60:$C90)), 0)</f>
        <v>0.38353406795975337</v>
      </c>
      <c r="I92" s="138">
        <f ca="1">SUM(I60:I90)</f>
        <v>731454.25818038674</v>
      </c>
      <c r="J92" s="140">
        <f ca="1">SUM(J60:J90)</f>
        <v>27303581.389989071</v>
      </c>
      <c r="K92" s="79">
        <f ca="1">IFERROR(L92 / (SUM($C60:$C90) / COUNT($C60:$C90)), 0)</f>
        <v>0.31648462396430793</v>
      </c>
      <c r="L92" s="138">
        <f ca="1">SUM(L60:L90)</f>
        <v>603581.38998907292</v>
      </c>
      <c r="M92" s="140">
        <f ca="1">SUM(M60:M90)</f>
        <v>27367771.85608422</v>
      </c>
      <c r="N92" s="79">
        <f ca="1">IFERROR(O92 / (SUM($C60:$C90) / COUNT($C60:$C90)), 0)</f>
        <v>0.35014254626138874</v>
      </c>
      <c r="O92" s="138">
        <f ca="1">SUM(O60:O90)</f>
        <v>667771.85608421988</v>
      </c>
    </row>
    <row r="94" spans="1:15" ht="16.5" customHeight="1" thickBot="1"/>
    <row r="95" spans="1:15" ht="16.5" customHeight="1" thickBot="1">
      <c r="A95" s="215" t="str">
        <f>TEXT(투자전략!$G$1, "[$-ko-KR]yyyy년 mm월 ") &amp; "[동전코인] 전일대비 상승률 Top20 월말결산"</f>
        <v>2021년 08월 [동전코인] 전일대비 상승률 Top20 월말결산</v>
      </c>
      <c r="B95" s="216"/>
      <c r="C95" s="216"/>
      <c r="D95" s="216"/>
      <c r="E95" s="216"/>
      <c r="F95" s="216"/>
      <c r="G95" s="216"/>
      <c r="H95" s="216"/>
      <c r="I95" s="216"/>
      <c r="J95" s="216"/>
      <c r="K95" s="216"/>
      <c r="L95" s="216"/>
      <c r="M95" s="216"/>
      <c r="N95" s="216"/>
      <c r="O95" s="217"/>
    </row>
    <row r="96" spans="1:15" ht="16.5" customHeight="1" thickBot="1">
      <c r="A96" s="276" t="s">
        <v>284</v>
      </c>
      <c r="B96" s="230" t="s">
        <v>282</v>
      </c>
      <c r="C96" s="232"/>
      <c r="D96" s="230" t="s">
        <v>274</v>
      </c>
      <c r="E96" s="231"/>
      <c r="F96" s="232"/>
      <c r="G96" s="230" t="s">
        <v>275</v>
      </c>
      <c r="H96" s="231"/>
      <c r="I96" s="232"/>
      <c r="J96" s="230" t="s">
        <v>276</v>
      </c>
      <c r="K96" s="231"/>
      <c r="L96" s="232"/>
      <c r="M96" s="230" t="s">
        <v>277</v>
      </c>
      <c r="N96" s="231"/>
      <c r="O96" s="232"/>
    </row>
    <row r="97" spans="1:15" ht="16.5" customHeight="1" thickBot="1">
      <c r="A97" s="280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2060246.3959181509</v>
      </c>
      <c r="N106" s="77">
        <f t="shared" ca="1" si="37"/>
        <v>3.01231979590754E-2</v>
      </c>
      <c r="O106" s="137">
        <f t="shared" ca="1" si="38"/>
        <v>60246.395918150789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>
        <f t="shared" ca="1" si="26"/>
        <v>2000000</v>
      </c>
      <c r="D107" s="139">
        <f t="shared" ca="1" si="27"/>
        <v>2021101.9095612776</v>
      </c>
      <c r="E107" s="77">
        <f t="shared" ca="1" si="28"/>
        <v>1.0550954780638841E-2</v>
      </c>
      <c r="F107" s="137">
        <f t="shared" ca="1" si="29"/>
        <v>21101.90956127768</v>
      </c>
      <c r="G107" s="139">
        <f t="shared" ca="1" si="30"/>
        <v>2047804.356627021</v>
      </c>
      <c r="H107" s="77">
        <f t="shared" ca="1" si="31"/>
        <v>2.3902178313510526E-2</v>
      </c>
      <c r="I107" s="137">
        <f t="shared" ca="1" si="32"/>
        <v>47804.356627021058</v>
      </c>
      <c r="J107" s="139">
        <f t="shared" ca="1" si="33"/>
        <v>2043419.1859212937</v>
      </c>
      <c r="K107" s="77">
        <f t="shared" ca="1" si="34"/>
        <v>2.1709592960646798E-2</v>
      </c>
      <c r="L107" s="137">
        <f t="shared" ca="1" si="35"/>
        <v>43419.185921293596</v>
      </c>
      <c r="M107" s="139">
        <f t="shared" ca="1" si="36"/>
        <v>2035328.3544958129</v>
      </c>
      <c r="N107" s="77">
        <f t="shared" ca="1" si="37"/>
        <v>1.7664177247906428E-2</v>
      </c>
      <c r="O107" s="137">
        <f t="shared" ca="1" si="38"/>
        <v>35328.354495812862</v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>
        <f t="shared" ca="1" si="26"/>
        <v>2000000</v>
      </c>
      <c r="D108" s="139">
        <f t="shared" ca="1" si="27"/>
        <v>2077847.8503501713</v>
      </c>
      <c r="E108" s="77">
        <f t="shared" ca="1" si="28"/>
        <v>3.8923925175085639E-2</v>
      </c>
      <c r="F108" s="137">
        <f t="shared" ca="1" si="29"/>
        <v>77847.850350171284</v>
      </c>
      <c r="G108" s="139">
        <f t="shared" ca="1" si="30"/>
        <v>2096222.4331459273</v>
      </c>
      <c r="H108" s="77">
        <f t="shared" ca="1" si="31"/>
        <v>4.8111216572963522E-2</v>
      </c>
      <c r="I108" s="137">
        <f t="shared" ca="1" si="32"/>
        <v>96222.433145927032</v>
      </c>
      <c r="J108" s="139">
        <f t="shared" ca="1" si="33"/>
        <v>2070387.0379871989</v>
      </c>
      <c r="K108" s="77">
        <f t="shared" ca="1" si="34"/>
        <v>3.5193518993599515E-2</v>
      </c>
      <c r="L108" s="137">
        <f t="shared" ca="1" si="35"/>
        <v>70387.03798719903</v>
      </c>
      <c r="M108" s="139">
        <f t="shared" ca="1" si="36"/>
        <v>2135185.6992114871</v>
      </c>
      <c r="N108" s="77">
        <f t="shared" ca="1" si="37"/>
        <v>6.7592849605743549E-2</v>
      </c>
      <c r="O108" s="137">
        <f t="shared" ca="1" si="38"/>
        <v>135185.69921148711</v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>
        <f t="shared" ca="1" si="26"/>
        <v>2000000</v>
      </c>
      <c r="D109" s="139">
        <f t="shared" ca="1" si="27"/>
        <v>1982993.5094791101</v>
      </c>
      <c r="E109" s="77">
        <f t="shared" ca="1" si="28"/>
        <v>-8.5032452604449481E-3</v>
      </c>
      <c r="F109" s="137">
        <f t="shared" ca="1" si="29"/>
        <v>-17006.4905208899</v>
      </c>
      <c r="G109" s="139">
        <f t="shared" ca="1" si="30"/>
        <v>1934655.6315077604</v>
      </c>
      <c r="H109" s="77">
        <f t="shared" ca="1" si="31"/>
        <v>-3.2672184246119888E-2</v>
      </c>
      <c r="I109" s="137">
        <f t="shared" ca="1" si="32"/>
        <v>-65344.368492239766</v>
      </c>
      <c r="J109" s="139">
        <f t="shared" ca="1" si="33"/>
        <v>1908627.6688274594</v>
      </c>
      <c r="K109" s="77">
        <f t="shared" ca="1" si="34"/>
        <v>-4.5686165586270262E-2</v>
      </c>
      <c r="L109" s="137">
        <f t="shared" ca="1" si="35"/>
        <v>-91372.331172540507</v>
      </c>
      <c r="M109" s="139">
        <f t="shared" ca="1" si="36"/>
        <v>1887802.9191231334</v>
      </c>
      <c r="N109" s="77">
        <f t="shared" ca="1" si="37"/>
        <v>-5.6098540438433264E-2</v>
      </c>
      <c r="O109" s="137">
        <f t="shared" ca="1" si="38"/>
        <v>-112197.08087686654</v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>
        <f t="shared" ca="1" si="26"/>
        <v>2000000</v>
      </c>
      <c r="D110" s="139">
        <f t="shared" ca="1" si="27"/>
        <v>2071505.1197508259</v>
      </c>
      <c r="E110" s="77">
        <f t="shared" ca="1" si="28"/>
        <v>3.5752559875412968E-2</v>
      </c>
      <c r="F110" s="137">
        <f t="shared" ca="1" si="29"/>
        <v>71505.119750825921</v>
      </c>
      <c r="G110" s="139">
        <f t="shared" ca="1" si="30"/>
        <v>2117288.9307907317</v>
      </c>
      <c r="H110" s="77">
        <f t="shared" ca="1" si="31"/>
        <v>5.8644465395365851E-2</v>
      </c>
      <c r="I110" s="137">
        <f t="shared" ca="1" si="32"/>
        <v>117288.93079073173</v>
      </c>
      <c r="J110" s="139">
        <f t="shared" ca="1" si="33"/>
        <v>2105341.8449813551</v>
      </c>
      <c r="K110" s="77">
        <f t="shared" ca="1" si="34"/>
        <v>5.2670922490677542E-2</v>
      </c>
      <c r="L110" s="137">
        <f t="shared" ca="1" si="35"/>
        <v>105341.8449813551</v>
      </c>
      <c r="M110" s="139">
        <f t="shared" ca="1" si="36"/>
        <v>2086962.4835929845</v>
      </c>
      <c r="N110" s="77">
        <f t="shared" ca="1" si="37"/>
        <v>4.3481241796492369E-2</v>
      </c>
      <c r="O110" s="137">
        <f t="shared" ca="1" si="38"/>
        <v>86962.483592984732</v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>
        <f t="shared" ca="1" si="26"/>
        <v>2000000</v>
      </c>
      <c r="D111" s="140">
        <f t="shared" ca="1" si="27"/>
        <v>2072913.3035479204</v>
      </c>
      <c r="E111" s="79">
        <f t="shared" ca="1" si="28"/>
        <v>3.6456651773960146E-2</v>
      </c>
      <c r="F111" s="138">
        <f t="shared" ca="1" si="29"/>
        <v>72913.303547920295</v>
      </c>
      <c r="G111" s="140">
        <f t="shared" ca="1" si="30"/>
        <v>2044643.2415557853</v>
      </c>
      <c r="H111" s="79">
        <f t="shared" ca="1" si="31"/>
        <v>2.2321620777892785E-2</v>
      </c>
      <c r="I111" s="138">
        <f t="shared" ca="1" si="32"/>
        <v>44643.241555785571</v>
      </c>
      <c r="J111" s="140">
        <f t="shared" ca="1" si="33"/>
        <v>2033892.3754779538</v>
      </c>
      <c r="K111" s="79">
        <f t="shared" ca="1" si="34"/>
        <v>1.6946187738976846E-2</v>
      </c>
      <c r="L111" s="138">
        <f t="shared" ca="1" si="35"/>
        <v>33892.375477953683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24" t="s">
        <v>283</v>
      </c>
      <c r="B129" s="226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30"/>
      <c r="B130" s="232"/>
      <c r="C130" s="136">
        <f ca="1">SUM(C98:C128)</f>
        <v>28000000</v>
      </c>
      <c r="D130" s="140">
        <f ca="1">SUM(D98:D128)</f>
        <v>28383692.313874792</v>
      </c>
      <c r="E130" s="79">
        <f ca="1">IFERROR(F130 / (SUM($C98:$C128) / COUNT($C98:$C128)), 0)</f>
        <v>0.19184615693739715</v>
      </c>
      <c r="F130" s="138">
        <f ca="1">SUM(F98:F128)</f>
        <v>383692.31387479429</v>
      </c>
      <c r="G130" s="140">
        <f ca="1">SUM(G98:G128)</f>
        <v>28493678.174792487</v>
      </c>
      <c r="H130" s="79">
        <f ca="1">IFERROR(I130 / (SUM($C98:$C128) / COUNT($C98:$C128)), 0)</f>
        <v>0.24683908739624399</v>
      </c>
      <c r="I130" s="138">
        <f ca="1">SUM(I98:I128)</f>
        <v>493678.17479248799</v>
      </c>
      <c r="J130" s="140">
        <f ca="1">SUM(J98:J128)</f>
        <v>28400904.953855339</v>
      </c>
      <c r="K130" s="79">
        <f ca="1">IFERROR(L130 / (SUM($C98:$C128) / COUNT($C98:$C128)), 0)</f>
        <v>0.20045247692766971</v>
      </c>
      <c r="L130" s="138">
        <f ca="1">SUM(L98:L128)</f>
        <v>400904.95385533944</v>
      </c>
      <c r="M130" s="140">
        <f ca="1">SUM(M98:M128)</f>
        <v>28434128.947992913</v>
      </c>
      <c r="N130" s="79">
        <f ca="1">IFERROR(O130 / (SUM($C98:$C128) / COUNT($C98:$C128)), 0)</f>
        <v>0.21706447399645837</v>
      </c>
      <c r="O130" s="138">
        <f ca="1">SUM(O98:O128)</f>
        <v>434128.94799291674</v>
      </c>
    </row>
    <row r="132" spans="1:15" ht="16.5" customHeight="1" thickBot="1"/>
    <row r="133" spans="1:15" ht="16.5" customHeight="1" thickBot="1">
      <c r="A133" s="215" t="str">
        <f>TEXT(투자전략!$G$1, "[$-ko-KR]yyyy년 mm월 ") &amp; "전일대비 상승률 Top20 월말결산"</f>
        <v>2021년 08월 전일대비 상승률 Top20 월말결산</v>
      </c>
      <c r="B133" s="216"/>
      <c r="C133" s="216"/>
      <c r="D133" s="216"/>
      <c r="E133" s="216"/>
      <c r="F133" s="216"/>
      <c r="G133" s="216"/>
      <c r="H133" s="216"/>
      <c r="I133" s="216"/>
      <c r="J133" s="216"/>
      <c r="K133" s="216"/>
      <c r="L133" s="216"/>
      <c r="M133" s="216"/>
      <c r="N133" s="216"/>
      <c r="O133" s="217"/>
    </row>
    <row r="134" spans="1:15" ht="16.5" customHeight="1" thickBot="1">
      <c r="A134" s="276" t="s">
        <v>284</v>
      </c>
      <c r="B134" s="230" t="s">
        <v>282</v>
      </c>
      <c r="C134" s="232"/>
      <c r="D134" s="230" t="s">
        <v>274</v>
      </c>
      <c r="E134" s="231"/>
      <c r="F134" s="232"/>
      <c r="G134" s="230" t="s">
        <v>275</v>
      </c>
      <c r="H134" s="231"/>
      <c r="I134" s="232"/>
      <c r="J134" s="230" t="s">
        <v>276</v>
      </c>
      <c r="K134" s="231"/>
      <c r="L134" s="232"/>
      <c r="M134" s="230" t="s">
        <v>277</v>
      </c>
      <c r="N134" s="231"/>
      <c r="O134" s="232"/>
    </row>
    <row r="135" spans="1:15" ht="16.5" customHeight="1" thickBot="1">
      <c r="A135" s="280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2071387.2607159871</v>
      </c>
      <c r="N144" s="77">
        <f t="shared" ca="1" si="50"/>
        <v>3.56936303579935E-2</v>
      </c>
      <c r="O144" s="137">
        <f t="shared" ca="1" si="51"/>
        <v>71387.260715987009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>
        <f t="shared" ca="1" si="39"/>
        <v>2000000</v>
      </c>
      <c r="D145" s="139">
        <f t="shared" ca="1" si="40"/>
        <v>2008074.9352982012</v>
      </c>
      <c r="E145" s="77">
        <f t="shared" ca="1" si="41"/>
        <v>4.0374676491006806E-3</v>
      </c>
      <c r="F145" s="137">
        <f t="shared" ca="1" si="42"/>
        <v>8074.9352982013606</v>
      </c>
      <c r="G145" s="139">
        <f t="shared" ca="1" si="43"/>
        <v>2040684.4804251851</v>
      </c>
      <c r="H145" s="77">
        <f t="shared" ca="1" si="44"/>
        <v>2.0342240212592646E-2</v>
      </c>
      <c r="I145" s="137">
        <f t="shared" ca="1" si="45"/>
        <v>40684.480425185291</v>
      </c>
      <c r="J145" s="139">
        <f t="shared" ca="1" si="46"/>
        <v>2017175.4331833606</v>
      </c>
      <c r="K145" s="77">
        <f t="shared" ca="1" si="47"/>
        <v>8.587716591680318E-3</v>
      </c>
      <c r="L145" s="137">
        <f t="shared" ca="1" si="48"/>
        <v>17175.433183360637</v>
      </c>
      <c r="M145" s="139">
        <f t="shared" ca="1" si="49"/>
        <v>2004907.6406333488</v>
      </c>
      <c r="N145" s="77">
        <f t="shared" ca="1" si="50"/>
        <v>2.4538203166743341E-3</v>
      </c>
      <c r="O145" s="137">
        <f t="shared" ca="1" si="51"/>
        <v>4907.6406333486693</v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>
        <f t="shared" ca="1" si="39"/>
        <v>2000000</v>
      </c>
      <c r="D146" s="139">
        <f t="shared" ca="1" si="40"/>
        <v>2112969.3810947873</v>
      </c>
      <c r="E146" s="77">
        <f t="shared" ca="1" si="41"/>
        <v>5.6484690547393732E-2</v>
      </c>
      <c r="F146" s="137">
        <f t="shared" ca="1" si="42"/>
        <v>112969.38109478746</v>
      </c>
      <c r="G146" s="139">
        <f t="shared" ca="1" si="43"/>
        <v>2132986.2844566847</v>
      </c>
      <c r="H146" s="77">
        <f t="shared" ca="1" si="44"/>
        <v>6.649314222834235E-2</v>
      </c>
      <c r="I146" s="137">
        <f t="shared" ca="1" si="45"/>
        <v>132986.28445668469</v>
      </c>
      <c r="J146" s="139">
        <f t="shared" ca="1" si="46"/>
        <v>2100639.1268384168</v>
      </c>
      <c r="K146" s="77">
        <f t="shared" ca="1" si="47"/>
        <v>5.0319563419208305E-2</v>
      </c>
      <c r="L146" s="137">
        <f t="shared" ca="1" si="48"/>
        <v>100639.12683841659</v>
      </c>
      <c r="M146" s="139">
        <f t="shared" ca="1" si="49"/>
        <v>2145482.0288716033</v>
      </c>
      <c r="N146" s="77">
        <f t="shared" ca="1" si="50"/>
        <v>7.2741014435801721E-2</v>
      </c>
      <c r="O146" s="137">
        <f t="shared" ca="1" si="51"/>
        <v>145482.02887160346</v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>
        <f t="shared" ca="1" si="39"/>
        <v>2000000</v>
      </c>
      <c r="D147" s="139">
        <f t="shared" ca="1" si="40"/>
        <v>2003696.7944850526</v>
      </c>
      <c r="E147" s="77">
        <f t="shared" ca="1" si="41"/>
        <v>1.8483972425261987E-3</v>
      </c>
      <c r="F147" s="137">
        <f t="shared" ca="1" si="42"/>
        <v>3696.7944850523972</v>
      </c>
      <c r="G147" s="139">
        <f t="shared" ca="1" si="43"/>
        <v>1956082.398923646</v>
      </c>
      <c r="H147" s="77">
        <f t="shared" ca="1" si="44"/>
        <v>-2.1958800538177038E-2</v>
      </c>
      <c r="I147" s="137">
        <f t="shared" ca="1" si="45"/>
        <v>-43917.601076354069</v>
      </c>
      <c r="J147" s="139">
        <f t="shared" ca="1" si="46"/>
        <v>1924197.1564999376</v>
      </c>
      <c r="K147" s="77">
        <f t="shared" ca="1" si="47"/>
        <v>-3.7901421750031236E-2</v>
      </c>
      <c r="L147" s="137">
        <f t="shared" ca="1" si="48"/>
        <v>-75802.843500062445</v>
      </c>
      <c r="M147" s="139">
        <f t="shared" ca="1" si="49"/>
        <v>1901776.3529682013</v>
      </c>
      <c r="N147" s="77">
        <f t="shared" ca="1" si="50"/>
        <v>-4.9111823515899426E-2</v>
      </c>
      <c r="O147" s="137">
        <f t="shared" ca="1" si="51"/>
        <v>-98223.647031798857</v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>
        <f t="shared" ca="1" si="39"/>
        <v>2000000</v>
      </c>
      <c r="D148" s="139">
        <f t="shared" ca="1" si="40"/>
        <v>2078587.8908846907</v>
      </c>
      <c r="E148" s="77">
        <f t="shared" ca="1" si="41"/>
        <v>3.9293945442345227E-2</v>
      </c>
      <c r="F148" s="137">
        <f t="shared" ca="1" si="42"/>
        <v>78587.890884690438</v>
      </c>
      <c r="G148" s="139">
        <f t="shared" ca="1" si="43"/>
        <v>2118156.1549560409</v>
      </c>
      <c r="H148" s="77">
        <f t="shared" ca="1" si="44"/>
        <v>5.9078077478020498E-2</v>
      </c>
      <c r="I148" s="137">
        <f t="shared" ca="1" si="45"/>
        <v>118156.15495604096</v>
      </c>
      <c r="J148" s="139">
        <f t="shared" ca="1" si="46"/>
        <v>2103923.9857581989</v>
      </c>
      <c r="K148" s="77">
        <f t="shared" ca="1" si="47"/>
        <v>5.1961992879099451E-2</v>
      </c>
      <c r="L148" s="137">
        <f t="shared" ca="1" si="48"/>
        <v>103923.98575819891</v>
      </c>
      <c r="M148" s="139">
        <f t="shared" ca="1" si="49"/>
        <v>2086351.4768860186</v>
      </c>
      <c r="N148" s="77">
        <f t="shared" ca="1" si="50"/>
        <v>4.3175738443009294E-2</v>
      </c>
      <c r="O148" s="137">
        <f t="shared" ca="1" si="51"/>
        <v>86351.476886018616</v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>
        <f t="shared" ca="1" si="39"/>
        <v>2000000</v>
      </c>
      <c r="D149" s="140">
        <f t="shared" ca="1" si="40"/>
        <v>2097934.1526444759</v>
      </c>
      <c r="E149" s="79">
        <f t="shared" ca="1" si="41"/>
        <v>4.8967076322237749E-2</v>
      </c>
      <c r="F149" s="138">
        <f t="shared" ca="1" si="42"/>
        <v>97934.1526444755</v>
      </c>
      <c r="G149" s="140">
        <f t="shared" ca="1" si="43"/>
        <v>2078310.3557226078</v>
      </c>
      <c r="H149" s="79">
        <f t="shared" ca="1" si="44"/>
        <v>3.9155177861304007E-2</v>
      </c>
      <c r="I149" s="138">
        <f t="shared" ca="1" si="45"/>
        <v>78310.355722608016</v>
      </c>
      <c r="J149" s="140">
        <f t="shared" ca="1" si="46"/>
        <v>2062925.8071365019</v>
      </c>
      <c r="K149" s="79">
        <f t="shared" ca="1" si="47"/>
        <v>3.1462903568250974E-2</v>
      </c>
      <c r="L149" s="138">
        <f t="shared" ca="1" si="48"/>
        <v>62925.807136501942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24" t="s">
        <v>283</v>
      </c>
      <c r="B167" s="226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30"/>
      <c r="B168" s="232"/>
      <c r="C168" s="136">
        <f ca="1">SUM(C136:C166)</f>
        <v>28000000</v>
      </c>
      <c r="D168" s="140">
        <f ca="1">SUM(D136:D166)</f>
        <v>28473955.805661231</v>
      </c>
      <c r="E168" s="79">
        <f ca="1">IFERROR(F168 / (SUM($C136:$C166) / COUNT($C136:$C166)), 0)</f>
        <v>0.2369779028306169</v>
      </c>
      <c r="F168" s="138">
        <f ca="1">SUM(F136:F166)</f>
        <v>473955.80566123378</v>
      </c>
      <c r="G168" s="140">
        <f ca="1">SUM(G136:G166)</f>
        <v>28554689.938784875</v>
      </c>
      <c r="H168" s="79">
        <f ca="1">IFERROR(I168 / (SUM($C136:$C166) / COUNT($C136:$C166)), 0)</f>
        <v>0.27734496939243641</v>
      </c>
      <c r="I168" s="138">
        <f ca="1">SUM(I136:I166)</f>
        <v>554689.93878487288</v>
      </c>
      <c r="J168" s="140">
        <f ca="1">SUM(J136:J166)</f>
        <v>28415107.44209031</v>
      </c>
      <c r="K168" s="79">
        <f ca="1">IFERROR(L168 / (SUM($C136:$C166) / COUNT($C136:$C166)), 0)</f>
        <v>0.20755372104515432</v>
      </c>
      <c r="L168" s="138">
        <f ca="1">SUM(L136:L166)</f>
        <v>415107.44209030864</v>
      </c>
      <c r="M168" s="140">
        <f ca="1">SUM(M136:M166)</f>
        <v>28398493.522744998</v>
      </c>
      <c r="N168" s="79">
        <f ca="1">IFERROR(O168 / (SUM($C136:$C166) / COUNT($C136:$C166)), 0)</f>
        <v>0.19924676137249869</v>
      </c>
      <c r="O168" s="138">
        <f ca="1">SUM(O136:O166)</f>
        <v>398493.5227449974</v>
      </c>
    </row>
    <row r="170" spans="1:15" ht="16.5" customHeight="1" thickBot="1"/>
    <row r="171" spans="1:15" ht="16.5" customHeight="1" thickBot="1">
      <c r="A171" s="215" t="str">
        <f>TEXT(투자전략!$G$1, "[$-ko-KR]yyyy년 mm월 ") &amp; "[엽전코인] 전일대비 상승률 Bottom20 월말결산"</f>
        <v>2021년 08월 [엽전코인] 전일대비 상승률 Bottom20 월말결산</v>
      </c>
      <c r="B171" s="216"/>
      <c r="C171" s="216"/>
      <c r="D171" s="216"/>
      <c r="E171" s="216"/>
      <c r="F171" s="216"/>
      <c r="G171" s="216"/>
      <c r="H171" s="216"/>
      <c r="I171" s="216"/>
      <c r="J171" s="216"/>
      <c r="K171" s="216"/>
      <c r="L171" s="216"/>
      <c r="M171" s="216"/>
      <c r="N171" s="216"/>
      <c r="O171" s="217"/>
    </row>
    <row r="172" spans="1:15" ht="16.5" customHeight="1" thickBot="1">
      <c r="A172" s="276" t="s">
        <v>284</v>
      </c>
      <c r="B172" s="230" t="s">
        <v>282</v>
      </c>
      <c r="C172" s="232"/>
      <c r="D172" s="230" t="s">
        <v>274</v>
      </c>
      <c r="E172" s="231"/>
      <c r="F172" s="232"/>
      <c r="G172" s="230" t="s">
        <v>275</v>
      </c>
      <c r="H172" s="231"/>
      <c r="I172" s="232"/>
      <c r="J172" s="230" t="s">
        <v>276</v>
      </c>
      <c r="K172" s="231"/>
      <c r="L172" s="232"/>
      <c r="M172" s="230" t="s">
        <v>277</v>
      </c>
      <c r="N172" s="231"/>
      <c r="O172" s="232"/>
    </row>
    <row r="173" spans="1:15" ht="16.5" customHeight="1" thickBot="1">
      <c r="A173" s="280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2059235.6804477214</v>
      </c>
      <c r="N182" s="77">
        <f t="shared" ca="1" si="63"/>
        <v>2.9617840223860749E-2</v>
      </c>
      <c r="O182" s="137">
        <f t="shared" ca="1" si="64"/>
        <v>59235.680447721512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>
        <f t="shared" ca="1" si="52"/>
        <v>1800000</v>
      </c>
      <c r="D183" s="139">
        <f t="shared" ca="1" si="53"/>
        <v>1818899.4806794254</v>
      </c>
      <c r="E183" s="77">
        <f t="shared" ca="1" si="54"/>
        <v>1.0499711488569726E-2</v>
      </c>
      <c r="F183" s="137">
        <f t="shared" ca="1" si="55"/>
        <v>18899.480679425509</v>
      </c>
      <c r="G183" s="139">
        <f t="shared" ca="1" si="56"/>
        <v>1842748.3554756248</v>
      </c>
      <c r="H183" s="77">
        <f t="shared" ca="1" si="57"/>
        <v>2.3749086375347221E-2</v>
      </c>
      <c r="I183" s="137">
        <f t="shared" ca="1" si="58"/>
        <v>42748.355475624987</v>
      </c>
      <c r="J183" s="139">
        <f t="shared" ca="1" si="59"/>
        <v>1818737.1070886063</v>
      </c>
      <c r="K183" s="77">
        <f t="shared" ca="1" si="60"/>
        <v>1.0409503938114661E-2</v>
      </c>
      <c r="L183" s="137">
        <f t="shared" ca="1" si="61"/>
        <v>18737.107088606386</v>
      </c>
      <c r="M183" s="139">
        <f t="shared" ca="1" si="62"/>
        <v>1813599.8950606664</v>
      </c>
      <c r="N183" s="77">
        <f t="shared" ca="1" si="63"/>
        <v>7.5554972559257732E-3</v>
      </c>
      <c r="O183" s="137">
        <f t="shared" ca="1" si="64"/>
        <v>13599.895060666389</v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>
        <f t="shared" ca="1" si="52"/>
        <v>1800000</v>
      </c>
      <c r="D184" s="139">
        <f t="shared" ca="1" si="53"/>
        <v>1863783.6799108451</v>
      </c>
      <c r="E184" s="77">
        <f t="shared" ca="1" si="54"/>
        <v>3.5435377728247258E-2</v>
      </c>
      <c r="F184" s="137">
        <f t="shared" ca="1" si="55"/>
        <v>63783.679910845065</v>
      </c>
      <c r="G184" s="139">
        <f t="shared" ca="1" si="56"/>
        <v>1906022.8707645715</v>
      </c>
      <c r="H184" s="77">
        <f t="shared" ca="1" si="57"/>
        <v>5.8901594869206333E-2</v>
      </c>
      <c r="I184" s="137">
        <f t="shared" ca="1" si="58"/>
        <v>106022.87076457139</v>
      </c>
      <c r="J184" s="139">
        <f t="shared" ca="1" si="59"/>
        <v>1894568.2179449624</v>
      </c>
      <c r="K184" s="77">
        <f t="shared" ca="1" si="60"/>
        <v>5.2537898858312476E-2</v>
      </c>
      <c r="L184" s="137">
        <f t="shared" ca="1" si="61"/>
        <v>94568.217944962424</v>
      </c>
      <c r="M184" s="139">
        <f t="shared" ca="1" si="62"/>
        <v>1948710.7560345037</v>
      </c>
      <c r="N184" s="77">
        <f t="shared" ca="1" si="63"/>
        <v>8.2617086685835284E-2</v>
      </c>
      <c r="O184" s="137">
        <f t="shared" ca="1" si="64"/>
        <v>148710.75603450349</v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>
        <f t="shared" ca="1" si="52"/>
        <v>1800000</v>
      </c>
      <c r="D185" s="139">
        <f t="shared" ca="1" si="53"/>
        <v>1854190.4115156569</v>
      </c>
      <c r="E185" s="77">
        <f t="shared" ca="1" si="54"/>
        <v>3.0105784175364875E-2</v>
      </c>
      <c r="F185" s="137">
        <f t="shared" ca="1" si="55"/>
        <v>54190.411515656771</v>
      </c>
      <c r="G185" s="139">
        <f t="shared" ca="1" si="56"/>
        <v>1811992.8425473114</v>
      </c>
      <c r="H185" s="77">
        <f t="shared" ca="1" si="57"/>
        <v>6.6626903040617885E-3</v>
      </c>
      <c r="I185" s="137">
        <f t="shared" ca="1" si="58"/>
        <v>11992.842547311218</v>
      </c>
      <c r="J185" s="139">
        <f t="shared" ca="1" si="59"/>
        <v>1782765.9477877172</v>
      </c>
      <c r="K185" s="77">
        <f t="shared" ca="1" si="60"/>
        <v>-9.5744734512683196E-3</v>
      </c>
      <c r="L185" s="137">
        <f t="shared" ca="1" si="61"/>
        <v>-17234.052212282972</v>
      </c>
      <c r="M185" s="139">
        <f t="shared" ca="1" si="62"/>
        <v>1759399.1102913728</v>
      </c>
      <c r="N185" s="77">
        <f t="shared" ca="1" si="63"/>
        <v>-2.2556049838126216E-2</v>
      </c>
      <c r="O185" s="137">
        <f t="shared" ca="1" si="64"/>
        <v>-40600.889708627183</v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>
        <f t="shared" ca="1" si="52"/>
        <v>1800000</v>
      </c>
      <c r="D186" s="139">
        <f t="shared" ca="1" si="53"/>
        <v>1873541.2955045453</v>
      </c>
      <c r="E186" s="77">
        <f t="shared" ca="1" si="54"/>
        <v>4.085627528030298E-2</v>
      </c>
      <c r="F186" s="137">
        <f t="shared" ca="1" si="55"/>
        <v>73541.295504545385</v>
      </c>
      <c r="G186" s="139">
        <f t="shared" ca="1" si="56"/>
        <v>1904445.3449554569</v>
      </c>
      <c r="H186" s="77">
        <f t="shared" ca="1" si="57"/>
        <v>5.8025191641920472E-2</v>
      </c>
      <c r="I186" s="137">
        <f t="shared" ca="1" si="58"/>
        <v>104445.34495545685</v>
      </c>
      <c r="J186" s="139">
        <f t="shared" ca="1" si="59"/>
        <v>1892900.1590908121</v>
      </c>
      <c r="K186" s="77">
        <f t="shared" ca="1" si="60"/>
        <v>5.1611199494895642E-2</v>
      </c>
      <c r="L186" s="137">
        <f t="shared" ca="1" si="61"/>
        <v>92900.159090812143</v>
      </c>
      <c r="M186" s="139">
        <f t="shared" ca="1" si="62"/>
        <v>1882722.6614657538</v>
      </c>
      <c r="N186" s="77">
        <f t="shared" ca="1" si="63"/>
        <v>4.5957034147640886E-2</v>
      </c>
      <c r="O186" s="137">
        <f t="shared" ca="1" si="64"/>
        <v>82722.661465753568</v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>
        <f t="shared" ca="1" si="52"/>
        <v>1700000</v>
      </c>
      <c r="D187" s="140">
        <f t="shared" ca="1" si="53"/>
        <v>1744639.2200355434</v>
      </c>
      <c r="E187" s="79">
        <f t="shared" ca="1" si="54"/>
        <v>2.625836472679011E-2</v>
      </c>
      <c r="F187" s="138">
        <f t="shared" ca="1" si="55"/>
        <v>44639.220035543185</v>
      </c>
      <c r="G187" s="140">
        <f t="shared" ca="1" si="56"/>
        <v>1721332.4234656629</v>
      </c>
      <c r="H187" s="79">
        <f t="shared" ca="1" si="57"/>
        <v>1.2548484391566337E-2</v>
      </c>
      <c r="I187" s="138">
        <f t="shared" ca="1" si="58"/>
        <v>21332.42346566277</v>
      </c>
      <c r="J187" s="140">
        <f t="shared" ca="1" si="59"/>
        <v>1706866.3271011377</v>
      </c>
      <c r="K187" s="79">
        <f t="shared" ca="1" si="60"/>
        <v>4.0390159418457238E-3</v>
      </c>
      <c r="L187" s="138">
        <f t="shared" ca="1" si="61"/>
        <v>6866.3271011377319</v>
      </c>
      <c r="M187" s="140">
        <f t="shared" ca="1" si="62"/>
        <v>1700000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24" t="s">
        <v>283</v>
      </c>
      <c r="B205" s="226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30"/>
      <c r="B206" s="232"/>
      <c r="C206" s="136">
        <f ca="1">SUM(C174:C204)</f>
        <v>26700000</v>
      </c>
      <c r="D206" s="140">
        <f ca="1">SUM(D174:D204)</f>
        <v>27294749.094652127</v>
      </c>
      <c r="E206" s="79">
        <f ca="1">IFERROR(F206 / (SUM($C174:$C204) / COUNT($C174:$C204)), 0)</f>
        <v>0.31185345787002966</v>
      </c>
      <c r="F206" s="138">
        <f ca="1">SUM(F174:F204)</f>
        <v>594749.09465212794</v>
      </c>
      <c r="G206" s="140">
        <f ca="1">SUM(G174:G204)</f>
        <v>27436074.893890899</v>
      </c>
      <c r="H206" s="79">
        <f ca="1">IFERROR(I206 / (SUM($C174:$C204) / COUNT($C174:$C204)), 0)</f>
        <v>0.38595687320122218</v>
      </c>
      <c r="I206" s="138">
        <f ca="1">SUM(I174:I204)</f>
        <v>736074.89389090228</v>
      </c>
      <c r="J206" s="140">
        <f ca="1">SUM(J174:J204)</f>
        <v>27307400.574650228</v>
      </c>
      <c r="K206" s="79">
        <f ca="1">IFERROR(L206 / (SUM($C174:$C204) / COUNT($C174:$C204)), 0)</f>
        <v>0.31848719270049397</v>
      </c>
      <c r="L206" s="138">
        <f ca="1">SUM(L174:L204)</f>
        <v>607400.57465022779</v>
      </c>
      <c r="M206" s="140">
        <f ca="1">SUM(M174:M204)</f>
        <v>27374311.45777522</v>
      </c>
      <c r="N206" s="79">
        <f ca="1">IFERROR(O206 / (SUM($C174:$C204) / COUNT($C174:$C204)), 0)</f>
        <v>0.35357155089337461</v>
      </c>
      <c r="O206" s="138">
        <f ca="1">SUM(O174:O204)</f>
        <v>674311.45777522156</v>
      </c>
    </row>
    <row r="208" spans="1:15" ht="16.5" customHeight="1" thickBot="1"/>
    <row r="209" spans="1:15" ht="16.5" customHeight="1" thickBot="1">
      <c r="A209" s="215" t="str">
        <f>TEXT(투자전략!$G$1, "[$-ko-KR]yyyy년 mm월 ") &amp; "[동전코인] 전일대비 상승률 Bottom20 월말결산"</f>
        <v>2021년 08월 [동전코인] 전일대비 상승률 Bottom20 월말결산</v>
      </c>
      <c r="B209" s="216"/>
      <c r="C209" s="216"/>
      <c r="D209" s="216"/>
      <c r="E209" s="216"/>
      <c r="F209" s="216"/>
      <c r="G209" s="216"/>
      <c r="H209" s="216"/>
      <c r="I209" s="216"/>
      <c r="J209" s="216"/>
      <c r="K209" s="216"/>
      <c r="L209" s="216"/>
      <c r="M209" s="216"/>
      <c r="N209" s="216"/>
      <c r="O209" s="217"/>
    </row>
    <row r="210" spans="1:15" ht="16.5" customHeight="1" thickBot="1">
      <c r="A210" s="276" t="s">
        <v>284</v>
      </c>
      <c r="B210" s="230" t="s">
        <v>282</v>
      </c>
      <c r="C210" s="232"/>
      <c r="D210" s="230" t="s">
        <v>274</v>
      </c>
      <c r="E210" s="231"/>
      <c r="F210" s="232"/>
      <c r="G210" s="230" t="s">
        <v>275</v>
      </c>
      <c r="H210" s="231"/>
      <c r="I210" s="232"/>
      <c r="J210" s="230" t="s">
        <v>276</v>
      </c>
      <c r="K210" s="231"/>
      <c r="L210" s="232"/>
      <c r="M210" s="230" t="s">
        <v>277</v>
      </c>
      <c r="N210" s="231"/>
      <c r="O210" s="232"/>
    </row>
    <row r="211" spans="1:15" ht="16.5" customHeight="1" thickBot="1">
      <c r="A211" s="280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2058554.4544049231</v>
      </c>
      <c r="N220" s="77">
        <f t="shared" ca="1" si="76"/>
        <v>2.9277227202461613E-2</v>
      </c>
      <c r="O220" s="137">
        <f t="shared" ca="1" si="77"/>
        <v>58554.454404923228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>
        <f t="shared" ca="1" si="65"/>
        <v>2000000</v>
      </c>
      <c r="D221" s="139">
        <f t="shared" ca="1" si="66"/>
        <v>2019183.901390861</v>
      </c>
      <c r="E221" s="77">
        <f t="shared" ca="1" si="67"/>
        <v>9.5919506954304269E-3</v>
      </c>
      <c r="F221" s="137">
        <f t="shared" ca="1" si="68"/>
        <v>19183.901390860847</v>
      </c>
      <c r="G221" s="139">
        <f t="shared" ca="1" si="69"/>
        <v>2035914.4821870357</v>
      </c>
      <c r="H221" s="77">
        <f t="shared" ca="1" si="70"/>
        <v>1.7957241093517727E-2</v>
      </c>
      <c r="I221" s="137">
        <f t="shared" ca="1" si="71"/>
        <v>35914.482187035464</v>
      </c>
      <c r="J221" s="139">
        <f t="shared" ca="1" si="72"/>
        <v>2030280.0961327022</v>
      </c>
      <c r="K221" s="77">
        <f t="shared" ca="1" si="73"/>
        <v>1.514004806635095E-2</v>
      </c>
      <c r="L221" s="137">
        <f t="shared" ca="1" si="74"/>
        <v>30280.096132701899</v>
      </c>
      <c r="M221" s="139">
        <f t="shared" ca="1" si="75"/>
        <v>2024684.1374963385</v>
      </c>
      <c r="N221" s="77">
        <f t="shared" ca="1" si="76"/>
        <v>1.2342068748169208E-2</v>
      </c>
      <c r="O221" s="137">
        <f t="shared" ca="1" si="77"/>
        <v>24684.137496338415</v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>
        <f t="shared" ca="1" si="65"/>
        <v>2000000</v>
      </c>
      <c r="D222" s="139">
        <f t="shared" ca="1" si="66"/>
        <v>2070409.3407259539</v>
      </c>
      <c r="E222" s="77">
        <f t="shared" ca="1" si="67"/>
        <v>3.520467036297685E-2</v>
      </c>
      <c r="F222" s="137">
        <f t="shared" ca="1" si="68"/>
        <v>70409.340725953705</v>
      </c>
      <c r="G222" s="139">
        <f t="shared" ca="1" si="69"/>
        <v>2087638.5646774848</v>
      </c>
      <c r="H222" s="77">
        <f t="shared" ca="1" si="70"/>
        <v>4.3819282338742452E-2</v>
      </c>
      <c r="I222" s="137">
        <f t="shared" ca="1" si="71"/>
        <v>87638.564677484901</v>
      </c>
      <c r="J222" s="139">
        <f t="shared" ca="1" si="72"/>
        <v>2069031.622912593</v>
      </c>
      <c r="K222" s="77">
        <f t="shared" ca="1" si="73"/>
        <v>3.451581145629655E-2</v>
      </c>
      <c r="L222" s="137">
        <f t="shared" ca="1" si="74"/>
        <v>69031.622912593084</v>
      </c>
      <c r="M222" s="139">
        <f t="shared" ca="1" si="75"/>
        <v>2119547.6756308796</v>
      </c>
      <c r="N222" s="77">
        <f t="shared" ca="1" si="76"/>
        <v>5.9773837815439858E-2</v>
      </c>
      <c r="O222" s="137">
        <f t="shared" ca="1" si="77"/>
        <v>119547.67563087969</v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>
        <f t="shared" ca="1" si="65"/>
        <v>2000000</v>
      </c>
      <c r="D223" s="139">
        <f t="shared" ca="1" si="66"/>
        <v>1987286.2647983325</v>
      </c>
      <c r="E223" s="77">
        <f t="shared" ca="1" si="67"/>
        <v>-6.3568676008337547E-3</v>
      </c>
      <c r="F223" s="137">
        <f t="shared" ca="1" si="68"/>
        <v>-12713.735201667505</v>
      </c>
      <c r="G223" s="139">
        <f t="shared" ca="1" si="69"/>
        <v>1953399.6417365673</v>
      </c>
      <c r="H223" s="77">
        <f t="shared" ca="1" si="70"/>
        <v>-2.3300179131716284E-2</v>
      </c>
      <c r="I223" s="137">
        <f t="shared" ca="1" si="71"/>
        <v>-46600.358263432565</v>
      </c>
      <c r="J223" s="139">
        <f t="shared" ca="1" si="72"/>
        <v>1923125.0802394822</v>
      </c>
      <c r="K223" s="77">
        <f t="shared" ca="1" si="73"/>
        <v>-3.8437459880258935E-2</v>
      </c>
      <c r="L223" s="137">
        <f t="shared" ca="1" si="74"/>
        <v>-76874.919760517863</v>
      </c>
      <c r="M223" s="139">
        <f t="shared" ca="1" si="75"/>
        <v>1908248.6258743398</v>
      </c>
      <c r="N223" s="77">
        <f t="shared" ca="1" si="76"/>
        <v>-4.5875687062830059E-2</v>
      </c>
      <c r="O223" s="137">
        <f t="shared" ca="1" si="77"/>
        <v>-91751.374125660092</v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>
        <f t="shared" ca="1" si="65"/>
        <v>2000000</v>
      </c>
      <c r="D224" s="139">
        <f t="shared" ca="1" si="66"/>
        <v>2058363.4163030707</v>
      </c>
      <c r="E224" s="77">
        <f t="shared" ca="1" si="67"/>
        <v>2.9181708151535351E-2</v>
      </c>
      <c r="F224" s="137">
        <f t="shared" ca="1" si="68"/>
        <v>58363.416303070706</v>
      </c>
      <c r="G224" s="139">
        <f t="shared" ca="1" si="69"/>
        <v>2089746.8934800157</v>
      </c>
      <c r="H224" s="77">
        <f t="shared" ca="1" si="70"/>
        <v>4.4873446740007851E-2</v>
      </c>
      <c r="I224" s="137">
        <f t="shared" ca="1" si="71"/>
        <v>89746.8934800157</v>
      </c>
      <c r="J224" s="139">
        <f t="shared" ca="1" si="72"/>
        <v>2080222.7055482883</v>
      </c>
      <c r="K224" s="77">
        <f t="shared" ca="1" si="73"/>
        <v>4.0111352774144224E-2</v>
      </c>
      <c r="L224" s="137">
        <f t="shared" ca="1" si="74"/>
        <v>80222.705548288475</v>
      </c>
      <c r="M224" s="139">
        <f t="shared" ca="1" si="75"/>
        <v>2065984.6253418094</v>
      </c>
      <c r="N224" s="77">
        <f t="shared" ca="1" si="76"/>
        <v>3.2992312670904619E-2</v>
      </c>
      <c r="O224" s="137">
        <f t="shared" ca="1" si="77"/>
        <v>65984.625341809238</v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>
        <f t="shared" ca="1" si="65"/>
        <v>2000000</v>
      </c>
      <c r="D225" s="140">
        <f t="shared" ca="1" si="66"/>
        <v>2059521.9366992845</v>
      </c>
      <c r="E225" s="79">
        <f t="shared" ca="1" si="67"/>
        <v>2.9760968349642158E-2</v>
      </c>
      <c r="F225" s="138">
        <f t="shared" ca="1" si="68"/>
        <v>59521.936699284306</v>
      </c>
      <c r="G225" s="140">
        <f t="shared" ca="1" si="69"/>
        <v>2036225.9924467895</v>
      </c>
      <c r="H225" s="79">
        <f t="shared" ca="1" si="70"/>
        <v>1.8112996223394882E-2</v>
      </c>
      <c r="I225" s="138">
        <f t="shared" ca="1" si="71"/>
        <v>36225.992446789765</v>
      </c>
      <c r="J225" s="140">
        <f t="shared" ca="1" si="72"/>
        <v>2026779.9945852563</v>
      </c>
      <c r="K225" s="79">
        <f t="shared" ca="1" si="73"/>
        <v>1.3389997292628228E-2</v>
      </c>
      <c r="L225" s="138">
        <f t="shared" ca="1" si="74"/>
        <v>26779.994585256449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24" t="s">
        <v>283</v>
      </c>
      <c r="B243" s="226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30"/>
      <c r="B244" s="232"/>
      <c r="C244" s="136">
        <f ca="1">SUM(C212:C242)</f>
        <v>28000000</v>
      </c>
      <c r="D244" s="140">
        <f ca="1">SUM(D212:D242)</f>
        <v>28429468.534221094</v>
      </c>
      <c r="E244" s="79">
        <f ca="1">IFERROR(F244 / (SUM($C212:$C242) / COUNT($C212:$C242)), 0)</f>
        <v>0.21473426711054538</v>
      </c>
      <c r="F244" s="138">
        <f ca="1">SUM(F212:F242)</f>
        <v>429468.53422109078</v>
      </c>
      <c r="G244" s="140">
        <f ca="1">SUM(G212:G242)</f>
        <v>28540863.989932209</v>
      </c>
      <c r="H244" s="79">
        <f ca="1">IFERROR(I244 / (SUM($C212:$C242) / COUNT($C212:$C242)), 0)</f>
        <v>0.27043199496610487</v>
      </c>
      <c r="I244" s="138">
        <f ca="1">SUM(I212:I242)</f>
        <v>540863.98993220972</v>
      </c>
      <c r="J244" s="140">
        <f ca="1">SUM(J212:J242)</f>
        <v>28439298.583599862</v>
      </c>
      <c r="K244" s="79">
        <f ca="1">IFERROR(L244 / (SUM($C212:$C242) / COUNT($C212:$C242)), 0)</f>
        <v>0.21964929179992873</v>
      </c>
      <c r="L244" s="138">
        <f ca="1">SUM(L212:L242)</f>
        <v>439298.58359985746</v>
      </c>
      <c r="M244" s="140">
        <f ca="1">SUM(M212:M242)</f>
        <v>28527284.065365143</v>
      </c>
      <c r="N244" s="79">
        <f ca="1">IFERROR(O244 / (SUM($C212:$C242) / COUNT($C212:$C242)), 0)</f>
        <v>0.26364203268257042</v>
      </c>
      <c r="O244" s="138">
        <f ca="1">SUM(O212:O242)</f>
        <v>527284.06536514079</v>
      </c>
    </row>
    <row r="246" spans="1:15" ht="16.5" customHeight="1" thickBot="1"/>
    <row r="247" spans="1:15" ht="16.5" customHeight="1" thickBot="1">
      <c r="A247" s="215" t="str">
        <f>TEXT(투자전략!$G$1, "[$-ko-KR]yyyy년 mm월 ") &amp; "전일대비 상승률 Bottom20 월말결산"</f>
        <v>2021년 08월 전일대비 상승률 Bottom20 월말결산</v>
      </c>
      <c r="B247" s="216"/>
      <c r="C247" s="216"/>
      <c r="D247" s="216"/>
      <c r="E247" s="216"/>
      <c r="F247" s="216"/>
      <c r="G247" s="216"/>
      <c r="H247" s="216"/>
      <c r="I247" s="216"/>
      <c r="J247" s="216"/>
      <c r="K247" s="216"/>
      <c r="L247" s="216"/>
      <c r="M247" s="216"/>
      <c r="N247" s="216"/>
      <c r="O247" s="217"/>
    </row>
    <row r="248" spans="1:15" ht="16.5" customHeight="1" thickBot="1">
      <c r="A248" s="276" t="s">
        <v>284</v>
      </c>
      <c r="B248" s="230" t="s">
        <v>282</v>
      </c>
      <c r="C248" s="232"/>
      <c r="D248" s="230" t="s">
        <v>274</v>
      </c>
      <c r="E248" s="231"/>
      <c r="F248" s="232"/>
      <c r="G248" s="230" t="s">
        <v>275</v>
      </c>
      <c r="H248" s="231"/>
      <c r="I248" s="232"/>
      <c r="J248" s="230" t="s">
        <v>276</v>
      </c>
      <c r="K248" s="231"/>
      <c r="L248" s="232"/>
      <c r="M248" s="230" t="s">
        <v>277</v>
      </c>
      <c r="N248" s="231"/>
      <c r="O248" s="232"/>
    </row>
    <row r="249" spans="1:15" ht="16.5" customHeight="1" thickBot="1">
      <c r="A249" s="280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2058889.3196329763</v>
      </c>
      <c r="N258" s="77">
        <f t="shared" ca="1" si="89"/>
        <v>2.9444659816488174E-2</v>
      </c>
      <c r="O258" s="137">
        <f t="shared" ca="1" si="90"/>
        <v>58889.319632976352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>
        <f t="shared" ca="1" si="78"/>
        <v>2000000</v>
      </c>
      <c r="D259" s="139">
        <f t="shared" ca="1" si="79"/>
        <v>2027146.807508151</v>
      </c>
      <c r="E259" s="77">
        <f t="shared" ca="1" si="80"/>
        <v>1.357340375407565E-2</v>
      </c>
      <c r="F259" s="137">
        <f t="shared" ca="1" si="81"/>
        <v>27146.807508151302</v>
      </c>
      <c r="G259" s="139">
        <f t="shared" ca="1" si="82"/>
        <v>2043573.3678662232</v>
      </c>
      <c r="H259" s="77">
        <f t="shared" ca="1" si="83"/>
        <v>2.1786683933111541E-2</v>
      </c>
      <c r="I259" s="137">
        <f t="shared" ca="1" si="84"/>
        <v>43573.367866223081</v>
      </c>
      <c r="J259" s="139">
        <f t="shared" ca="1" si="85"/>
        <v>2026028.7697680416</v>
      </c>
      <c r="K259" s="77">
        <f t="shared" ca="1" si="86"/>
        <v>1.3014384884020815E-2</v>
      </c>
      <c r="L259" s="137">
        <f t="shared" ca="1" si="87"/>
        <v>26028.769768041635</v>
      </c>
      <c r="M259" s="139">
        <f t="shared" ca="1" si="88"/>
        <v>2021335.7853268259</v>
      </c>
      <c r="N259" s="77">
        <f t="shared" ca="1" si="89"/>
        <v>1.0667892663412989E-2</v>
      </c>
      <c r="O259" s="137">
        <f t="shared" ca="1" si="90"/>
        <v>21335.785326825975</v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>
        <f t="shared" ca="1" si="78"/>
        <v>2000000</v>
      </c>
      <c r="D260" s="139">
        <f t="shared" ca="1" si="79"/>
        <v>2057577.2572709762</v>
      </c>
      <c r="E260" s="77">
        <f t="shared" ca="1" si="80"/>
        <v>2.878862863548811E-2</v>
      </c>
      <c r="F260" s="137">
        <f t="shared" ca="1" si="81"/>
        <v>57577.257270976224</v>
      </c>
      <c r="G260" s="139">
        <f t="shared" ca="1" si="82"/>
        <v>2077812.1231530507</v>
      </c>
      <c r="H260" s="77">
        <f t="shared" ca="1" si="83"/>
        <v>3.8906061576525222E-2</v>
      </c>
      <c r="I260" s="137">
        <f t="shared" ca="1" si="84"/>
        <v>77812.12315305043</v>
      </c>
      <c r="J260" s="139">
        <f t="shared" ca="1" si="85"/>
        <v>2063133.1149181498</v>
      </c>
      <c r="K260" s="77">
        <f t="shared" ca="1" si="86"/>
        <v>3.1566557459074919E-2</v>
      </c>
      <c r="L260" s="137">
        <f t="shared" ca="1" si="87"/>
        <v>63133.114918149819</v>
      </c>
      <c r="M260" s="139">
        <f t="shared" ca="1" si="88"/>
        <v>2108441.3615545547</v>
      </c>
      <c r="N260" s="77">
        <f t="shared" ca="1" si="89"/>
        <v>5.4220680777277389E-2</v>
      </c>
      <c r="O260" s="137">
        <f t="shared" ca="1" si="90"/>
        <v>108441.36155455472</v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>
        <f t="shared" ca="1" si="78"/>
        <v>2000000</v>
      </c>
      <c r="D261" s="139">
        <f t="shared" ca="1" si="79"/>
        <v>1997897.5585321204</v>
      </c>
      <c r="E261" s="77">
        <f t="shared" ca="1" si="80"/>
        <v>-1.0512207339397994E-3</v>
      </c>
      <c r="F261" s="137">
        <f t="shared" ca="1" si="81"/>
        <v>-2102.4414678795993</v>
      </c>
      <c r="G261" s="139">
        <f t="shared" ca="1" si="82"/>
        <v>1959493.5365116138</v>
      </c>
      <c r="H261" s="77">
        <f t="shared" ca="1" si="83"/>
        <v>-2.025323174419311E-2</v>
      </c>
      <c r="I261" s="137">
        <f t="shared" ca="1" si="84"/>
        <v>-40506.463488386224</v>
      </c>
      <c r="J261" s="139">
        <f t="shared" ca="1" si="85"/>
        <v>1932829.6044139038</v>
      </c>
      <c r="K261" s="77">
        <f t="shared" ca="1" si="86"/>
        <v>-3.3585197793048159E-2</v>
      </c>
      <c r="L261" s="137">
        <f t="shared" ca="1" si="87"/>
        <v>-67170.395586096347</v>
      </c>
      <c r="M261" s="139">
        <f t="shared" ca="1" si="88"/>
        <v>1913936.4952758008</v>
      </c>
      <c r="N261" s="77">
        <f t="shared" ca="1" si="89"/>
        <v>-4.3031752362099586E-2</v>
      </c>
      <c r="O261" s="137">
        <f t="shared" ca="1" si="90"/>
        <v>-86063.504724199156</v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>
        <f t="shared" ca="1" si="78"/>
        <v>2000000</v>
      </c>
      <c r="D262" s="139">
        <f t="shared" ca="1" si="79"/>
        <v>2060226.2592336263</v>
      </c>
      <c r="E262" s="77">
        <f t="shared" ca="1" si="80"/>
        <v>3.0113129616813138E-2</v>
      </c>
      <c r="F262" s="137">
        <f t="shared" ca="1" si="81"/>
        <v>60226.259233626275</v>
      </c>
      <c r="G262" s="139">
        <f t="shared" ca="1" si="82"/>
        <v>2106699.6247250084</v>
      </c>
      <c r="H262" s="77">
        <f t="shared" ca="1" si="83"/>
        <v>5.3349812362504231E-2</v>
      </c>
      <c r="I262" s="137">
        <f t="shared" ca="1" si="84"/>
        <v>106699.62472500849</v>
      </c>
      <c r="J262" s="139">
        <f t="shared" ca="1" si="85"/>
        <v>2093518.821180532</v>
      </c>
      <c r="K262" s="77">
        <f t="shared" ca="1" si="86"/>
        <v>4.6759410590265914E-2</v>
      </c>
      <c r="L262" s="137">
        <f t="shared" ca="1" si="87"/>
        <v>93518.821180531828</v>
      </c>
      <c r="M262" s="139">
        <f t="shared" ca="1" si="88"/>
        <v>2076994.03109224</v>
      </c>
      <c r="N262" s="77">
        <f t="shared" ca="1" si="89"/>
        <v>3.8497015546120048E-2</v>
      </c>
      <c r="O262" s="137">
        <f t="shared" ca="1" si="90"/>
        <v>76994.031092240097</v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>
        <f t="shared" ca="1" si="78"/>
        <v>2000000</v>
      </c>
      <c r="D263" s="140">
        <f t="shared" ca="1" si="79"/>
        <v>2058575.8071940101</v>
      </c>
      <c r="E263" s="79">
        <f t="shared" ca="1" si="80"/>
        <v>2.9287903597005126E-2</v>
      </c>
      <c r="F263" s="138">
        <f t="shared" ca="1" si="81"/>
        <v>58575.807194010245</v>
      </c>
      <c r="G263" s="140">
        <f t="shared" ca="1" si="82"/>
        <v>2035102.0677131442</v>
      </c>
      <c r="H263" s="79">
        <f t="shared" ca="1" si="83"/>
        <v>1.7551033856572102E-2</v>
      </c>
      <c r="I263" s="138">
        <f t="shared" ca="1" si="84"/>
        <v>35102.067713144199</v>
      </c>
      <c r="J263" s="140">
        <f t="shared" ca="1" si="85"/>
        <v>2018504.314387596</v>
      </c>
      <c r="K263" s="79">
        <f t="shared" ca="1" si="86"/>
        <v>9.2521571937979157E-3</v>
      </c>
      <c r="L263" s="138">
        <f t="shared" ca="1" si="87"/>
        <v>18504.314387595819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24" t="s">
        <v>283</v>
      </c>
      <c r="B281" s="226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30"/>
      <c r="B282" s="232"/>
      <c r="C282" s="136">
        <f ca="1">SUM(C250:C280)</f>
        <v>28000000</v>
      </c>
      <c r="D282" s="140">
        <f ca="1">SUM(D250:D280)</f>
        <v>28441055.478615452</v>
      </c>
      <c r="E282" s="79">
        <f ca="1">IFERROR(F282 / (SUM($C250:$C280) / COUNT($C250:$C280)), 0)</f>
        <v>0.22052773930772498</v>
      </c>
      <c r="F282" s="138">
        <f ca="1">SUM(F250:F280)</f>
        <v>441055.47861544997</v>
      </c>
      <c r="G282" s="140">
        <f ca="1">SUM(G250:G280)</f>
        <v>28555643.33654603</v>
      </c>
      <c r="H282" s="79">
        <f ca="1">IFERROR(I282 / (SUM($C250:$C280) / COUNT($C250:$C280)), 0)</f>
        <v>0.27782166827301408</v>
      </c>
      <c r="I282" s="138">
        <f ca="1">SUM(I250:I280)</f>
        <v>555643.33654602815</v>
      </c>
      <c r="J282" s="140">
        <f ca="1">SUM(J250:J280)</f>
        <v>28430238.068338174</v>
      </c>
      <c r="K282" s="79">
        <f ca="1">IFERROR(L282 / (SUM($C250:$C280) / COUNT($C250:$C280)), 0)</f>
        <v>0.21511903416908537</v>
      </c>
      <c r="L282" s="138">
        <f ca="1">SUM(L250:L280)</f>
        <v>430238.06833817076</v>
      </c>
      <c r="M282" s="140">
        <f ca="1">SUM(M250:M280)</f>
        <v>28523770.759741727</v>
      </c>
      <c r="N282" s="79">
        <f ca="1">IFERROR(O282 / (SUM($C250:$C280) / COUNT($C250:$C280)), 0)</f>
        <v>0.26188537987086391</v>
      </c>
      <c r="O282" s="138">
        <f ca="1">SUM(O250:O280)</f>
        <v>523770.75974172784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782" priority="323">
      <formula>$E$54 &gt; 0</formula>
    </cfRule>
    <cfRule type="expression" dxfId="2781" priority="324">
      <formula>$E$54 = 0</formula>
    </cfRule>
    <cfRule type="expression" dxfId="2780" priority="325">
      <formula>$E$54 &lt; 0</formula>
    </cfRule>
  </conditionalFormatting>
  <conditionalFormatting sqref="G20:I21 H54:I54">
    <cfRule type="expression" dxfId="2779" priority="320">
      <formula>$H$54 &gt; 0</formula>
    </cfRule>
    <cfRule type="expression" dxfId="2778" priority="321">
      <formula>$H$54 = 0</formula>
    </cfRule>
    <cfRule type="expression" dxfId="2777" priority="322">
      <formula>$H$54 &lt; 0</formula>
    </cfRule>
  </conditionalFormatting>
  <conditionalFormatting sqref="J20:L21 K54:L54">
    <cfRule type="expression" dxfId="2776" priority="317">
      <formula>$K$54 &gt; 0</formula>
    </cfRule>
    <cfRule type="expression" dxfId="2775" priority="318">
      <formula>$K$54 = 0</formula>
    </cfRule>
    <cfRule type="expression" dxfId="2774" priority="319">
      <formula>$K$54 &lt; 0</formula>
    </cfRule>
  </conditionalFormatting>
  <conditionalFormatting sqref="M20:O21 N54:O54">
    <cfRule type="expression" dxfId="2773" priority="314">
      <formula>$N$54 &gt; 0</formula>
    </cfRule>
    <cfRule type="expression" dxfId="2772" priority="315">
      <formula>$N$54 = 0</formula>
    </cfRule>
    <cfRule type="expression" dxfId="2771" priority="316">
      <formula>$N$54 &lt; 0</formula>
    </cfRule>
  </conditionalFormatting>
  <conditionalFormatting sqref="D22:F52">
    <cfRule type="expression" dxfId="2770" priority="299">
      <formula>AND($E22 &gt; 0, ISNUMBER($E22))</formula>
    </cfRule>
    <cfRule type="expression" dxfId="2769" priority="300">
      <formula>AND($E22 = 0, ISNUMBER($E22))</formula>
    </cfRule>
    <cfRule type="expression" dxfId="2768" priority="301">
      <formula>AND($E22 &lt; 0, ISNUMBER($E22))</formula>
    </cfRule>
  </conditionalFormatting>
  <conditionalFormatting sqref="G22:I52">
    <cfRule type="expression" dxfId="2767" priority="296">
      <formula>AND($H22 &gt; 0, ISNUMBER($H22))</formula>
    </cfRule>
    <cfRule type="expression" dxfId="2766" priority="297">
      <formula>AND($H22 = 0, ISNUMBER($H22))</formula>
    </cfRule>
    <cfRule type="expression" dxfId="2765" priority="298">
      <formula>AND($H22 &lt; 0, ISNUMBER($H22))</formula>
    </cfRule>
  </conditionalFormatting>
  <conditionalFormatting sqref="J22:L52">
    <cfRule type="expression" dxfId="2764" priority="293">
      <formula>AND($K22 &gt; 0, ISNUMBER($K22))</formula>
    </cfRule>
    <cfRule type="expression" dxfId="2763" priority="294">
      <formula>AND($K22 = 0, ISNUMBER($K22))</formula>
    </cfRule>
    <cfRule type="expression" dxfId="2762" priority="295">
      <formula>AND($K22 &lt; 0, ISNUMBER($K22))</formula>
    </cfRule>
  </conditionalFormatting>
  <conditionalFormatting sqref="M22:O52">
    <cfRule type="expression" dxfId="2761" priority="290">
      <formula>AND($N22 &gt; 0, ISNUMBER($N22))</formula>
    </cfRule>
    <cfRule type="expression" dxfId="2760" priority="291">
      <formula>AND($N22 = 0, ISNUMBER($N22))</formula>
    </cfRule>
    <cfRule type="expression" dxfId="2759" priority="292">
      <formula>AND($N22 &lt; 0, ISNUMBER($N22))</formula>
    </cfRule>
  </conditionalFormatting>
  <conditionalFormatting sqref="D58:F59 E92:F92">
    <cfRule type="expression" dxfId="2758" priority="287">
      <formula>$E$92 &gt; 0</formula>
    </cfRule>
    <cfRule type="expression" dxfId="2757" priority="288">
      <formula>$E$92 = 0</formula>
    </cfRule>
    <cfRule type="expression" dxfId="2756" priority="289">
      <formula>$E$92 &lt; 0</formula>
    </cfRule>
  </conditionalFormatting>
  <conditionalFormatting sqref="G58:I59 H92:I92">
    <cfRule type="expression" dxfId="2755" priority="284">
      <formula>$H$92 &gt; 0</formula>
    </cfRule>
    <cfRule type="expression" dxfId="2754" priority="285">
      <formula>$H$92 = 0</formula>
    </cfRule>
    <cfRule type="expression" dxfId="2753" priority="286">
      <formula>$H$92 &lt; 0</formula>
    </cfRule>
  </conditionalFormatting>
  <conditionalFormatting sqref="J58:L59 K92:L92">
    <cfRule type="expression" dxfId="2752" priority="281">
      <formula>$K$92 &gt; 0</formula>
    </cfRule>
    <cfRule type="expression" dxfId="2751" priority="282">
      <formula>$K$92 = 0</formula>
    </cfRule>
    <cfRule type="expression" dxfId="2750" priority="283">
      <formula>$K$92 &lt; 0</formula>
    </cfRule>
  </conditionalFormatting>
  <conditionalFormatting sqref="M58:O59 N92:O92">
    <cfRule type="expression" dxfId="2749" priority="278">
      <formula>$N$92 &gt; 0</formula>
    </cfRule>
    <cfRule type="expression" dxfId="2748" priority="279">
      <formula>$N$92 = 0</formula>
    </cfRule>
    <cfRule type="expression" dxfId="2747" priority="280">
      <formula>$N$92 &lt; 0</formula>
    </cfRule>
  </conditionalFormatting>
  <conditionalFormatting sqref="D60:F90">
    <cfRule type="expression" dxfId="2746" priority="275">
      <formula>AND($E60 &gt; 0, ISNUMBER($E60))</formula>
    </cfRule>
    <cfRule type="expression" dxfId="2745" priority="276">
      <formula>AND($E60 = 0, ISNUMBER($E60))</formula>
    </cfRule>
    <cfRule type="expression" dxfId="2744" priority="277">
      <formula>AND($E60 &lt; 0, ISNUMBER($E60))</formula>
    </cfRule>
  </conditionalFormatting>
  <conditionalFormatting sqref="G60:I90">
    <cfRule type="expression" dxfId="2743" priority="272">
      <formula>AND($H60 &gt; 0, ISNUMBER($H60))</formula>
    </cfRule>
    <cfRule type="expression" dxfId="2742" priority="273">
      <formula>AND($H60 = 0, ISNUMBER($H60))</formula>
    </cfRule>
    <cfRule type="expression" dxfId="2741" priority="274">
      <formula>AND($H60 &lt; 0, ISNUMBER($H60))</formula>
    </cfRule>
  </conditionalFormatting>
  <conditionalFormatting sqref="J60:L90">
    <cfRule type="expression" dxfId="2740" priority="269">
      <formula>AND($K60 &gt; 0, ISNUMBER($K60))</formula>
    </cfRule>
    <cfRule type="expression" dxfId="2739" priority="270">
      <formula>AND($K60 = 0, ISNUMBER($K60))</formula>
    </cfRule>
    <cfRule type="expression" dxfId="2738" priority="271">
      <formula>AND($K60 &lt; 0, ISNUMBER($K60))</formula>
    </cfRule>
  </conditionalFormatting>
  <conditionalFormatting sqref="M60:O90">
    <cfRule type="expression" dxfId="2737" priority="266">
      <formula>AND($N60 &gt; 0, ISNUMBER($N60))</formula>
    </cfRule>
    <cfRule type="expression" dxfId="2736" priority="267">
      <formula>AND($N60 = 0, ISNUMBER($N60))</formula>
    </cfRule>
    <cfRule type="expression" dxfId="2735" priority="268">
      <formula>AND($N60 &lt; 0, ISNUMBER($N60))</formula>
    </cfRule>
  </conditionalFormatting>
  <conditionalFormatting sqref="D96:F97 E130:F130">
    <cfRule type="expression" dxfId="2734" priority="263">
      <formula>$E$130 &gt; 0</formula>
    </cfRule>
    <cfRule type="expression" dxfId="2733" priority="264">
      <formula>$E$130 = 0</formula>
    </cfRule>
    <cfRule type="expression" dxfId="2732" priority="265">
      <formula>$E$130 &lt; 0</formula>
    </cfRule>
  </conditionalFormatting>
  <conditionalFormatting sqref="G96:I97 H130:I130">
    <cfRule type="expression" dxfId="2731" priority="260">
      <formula>$H$130 &gt; 0</formula>
    </cfRule>
    <cfRule type="expression" dxfId="2730" priority="261">
      <formula>$H$130 = 0</formula>
    </cfRule>
    <cfRule type="expression" dxfId="2729" priority="262">
      <formula>$H$130 &lt; 0</formula>
    </cfRule>
  </conditionalFormatting>
  <conditionalFormatting sqref="J96:L97 K130:L130">
    <cfRule type="expression" dxfId="2728" priority="257">
      <formula>$K$130 &gt; 0</formula>
    </cfRule>
    <cfRule type="expression" dxfId="2727" priority="258">
      <formula>$K$130 = 0</formula>
    </cfRule>
    <cfRule type="expression" dxfId="2726" priority="259">
      <formula>$K$130 &lt; 0</formula>
    </cfRule>
  </conditionalFormatting>
  <conditionalFormatting sqref="M96:O97 N130:O130">
    <cfRule type="expression" dxfId="2725" priority="254">
      <formula>$N$130 &gt; 0</formula>
    </cfRule>
    <cfRule type="expression" dxfId="2724" priority="255">
      <formula>$N$130 = 0</formula>
    </cfRule>
    <cfRule type="expression" dxfId="2723" priority="256">
      <formula>$N$130 &lt; 0</formula>
    </cfRule>
  </conditionalFormatting>
  <conditionalFormatting sqref="D98:F128">
    <cfRule type="expression" dxfId="2722" priority="251">
      <formula>AND($E98 &gt; 0, ISNUMBER($E98))</formula>
    </cfRule>
    <cfRule type="expression" dxfId="2721" priority="252">
      <formula>AND($E98 = 0, ISNUMBER($E98))</formula>
    </cfRule>
    <cfRule type="expression" dxfId="2720" priority="253">
      <formula>AND($E98 &lt; 0, ISNUMBER($E98))</formula>
    </cfRule>
  </conditionalFormatting>
  <conditionalFormatting sqref="G98:I128">
    <cfRule type="expression" dxfId="2719" priority="248">
      <formula>AND($H98 &gt; 0, ISNUMBER($H98))</formula>
    </cfRule>
    <cfRule type="expression" dxfId="2718" priority="249">
      <formula>AND($H98 = 0, ISNUMBER($H98))</formula>
    </cfRule>
    <cfRule type="expression" dxfId="2717" priority="250">
      <formula>AND($H98 &lt; 0, ISNUMBER($H98))</formula>
    </cfRule>
  </conditionalFormatting>
  <conditionalFormatting sqref="J98:L128">
    <cfRule type="expression" dxfId="2716" priority="245">
      <formula>AND($K98 &gt; 0, ISNUMBER($K98))</formula>
    </cfRule>
    <cfRule type="expression" dxfId="2715" priority="246">
      <formula>AND($K98 = 0, ISNUMBER($K98))</formula>
    </cfRule>
    <cfRule type="expression" dxfId="2714" priority="247">
      <formula>AND($K98 &lt; 0, ISNUMBER($K98))</formula>
    </cfRule>
  </conditionalFormatting>
  <conditionalFormatting sqref="M98:O128">
    <cfRule type="expression" dxfId="2713" priority="242">
      <formula>AND($N98 &gt; 0, ISNUMBER($N98))</formula>
    </cfRule>
    <cfRule type="expression" dxfId="2712" priority="243">
      <formula>AND($N98 = 0, ISNUMBER($N98))</formula>
    </cfRule>
    <cfRule type="expression" dxfId="2711" priority="244">
      <formula>AND($N98 &lt; 0, ISNUMBER($N98))</formula>
    </cfRule>
  </conditionalFormatting>
  <conditionalFormatting sqref="D134:F135 E168:F168">
    <cfRule type="expression" dxfId="2710" priority="239">
      <formula>$E$168 &gt; 0</formula>
    </cfRule>
    <cfRule type="expression" dxfId="2709" priority="240">
      <formula>$E$168 = 0</formula>
    </cfRule>
    <cfRule type="expression" dxfId="2708" priority="241">
      <formula>$E$168 &lt; 0</formula>
    </cfRule>
  </conditionalFormatting>
  <conditionalFormatting sqref="G134:I135 H168:I168">
    <cfRule type="expression" dxfId="2707" priority="236">
      <formula>$H$168 &gt; 0</formula>
    </cfRule>
    <cfRule type="expression" dxfId="2706" priority="237">
      <formula>$H$168 = 0</formula>
    </cfRule>
    <cfRule type="expression" dxfId="2705" priority="238">
      <formula>$H$168 &lt; 0</formula>
    </cfRule>
  </conditionalFormatting>
  <conditionalFormatting sqref="J134:L135 K168:L168">
    <cfRule type="expression" dxfId="2704" priority="233">
      <formula>$K$168 &gt; 0</formula>
    </cfRule>
    <cfRule type="expression" dxfId="2703" priority="234">
      <formula>$K$168 = 0</formula>
    </cfRule>
    <cfRule type="expression" dxfId="2702" priority="235">
      <formula>$K$168 &lt; 0</formula>
    </cfRule>
  </conditionalFormatting>
  <conditionalFormatting sqref="M134:O135 N168:O168">
    <cfRule type="expression" dxfId="2701" priority="230">
      <formula>$N$168 &gt; 0</formula>
    </cfRule>
    <cfRule type="expression" dxfId="2700" priority="231">
      <formula>$N$168 = 0</formula>
    </cfRule>
    <cfRule type="expression" dxfId="2699" priority="232">
      <formula>$N$168 &lt; 0</formula>
    </cfRule>
  </conditionalFormatting>
  <conditionalFormatting sqref="D136:F166">
    <cfRule type="expression" dxfId="2698" priority="227">
      <formula>AND($E136 &gt; 0, ISNUMBER($E136))</formula>
    </cfRule>
    <cfRule type="expression" dxfId="2697" priority="228">
      <formula>AND($E136 = 0, ISNUMBER($E136))</formula>
    </cfRule>
    <cfRule type="expression" dxfId="2696" priority="229">
      <formula>AND($E136 &lt; 0, ISNUMBER($E136))</formula>
    </cfRule>
  </conditionalFormatting>
  <conditionalFormatting sqref="G136:I166">
    <cfRule type="expression" dxfId="2695" priority="224">
      <formula>AND($H136 &gt; 0, ISNUMBER($H136))</formula>
    </cfRule>
    <cfRule type="expression" dxfId="2694" priority="225">
      <formula>AND($H136 = 0, ISNUMBER($H136))</formula>
    </cfRule>
    <cfRule type="expression" dxfId="2693" priority="226">
      <formula>AND($H136 &lt; 0, ISNUMBER($H136))</formula>
    </cfRule>
  </conditionalFormatting>
  <conditionalFormatting sqref="J136:L166">
    <cfRule type="expression" dxfId="2692" priority="221">
      <formula>AND($K136 &gt; 0, ISNUMBER($K136))</formula>
    </cfRule>
    <cfRule type="expression" dxfId="2691" priority="222">
      <formula>AND($K136 = 0, ISNUMBER($K136))</formula>
    </cfRule>
    <cfRule type="expression" dxfId="2690" priority="223">
      <formula>AND($K136 &lt; 0, ISNUMBER($K136))</formula>
    </cfRule>
  </conditionalFormatting>
  <conditionalFormatting sqref="M136:O166">
    <cfRule type="expression" dxfId="2689" priority="218">
      <formula>AND($N136 &gt; 0, ISNUMBER($N136))</formula>
    </cfRule>
    <cfRule type="expression" dxfId="2688" priority="219">
      <formula>AND($N136 = 0, ISNUMBER($N136))</formula>
    </cfRule>
    <cfRule type="expression" dxfId="2687" priority="220">
      <formula>AND($N136 &lt; 0, ISNUMBER($N136))</formula>
    </cfRule>
  </conditionalFormatting>
  <conditionalFormatting sqref="D172:F173 E206:F206">
    <cfRule type="expression" dxfId="2686" priority="215">
      <formula>$E$206 &gt; 0</formula>
    </cfRule>
    <cfRule type="expression" dxfId="2685" priority="216">
      <formula>$E$206 = 0</formula>
    </cfRule>
    <cfRule type="expression" dxfId="2684" priority="217">
      <formula>$E$206 &lt; 0</formula>
    </cfRule>
  </conditionalFormatting>
  <conditionalFormatting sqref="G172:I173 H206:I206">
    <cfRule type="expression" dxfId="2683" priority="212">
      <formula>$H$206 &gt; 0</formula>
    </cfRule>
    <cfRule type="expression" dxfId="2682" priority="213">
      <formula>$H$206 = 0</formula>
    </cfRule>
    <cfRule type="expression" dxfId="2681" priority="214">
      <formula>$H$206 &lt; 0</formula>
    </cfRule>
  </conditionalFormatting>
  <conditionalFormatting sqref="J172:L173 K206:L206">
    <cfRule type="expression" dxfId="2680" priority="209">
      <formula>$K$206 &gt; 0</formula>
    </cfRule>
    <cfRule type="expression" dxfId="2679" priority="210">
      <formula>$K$206 = 0</formula>
    </cfRule>
    <cfRule type="expression" dxfId="2678" priority="211">
      <formula>$K$206 &lt; 0</formula>
    </cfRule>
  </conditionalFormatting>
  <conditionalFormatting sqref="M172:O173 N206:O206">
    <cfRule type="expression" dxfId="2677" priority="206">
      <formula>$N$206 &gt; 0</formula>
    </cfRule>
    <cfRule type="expression" dxfId="2676" priority="207">
      <formula>$N$206 = 0</formula>
    </cfRule>
    <cfRule type="expression" dxfId="2675" priority="208">
      <formula>$N$206 &lt; 0</formula>
    </cfRule>
  </conditionalFormatting>
  <conditionalFormatting sqref="D174:F204">
    <cfRule type="expression" dxfId="2674" priority="203">
      <formula>AND($E174 &gt; 0, ISNUMBER($E174))</formula>
    </cfRule>
    <cfRule type="expression" dxfId="2673" priority="204">
      <formula>AND($E174 = 0, ISNUMBER($E174))</formula>
    </cfRule>
    <cfRule type="expression" dxfId="2672" priority="205">
      <formula>AND($E174 &lt; 0, ISNUMBER($E174))</formula>
    </cfRule>
  </conditionalFormatting>
  <conditionalFormatting sqref="G174:I204">
    <cfRule type="expression" dxfId="2671" priority="200">
      <formula>AND($H174 &gt; 0, ISNUMBER($H174))</formula>
    </cfRule>
    <cfRule type="expression" dxfId="2670" priority="201">
      <formula>AND($H174 = 0, ISNUMBER($H174))</formula>
    </cfRule>
    <cfRule type="expression" dxfId="2669" priority="202">
      <formula>AND($H174 &lt; 0, ISNUMBER($H174))</formula>
    </cfRule>
  </conditionalFormatting>
  <conditionalFormatting sqref="J174:L204">
    <cfRule type="expression" dxfId="2668" priority="197">
      <formula>AND($K174 &gt; 0, ISNUMBER($K174))</formula>
    </cfRule>
    <cfRule type="expression" dxfId="2667" priority="198">
      <formula>AND($K174 = 0, ISNUMBER($K174))</formula>
    </cfRule>
    <cfRule type="expression" dxfId="2666" priority="199">
      <formula>AND($K174 &lt; 0, ISNUMBER($K174))</formula>
    </cfRule>
  </conditionalFormatting>
  <conditionalFormatting sqref="M174:O204">
    <cfRule type="expression" dxfId="2665" priority="194">
      <formula>AND($N174 &gt; 0, ISNUMBER($N174))</formula>
    </cfRule>
    <cfRule type="expression" dxfId="2664" priority="195">
      <formula>AND($N174 = 0, ISNUMBER($N174))</formula>
    </cfRule>
    <cfRule type="expression" dxfId="2663" priority="196">
      <formula>AND($N174 &lt; 0, ISNUMBER($N174))</formula>
    </cfRule>
  </conditionalFormatting>
  <conditionalFormatting sqref="D210:F211 E244:F244">
    <cfRule type="expression" dxfId="2662" priority="191">
      <formula>$E$244 &gt; 0</formula>
    </cfRule>
    <cfRule type="expression" dxfId="2661" priority="192">
      <formula>$E$244 = 0</formula>
    </cfRule>
    <cfRule type="expression" dxfId="2660" priority="193">
      <formula>$E$244 &lt; 0</formula>
    </cfRule>
  </conditionalFormatting>
  <conditionalFormatting sqref="G210:I211 H244:I244">
    <cfRule type="expression" dxfId="2659" priority="188">
      <formula>$H$244 &gt; 0</formula>
    </cfRule>
    <cfRule type="expression" dxfId="2658" priority="189">
      <formula>$H$244 = 0</formula>
    </cfRule>
    <cfRule type="expression" dxfId="2657" priority="190">
      <formula>$H$244 &lt; 0</formula>
    </cfRule>
  </conditionalFormatting>
  <conditionalFormatting sqref="J210:L211 K244:L244">
    <cfRule type="expression" dxfId="2656" priority="185">
      <formula>$K$244 &gt; 0</formula>
    </cfRule>
    <cfRule type="expression" dxfId="2655" priority="186">
      <formula>$K$244 = 0</formula>
    </cfRule>
    <cfRule type="expression" dxfId="2654" priority="187">
      <formula>$K$244 &lt; 0</formula>
    </cfRule>
  </conditionalFormatting>
  <conditionalFormatting sqref="M210:O211 N244:O244">
    <cfRule type="expression" dxfId="2653" priority="182">
      <formula>$N$244 &gt; 0</formula>
    </cfRule>
    <cfRule type="expression" dxfId="2652" priority="183">
      <formula>$N$244 = 0</formula>
    </cfRule>
    <cfRule type="expression" dxfId="2651" priority="184">
      <formula>$N$244 &lt; 0</formula>
    </cfRule>
  </conditionalFormatting>
  <conditionalFormatting sqref="D212:F242">
    <cfRule type="expression" dxfId="2650" priority="179">
      <formula>AND($E212 &gt; 0, ISNUMBER($E212))</formula>
    </cfRule>
    <cfRule type="expression" dxfId="2649" priority="180">
      <formula>AND($E212 = 0, ISNUMBER($E212))</formula>
    </cfRule>
    <cfRule type="expression" dxfId="2648" priority="181">
      <formula>AND($E212 &lt; 0, ISNUMBER($E212))</formula>
    </cfRule>
  </conditionalFormatting>
  <conditionalFormatting sqref="G212:I242">
    <cfRule type="expression" dxfId="2647" priority="176">
      <formula>AND($H212 &gt; 0, ISNUMBER($H212))</formula>
    </cfRule>
    <cfRule type="expression" dxfId="2646" priority="177">
      <formula>AND($H212 = 0, ISNUMBER($H212))</formula>
    </cfRule>
    <cfRule type="expression" dxfId="2645" priority="178">
      <formula>AND($H212 &lt; 0, ISNUMBER($H212))</formula>
    </cfRule>
  </conditionalFormatting>
  <conditionalFormatting sqref="J212:L242">
    <cfRule type="expression" dxfId="2644" priority="173">
      <formula>AND($K212 &gt; 0, ISNUMBER($K212))</formula>
    </cfRule>
    <cfRule type="expression" dxfId="2643" priority="174">
      <formula>AND($K212 = 0, ISNUMBER($K212))</formula>
    </cfRule>
    <cfRule type="expression" dxfId="2642" priority="175">
      <formula>AND($K212 &lt; 0, ISNUMBER($K212))</formula>
    </cfRule>
  </conditionalFormatting>
  <conditionalFormatting sqref="M212:O242">
    <cfRule type="expression" dxfId="2641" priority="170">
      <formula>AND($N212 &gt; 0, ISNUMBER($N212))</formula>
    </cfRule>
    <cfRule type="expression" dxfId="2640" priority="171">
      <formula>AND($N212 = 0, ISNUMBER($N212))</formula>
    </cfRule>
    <cfRule type="expression" dxfId="2639" priority="172">
      <formula>AND($N212 &lt; 0, ISNUMBER($N212))</formula>
    </cfRule>
  </conditionalFormatting>
  <conditionalFormatting sqref="D248:F249 E282:F282">
    <cfRule type="expression" dxfId="2638" priority="167">
      <formula>$E$282 &gt; 0</formula>
    </cfRule>
    <cfRule type="expression" dxfId="2637" priority="168">
      <formula>$E$282 = 0</formula>
    </cfRule>
    <cfRule type="expression" dxfId="2636" priority="169">
      <formula>$E$282 &lt; 0</formula>
    </cfRule>
  </conditionalFormatting>
  <conditionalFormatting sqref="G248:I249 H282:I282">
    <cfRule type="expression" dxfId="2635" priority="164">
      <formula>$H$282 &gt; 0</formula>
    </cfRule>
    <cfRule type="expression" dxfId="2634" priority="165">
      <formula>$H$282 = 0</formula>
    </cfRule>
    <cfRule type="expression" dxfId="2633" priority="166">
      <formula>$H$282 &lt; 0</formula>
    </cfRule>
  </conditionalFormatting>
  <conditionalFormatting sqref="J248:L249 K282:L282">
    <cfRule type="expression" dxfId="2632" priority="161">
      <formula>$K$282 &gt; 0</formula>
    </cfRule>
    <cfRule type="expression" dxfId="2631" priority="162">
      <formula>$K$282 = 0</formula>
    </cfRule>
    <cfRule type="expression" dxfId="2630" priority="163">
      <formula>$K$282 &lt; 0</formula>
    </cfRule>
  </conditionalFormatting>
  <conditionalFormatting sqref="M248:O249 N282:O282">
    <cfRule type="expression" dxfId="2629" priority="158">
      <formula>$N$282 &gt; 0</formula>
    </cfRule>
    <cfRule type="expression" dxfId="2628" priority="159">
      <formula>$N$282 = 0</formula>
    </cfRule>
    <cfRule type="expression" dxfId="2627" priority="160">
      <formula>$N$282 &lt; 0</formula>
    </cfRule>
  </conditionalFormatting>
  <conditionalFormatting sqref="D250:F280">
    <cfRule type="expression" dxfId="2626" priority="155">
      <formula>AND($E250 &gt; 0, ISNUMBER($E250))</formula>
    </cfRule>
    <cfRule type="expression" dxfId="2625" priority="156">
      <formula>AND($E250 = 0, ISNUMBER($E250))</formula>
    </cfRule>
    <cfRule type="expression" dxfId="2624" priority="157">
      <formula>AND($E250 &lt; 0, ISNUMBER($E250))</formula>
    </cfRule>
  </conditionalFormatting>
  <conditionalFormatting sqref="G250:I280">
    <cfRule type="expression" dxfId="2623" priority="152">
      <formula>AND($H250 &gt; 0, ISNUMBER($H250))</formula>
    </cfRule>
    <cfRule type="expression" dxfId="2622" priority="153">
      <formula>AND($H250 = 0, ISNUMBER($H250))</formula>
    </cfRule>
    <cfRule type="expression" dxfId="2621" priority="154">
      <formula>AND($H250 &lt; 0, ISNUMBER($H250))</formula>
    </cfRule>
  </conditionalFormatting>
  <conditionalFormatting sqref="J250:L280">
    <cfRule type="expression" dxfId="2620" priority="149">
      <formula>AND($K250 &gt; 0, ISNUMBER($K250))</formula>
    </cfRule>
    <cfRule type="expression" dxfId="2619" priority="150">
      <formula>AND($K250 = 0, ISNUMBER($K250))</formula>
    </cfRule>
    <cfRule type="expression" dxfId="2618" priority="151">
      <formula>AND($K250 &lt; 0, ISNUMBER($K250))</formula>
    </cfRule>
  </conditionalFormatting>
  <conditionalFormatting sqref="M250:O280">
    <cfRule type="expression" dxfId="2617" priority="146">
      <formula>AND($N250 &gt; 0, ISNUMBER($N250))</formula>
    </cfRule>
    <cfRule type="expression" dxfId="2616" priority="147">
      <formula>AND($N250 = 0, ISNUMBER($N250))</formula>
    </cfRule>
    <cfRule type="expression" dxfId="2615" priority="148">
      <formula>AND($N250 &lt; 0, ISNUMBER($N250))</formula>
    </cfRule>
  </conditionalFormatting>
  <conditionalFormatting sqref="D5:F6">
    <cfRule type="expression" dxfId="2614" priority="143">
      <formula>$F$130 &gt; 0</formula>
    </cfRule>
    <cfRule type="expression" dxfId="2613" priority="144">
      <formula>$F$130 = 0</formula>
    </cfRule>
    <cfRule type="expression" dxfId="2612" priority="145">
      <formula>$F$130 &lt; 0</formula>
    </cfRule>
  </conditionalFormatting>
  <conditionalFormatting sqref="D7:F8">
    <cfRule type="expression" dxfId="2611" priority="140">
      <formula>$F$206 &gt; 0</formula>
    </cfRule>
    <cfRule type="expression" dxfId="2610" priority="141">
      <formula>$F$206 = 0</formula>
    </cfRule>
    <cfRule type="expression" dxfId="2609" priority="142">
      <formula>$F$206 &lt; 0</formula>
    </cfRule>
  </conditionalFormatting>
  <conditionalFormatting sqref="D9:F10">
    <cfRule type="expression" dxfId="2608" priority="137">
      <formula>$F$244 &gt; 0</formula>
    </cfRule>
    <cfRule type="expression" dxfId="2607" priority="138">
      <formula>$F$244 = 0</formula>
    </cfRule>
    <cfRule type="expression" dxfId="2606" priority="139">
      <formula>$F$244 &lt; 0</formula>
    </cfRule>
  </conditionalFormatting>
  <conditionalFormatting sqref="D11:F12">
    <cfRule type="expression" dxfId="2605" priority="134">
      <formula>$F$168 &gt; 0</formula>
    </cfRule>
    <cfRule type="expression" dxfId="2604" priority="135">
      <formula>$F$168 = 0</formula>
    </cfRule>
    <cfRule type="expression" dxfId="2603" priority="136">
      <formula>$F$168 &lt; 0</formula>
    </cfRule>
  </conditionalFormatting>
  <conditionalFormatting sqref="D13:F14">
    <cfRule type="expression" dxfId="2602" priority="92">
      <formula>$F$282 &gt; 0</formula>
    </cfRule>
    <cfRule type="expression" dxfId="2601" priority="93">
      <formula>$F$282 = 0</formula>
    </cfRule>
    <cfRule type="expression" dxfId="2600" priority="94">
      <formula>$F$282 &lt; 0</formula>
    </cfRule>
  </conditionalFormatting>
  <conditionalFormatting sqref="D15:F16">
    <cfRule type="expression" dxfId="2599" priority="77">
      <formula>$F$54 &gt; 0</formula>
    </cfRule>
    <cfRule type="expression" dxfId="2598" priority="78">
      <formula>$F$54 = 0</formula>
    </cfRule>
    <cfRule type="expression" dxfId="2597" priority="79">
      <formula>$F$54 &lt; 0</formula>
    </cfRule>
  </conditionalFormatting>
  <conditionalFormatting sqref="G5:I6">
    <cfRule type="expression" dxfId="2596" priority="65">
      <formula>$I$130 &gt; 0</formula>
    </cfRule>
    <cfRule type="expression" dxfId="2595" priority="66">
      <formula>$I$130 = 0</formula>
    </cfRule>
    <cfRule type="expression" dxfId="2594" priority="67">
      <formula>$I$130 &lt; 0</formula>
    </cfRule>
  </conditionalFormatting>
  <conditionalFormatting sqref="G7:I8">
    <cfRule type="expression" dxfId="2593" priority="62">
      <formula>$I$206 &gt; 0</formula>
    </cfRule>
    <cfRule type="expression" dxfId="2592" priority="63">
      <formula>$I$206 = 0</formula>
    </cfRule>
    <cfRule type="expression" dxfId="2591" priority="64">
      <formula>$I$206 &lt; 0</formula>
    </cfRule>
  </conditionalFormatting>
  <conditionalFormatting sqref="G9:I10">
    <cfRule type="expression" dxfId="2590" priority="59">
      <formula>$I$244 &gt; 0</formula>
    </cfRule>
    <cfRule type="expression" dxfId="2589" priority="60">
      <formula>$I$244 = 0</formula>
    </cfRule>
    <cfRule type="expression" dxfId="2588" priority="61">
      <formula>$I$244 &lt; 0</formula>
    </cfRule>
  </conditionalFormatting>
  <conditionalFormatting sqref="G11:I12">
    <cfRule type="expression" dxfId="2587" priority="56">
      <formula>$I$168 &gt; 0</formula>
    </cfRule>
    <cfRule type="expression" dxfId="2586" priority="57">
      <formula>$I$168 = 0</formula>
    </cfRule>
    <cfRule type="expression" dxfId="2585" priority="58">
      <formula>$I$168 &lt; 0</formula>
    </cfRule>
  </conditionalFormatting>
  <conditionalFormatting sqref="G13:I14">
    <cfRule type="expression" dxfId="2584" priority="53">
      <formula>$I$282 &gt; 0</formula>
    </cfRule>
    <cfRule type="expression" dxfId="2583" priority="54">
      <formula>$I$282 = 0</formula>
    </cfRule>
    <cfRule type="expression" dxfId="2582" priority="55">
      <formula>$I$282 &lt; 0</formula>
    </cfRule>
  </conditionalFormatting>
  <conditionalFormatting sqref="G15:I16">
    <cfRule type="expression" dxfId="2581" priority="50">
      <formula>$I$54 &gt; 0</formula>
    </cfRule>
    <cfRule type="expression" dxfId="2580" priority="51">
      <formula>$I$54 = 0</formula>
    </cfRule>
    <cfRule type="expression" dxfId="2579" priority="52">
      <formula>$I$54 &lt; 0</formula>
    </cfRule>
  </conditionalFormatting>
  <conditionalFormatting sqref="J5:L6">
    <cfRule type="expression" dxfId="2578" priority="47">
      <formula>$L$130 &gt; 0</formula>
    </cfRule>
    <cfRule type="expression" dxfId="2577" priority="48">
      <formula>$L$130 = 0</formula>
    </cfRule>
    <cfRule type="expression" dxfId="2576" priority="49">
      <formula>$L$130 &lt; 0</formula>
    </cfRule>
  </conditionalFormatting>
  <conditionalFormatting sqref="J7:L8">
    <cfRule type="expression" dxfId="2575" priority="44">
      <formula>$L$206 &gt; 0</formula>
    </cfRule>
    <cfRule type="expression" dxfId="2574" priority="45">
      <formula>$L$206 = 0</formula>
    </cfRule>
    <cfRule type="expression" dxfId="2573" priority="46">
      <formula>$L$206 &lt; 0</formula>
    </cfRule>
  </conditionalFormatting>
  <conditionalFormatting sqref="J9:L10">
    <cfRule type="expression" dxfId="2572" priority="41">
      <formula>$L$244 &gt; 0</formula>
    </cfRule>
    <cfRule type="expression" dxfId="2571" priority="42">
      <formula>$L$244 = 0</formula>
    </cfRule>
    <cfRule type="expression" dxfId="2570" priority="43">
      <formula>$L$244 &lt; 0</formula>
    </cfRule>
  </conditionalFormatting>
  <conditionalFormatting sqref="J11:L12">
    <cfRule type="expression" dxfId="2569" priority="38">
      <formula>$L$168 &gt; 0</formula>
    </cfRule>
    <cfRule type="expression" dxfId="2568" priority="39">
      <formula>$L$168 = 0</formula>
    </cfRule>
    <cfRule type="expression" dxfId="2567" priority="40">
      <formula>$L$168 &lt; 0</formula>
    </cfRule>
  </conditionalFormatting>
  <conditionalFormatting sqref="J13:L14">
    <cfRule type="expression" dxfId="2566" priority="35">
      <formula>$L$282 &gt; 0</formula>
    </cfRule>
    <cfRule type="expression" dxfId="2565" priority="36">
      <formula>$L$282 = 0</formula>
    </cfRule>
    <cfRule type="expression" dxfId="2564" priority="37">
      <formula>$L$282 &lt; 0</formula>
    </cfRule>
  </conditionalFormatting>
  <conditionalFormatting sqref="J15:L16">
    <cfRule type="expression" dxfId="2563" priority="32">
      <formula>$L$54 &gt; 0</formula>
    </cfRule>
    <cfRule type="expression" dxfId="2562" priority="33">
      <formula>$L$54 = 0</formula>
    </cfRule>
    <cfRule type="expression" dxfId="2561" priority="34">
      <formula>$L$54 &lt; 0</formula>
    </cfRule>
  </conditionalFormatting>
  <conditionalFormatting sqref="M5:O6">
    <cfRule type="expression" dxfId="2560" priority="29">
      <formula>$O$130 &gt; 0</formula>
    </cfRule>
    <cfRule type="expression" dxfId="2559" priority="30">
      <formula>$O$130 = 0</formula>
    </cfRule>
    <cfRule type="expression" dxfId="2558" priority="31">
      <formula>$O$130 &lt; 0</formula>
    </cfRule>
  </conditionalFormatting>
  <conditionalFormatting sqref="M7:O8">
    <cfRule type="expression" dxfId="2557" priority="26">
      <formula>$O$206 &gt; 0</formula>
    </cfRule>
    <cfRule type="expression" dxfId="2556" priority="27">
      <formula>$O$206 = 0</formula>
    </cfRule>
    <cfRule type="expression" dxfId="2555" priority="28">
      <formula>$O$206 &lt; 0</formula>
    </cfRule>
  </conditionalFormatting>
  <conditionalFormatting sqref="M9:O10">
    <cfRule type="expression" dxfId="2554" priority="23">
      <formula>$O$244 &gt; 0</formula>
    </cfRule>
    <cfRule type="expression" dxfId="2553" priority="24">
      <formula>$O$244 = 0</formula>
    </cfRule>
    <cfRule type="expression" dxfId="2552" priority="25">
      <formula>$O$244 &lt; 0</formula>
    </cfRule>
  </conditionalFormatting>
  <conditionalFormatting sqref="M11:O12">
    <cfRule type="expression" dxfId="2551" priority="20">
      <formula>$O$168 &gt; 0</formula>
    </cfRule>
    <cfRule type="expression" dxfId="2550" priority="21">
      <formula>$O$168 = 0</formula>
    </cfRule>
    <cfRule type="expression" dxfId="2549" priority="22">
      <formula>$O$168 &lt; 0</formula>
    </cfRule>
  </conditionalFormatting>
  <conditionalFormatting sqref="M13:O14">
    <cfRule type="expression" dxfId="2548" priority="17">
      <formula>$O$282 &gt; 0</formula>
    </cfRule>
    <cfRule type="expression" dxfId="2547" priority="18">
      <formula>$O$282 = 0</formula>
    </cfRule>
    <cfRule type="expression" dxfId="2546" priority="19">
      <formula>$O$282 &lt; 0</formula>
    </cfRule>
  </conditionalFormatting>
  <conditionalFormatting sqref="M15:O16">
    <cfRule type="expression" dxfId="2545" priority="14">
      <formula>$O$54 &gt; 0</formula>
    </cfRule>
    <cfRule type="expression" dxfId="2544" priority="15">
      <formula>$O$54 = 0</formula>
    </cfRule>
    <cfRule type="expression" dxfId="2543" priority="16">
      <formula>$O$54 &lt; 0</formula>
    </cfRule>
  </conditionalFormatting>
  <conditionalFormatting sqref="D3:F4">
    <cfRule type="expression" dxfId="2542" priority="13">
      <formula>$F$92 &lt; 0</formula>
    </cfRule>
    <cfRule type="expression" dxfId="2541" priority="12">
      <formula>$F$92 = 0</formula>
    </cfRule>
    <cfRule type="expression" dxfId="2540" priority="11">
      <formula>$F$92 &gt; 0</formula>
    </cfRule>
  </conditionalFormatting>
  <conditionalFormatting sqref="G3:I4">
    <cfRule type="expression" dxfId="2539" priority="10">
      <formula>$I$92 &lt; 0</formula>
    </cfRule>
    <cfRule type="expression" dxfId="2538" priority="9">
      <formula>$I$92 = 0</formula>
    </cfRule>
    <cfRule type="expression" dxfId="2537" priority="8">
      <formula>$I$92 &gt; 0</formula>
    </cfRule>
  </conditionalFormatting>
  <conditionalFormatting sqref="J3:L4">
    <cfRule type="expression" dxfId="2536" priority="5">
      <formula>$L$92 &gt; 0</formula>
    </cfRule>
    <cfRule type="expression" dxfId="2535" priority="6">
      <formula>$L$92 = 0</formula>
    </cfRule>
    <cfRule type="expression" dxfId="2534" priority="7">
      <formula>$L$92 &lt; 0</formula>
    </cfRule>
  </conditionalFormatting>
  <conditionalFormatting sqref="M3:O4">
    <cfRule type="expression" dxfId="2533" priority="2">
      <formula>$O$92 &gt; 0</formula>
    </cfRule>
    <cfRule type="expression" dxfId="2532" priority="3">
      <formula>$O$92 = 0</formula>
    </cfRule>
    <cfRule type="expression" dxfId="2531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18">
        <v>44409</v>
      </c>
      <c r="H1" s="219"/>
      <c r="I1" s="220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24" t="s">
        <v>46</v>
      </c>
      <c r="H2" s="225"/>
      <c r="I2" s="226"/>
      <c r="J2" s="1" t="s">
        <v>3</v>
      </c>
      <c r="K2" s="221" t="s">
        <v>320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27" t="s">
        <v>328</v>
      </c>
      <c r="C3" s="228"/>
      <c r="D3" s="228"/>
      <c r="E3" s="228"/>
      <c r="F3" s="229"/>
      <c r="G3" s="23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31"/>
      <c r="I3" s="232"/>
      <c r="J3" s="4" t="s">
        <v>7</v>
      </c>
      <c r="K3" s="227" t="s">
        <v>321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7" t="s">
        <v>16</v>
      </c>
      <c r="C4" s="228"/>
      <c r="D4" s="228"/>
      <c r="E4" s="228"/>
      <c r="F4" s="229"/>
      <c r="G4" s="224" t="s">
        <v>44</v>
      </c>
      <c r="H4" s="225"/>
      <c r="I4" s="226"/>
      <c r="J4" s="4" t="s">
        <v>11</v>
      </c>
      <c r="K4" s="227" t="s">
        <v>322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7" t="s">
        <v>319</v>
      </c>
      <c r="C5" s="228"/>
      <c r="D5" s="228"/>
      <c r="E5" s="228"/>
      <c r="F5" s="229"/>
      <c r="G5" s="23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31"/>
      <c r="I5" s="232"/>
      <c r="J5" s="4" t="s">
        <v>15</v>
      </c>
      <c r="K5" s="227" t="s">
        <v>323</v>
      </c>
      <c r="L5" s="228"/>
      <c r="M5" s="228"/>
      <c r="N5" s="228"/>
      <c r="O5" s="229"/>
    </row>
    <row r="6" spans="1:19">
      <c r="A6" s="118" t="s">
        <v>18</v>
      </c>
      <c r="B6" s="227"/>
      <c r="C6" s="228"/>
      <c r="D6" s="228"/>
      <c r="E6" s="228"/>
      <c r="F6" s="229"/>
      <c r="G6" s="224" t="s">
        <v>45</v>
      </c>
      <c r="H6" s="225"/>
      <c r="I6" s="226"/>
      <c r="J6" s="4" t="s">
        <v>18</v>
      </c>
      <c r="K6" s="227" t="s">
        <v>324</v>
      </c>
      <c r="L6" s="228"/>
      <c r="M6" s="228"/>
      <c r="N6" s="228"/>
      <c r="O6" s="229"/>
    </row>
    <row r="7" spans="1:19" ht="17.25" thickBot="1">
      <c r="A7" s="118" t="s">
        <v>21</v>
      </c>
      <c r="B7" s="227"/>
      <c r="C7" s="228"/>
      <c r="D7" s="228"/>
      <c r="E7" s="228"/>
      <c r="F7" s="229"/>
      <c r="G7" s="23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31"/>
      <c r="I7" s="232"/>
      <c r="J7" s="4" t="s">
        <v>21</v>
      </c>
      <c r="K7" s="227" t="s">
        <v>325</v>
      </c>
      <c r="L7" s="228"/>
      <c r="M7" s="228"/>
      <c r="N7" s="228"/>
      <c r="O7" s="229"/>
    </row>
    <row r="8" spans="1:19" ht="17.25" thickBot="1">
      <c r="A8" s="118" t="s">
        <v>24</v>
      </c>
      <c r="B8" s="227"/>
      <c r="C8" s="228"/>
      <c r="D8" s="228"/>
      <c r="E8" s="228"/>
      <c r="F8" s="229"/>
      <c r="G8" s="224" t="s">
        <v>255</v>
      </c>
      <c r="H8" s="225"/>
      <c r="I8" s="226"/>
      <c r="J8" s="4" t="s">
        <v>24</v>
      </c>
      <c r="K8" s="227"/>
      <c r="L8" s="228"/>
      <c r="M8" s="228"/>
      <c r="N8" s="228"/>
      <c r="O8" s="229"/>
      <c r="Q8" s="215" t="s">
        <v>27</v>
      </c>
      <c r="R8" s="217"/>
    </row>
    <row r="9" spans="1:19" ht="17.25" thickBot="1">
      <c r="A9" s="118" t="s">
        <v>28</v>
      </c>
      <c r="B9" s="227"/>
      <c r="C9" s="228"/>
      <c r="D9" s="228"/>
      <c r="E9" s="228"/>
      <c r="F9" s="229"/>
      <c r="G9" s="23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31"/>
      <c r="I9" s="232"/>
      <c r="J9" s="4" t="s">
        <v>28</v>
      </c>
      <c r="K9" s="227"/>
      <c r="L9" s="228"/>
      <c r="M9" s="228"/>
      <c r="N9" s="228"/>
      <c r="O9" s="229"/>
      <c r="Q9" s="2" t="s">
        <v>29</v>
      </c>
      <c r="R9" s="6">
        <v>10</v>
      </c>
    </row>
    <row r="10" spans="1:19">
      <c r="A10" s="118" t="s">
        <v>30</v>
      </c>
      <c r="B10" s="227"/>
      <c r="C10" s="228"/>
      <c r="D10" s="228"/>
      <c r="E10" s="228"/>
      <c r="F10" s="229"/>
      <c r="G10" s="224" t="s">
        <v>47</v>
      </c>
      <c r="H10" s="225"/>
      <c r="I10" s="226"/>
      <c r="J10" s="4" t="s">
        <v>30</v>
      </c>
      <c r="K10" s="227" t="s">
        <v>326</v>
      </c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1"/>
      <c r="I11" s="232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36"/>
      <c r="R13" s="236"/>
      <c r="S13" s="236"/>
    </row>
    <row r="14" spans="1:19" ht="17.25" customHeight="1" thickBot="1">
      <c r="A14" s="157" t="s">
        <v>35</v>
      </c>
      <c r="B14" s="215" t="s">
        <v>36</v>
      </c>
      <c r="C14" s="217"/>
      <c r="D14" s="215" t="s">
        <v>37</v>
      </c>
      <c r="E14" s="216"/>
      <c r="F14" s="217"/>
      <c r="G14" s="242">
        <f>_xlfn.IFNA(VLOOKUP(B14, 현재가테이블!$B$2:$D$200, 2, FALSE), "-")</f>
        <v>53976000</v>
      </c>
      <c r="H14" s="243"/>
      <c r="I14" s="244"/>
      <c r="J14" s="215" t="s">
        <v>38</v>
      </c>
      <c r="K14" s="216"/>
      <c r="L14" s="217"/>
      <c r="M14" s="245">
        <f>_xlfn.IFNA(VLOOKUP(B14, 현재가테이블!$B$2:$D$200, 3, FALSE), "-")</f>
        <v>-2.1216407400000001E-2</v>
      </c>
      <c r="N14" s="246"/>
      <c r="O14" s="247"/>
      <c r="Q14" s="236"/>
      <c r="R14" s="236"/>
      <c r="S14" s="236"/>
    </row>
    <row r="15" spans="1:19" ht="17.25" customHeight="1" thickBot="1">
      <c r="A15" s="280" t="s">
        <v>39</v>
      </c>
      <c r="B15" s="281" t="str">
        <f>TEXT($G$1, "[$-ko-KR]yyyy-mm-dd(ddd) ") &amp; "오전 00:00"</f>
        <v>2021-08-01(일) 오전 00:00</v>
      </c>
      <c r="C15" s="282"/>
      <c r="D15" s="238" t="str">
        <f>TEXT($G$1, "[$-ko-KR]yyyy-mm-dd(ddd) ") &amp; "오후 14:00"</f>
        <v>2021-08-01(일) 오후 14:00</v>
      </c>
      <c r="E15" s="239"/>
      <c r="F15" s="240"/>
      <c r="G15" s="238" t="str">
        <f>TEXT($G$1, "[$-ko-KR]yyyy-mm-dd(ddd) ") &amp; "오후 19:00"</f>
        <v>2021-08-01(일) 오후 19:00</v>
      </c>
      <c r="H15" s="239"/>
      <c r="I15" s="240"/>
      <c r="J15" s="238" t="str">
        <f>TEXT($G$1, "[$-ko-KR]yyyy-mm-dd(ddd) ") &amp; "오후 21:00"</f>
        <v>2021-08-01(일) 오후 21:00</v>
      </c>
      <c r="K15" s="239"/>
      <c r="L15" s="240"/>
      <c r="M15" s="238" t="str">
        <f>TEXT($G$1+1, "[$-ko-KR]yyyy-mm-dd(ddd) ") &amp; "오전 00:00"</f>
        <v>2021-08-02(월) 오전 00:00</v>
      </c>
      <c r="N15" s="239"/>
      <c r="O15" s="240"/>
      <c r="Q15" s="236"/>
      <c r="R15" s="236"/>
      <c r="S15" s="236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1"/>
      <c r="R16" s="241"/>
      <c r="S16" s="24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6"/>
      <c r="R17" s="236"/>
      <c r="S17" s="23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6"/>
      <c r="R18" s="236"/>
      <c r="S18" s="23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1"/>
      <c r="R19" s="241"/>
      <c r="S19" s="24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1"/>
      <c r="R20" s="241"/>
      <c r="S20" s="24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1"/>
      <c r="R21" s="241"/>
      <c r="S21" s="24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1"/>
      <c r="R22" s="241"/>
      <c r="S22" s="24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1"/>
      <c r="R23" s="241"/>
      <c r="S23" s="24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1"/>
      <c r="R24" s="241"/>
      <c r="S24" s="24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0"/>
      <c r="R26" s="251"/>
      <c r="S26" s="25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3"/>
      <c r="R27" s="254"/>
      <c r="S27" s="25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6"/>
      <c r="R28" s="257"/>
      <c r="S28" s="25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1"/>
      <c r="R29" s="241"/>
      <c r="S29" s="24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6"/>
      <c r="R30" s="236"/>
      <c r="S30" s="23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6"/>
      <c r="R31" s="236"/>
      <c r="S31" s="23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1"/>
      <c r="R32" s="241"/>
      <c r="S32" s="24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1"/>
      <c r="R33" s="241"/>
      <c r="S33" s="24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1"/>
      <c r="R34" s="241"/>
      <c r="S34" s="24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3"/>
      <c r="R35" s="264"/>
      <c r="S35" s="26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6"/>
      <c r="R36" s="267"/>
      <c r="S36" s="268"/>
    </row>
    <row r="37" spans="1:19" ht="17.25" customHeight="1" thickBot="1">
      <c r="A37" s="132" t="s">
        <v>42</v>
      </c>
      <c r="B37" s="274">
        <v>100000</v>
      </c>
      <c r="C37" s="27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9"/>
      <c r="R37" s="270"/>
      <c r="S37" s="27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36"/>
      <c r="R40" s="236"/>
      <c r="S40" s="236"/>
    </row>
    <row r="41" spans="1:19" ht="17.25" customHeight="1" thickBot="1">
      <c r="A41" s="157" t="s">
        <v>267</v>
      </c>
      <c r="B41" s="215" t="s">
        <v>49</v>
      </c>
      <c r="C41" s="217"/>
      <c r="D41" s="215" t="s">
        <v>58</v>
      </c>
      <c r="E41" s="216"/>
      <c r="F41" s="217"/>
      <c r="G41" s="242">
        <f>_xlfn.IFNA(VLOOKUP(B41, 현재가테이블!$B$2:$D$200, 2, FALSE), "-")</f>
        <v>53976000</v>
      </c>
      <c r="H41" s="243"/>
      <c r="I41" s="244"/>
      <c r="J41" s="215" t="s">
        <v>59</v>
      </c>
      <c r="K41" s="216"/>
      <c r="L41" s="217"/>
      <c r="M41" s="245">
        <f>_xlfn.IFNA(VLOOKUP(B41, 현재가테이블!$B$2:$D$200, 3, FALSE), "-")</f>
        <v>-2.1216407400000001E-2</v>
      </c>
      <c r="N41" s="246"/>
      <c r="O41" s="247"/>
      <c r="Q41" s="236"/>
      <c r="R41" s="236"/>
      <c r="S41" s="236"/>
    </row>
    <row r="42" spans="1:19" ht="17.25" customHeight="1" thickBot="1">
      <c r="A42" s="276" t="s">
        <v>55</v>
      </c>
      <c r="B42" s="278" t="str">
        <f>TEXT($G$1, "[$-ko-KR]yyyy-mm-dd(ddd) ") &amp; "오전 00:00"</f>
        <v>2021-08-01(일) 오전 00:00</v>
      </c>
      <c r="C42" s="279"/>
      <c r="D42" s="238" t="str">
        <f>TEXT($G$1, "[$-ko-KR]yyyy-mm-dd(ddd) ") &amp; "오후 14:00"</f>
        <v>2021-08-01(일) 오후 14:00</v>
      </c>
      <c r="E42" s="239"/>
      <c r="F42" s="240"/>
      <c r="G42" s="238" t="str">
        <f>TEXT($G$1, "[$-ko-KR]yyyy-mm-dd(ddd) ") &amp; "오후 19:00"</f>
        <v>2021-08-01(일) 오후 19:00</v>
      </c>
      <c r="H42" s="239"/>
      <c r="I42" s="240"/>
      <c r="J42" s="238" t="str">
        <f>TEXT($G$1, "[$-ko-KR]yyyy-mm-dd(ddd) ") &amp; "오후 21:00"</f>
        <v>2021-08-01(일) 오후 21:00</v>
      </c>
      <c r="K42" s="239"/>
      <c r="L42" s="240"/>
      <c r="M42" s="238" t="str">
        <f>TEXT($G$1+1, "[$-ko-KR]yyyy-mm-dd(ddd) ") &amp; "오전 00:00"</f>
        <v>2021-08-02(월) 오전 00:00</v>
      </c>
      <c r="N42" s="239"/>
      <c r="O42" s="240"/>
      <c r="Q42" s="236"/>
      <c r="R42" s="236"/>
      <c r="S42" s="236"/>
    </row>
    <row r="43" spans="1:19" ht="17.25" customHeight="1" thickBot="1">
      <c r="A43" s="27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1"/>
      <c r="R43" s="241"/>
      <c r="S43" s="241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36"/>
      <c r="R44" s="236"/>
      <c r="S44" s="236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36"/>
      <c r="R45" s="236"/>
      <c r="S45" s="236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41"/>
      <c r="R46" s="241"/>
      <c r="S46" s="241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41"/>
      <c r="R47" s="241"/>
      <c r="S47" s="241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41"/>
      <c r="R48" s="241"/>
      <c r="S48" s="241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41"/>
      <c r="R49" s="241"/>
      <c r="S49" s="241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41"/>
      <c r="R50" s="241"/>
      <c r="S50" s="241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41"/>
      <c r="R51" s="241"/>
      <c r="S51" s="241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50"/>
      <c r="R53" s="251"/>
      <c r="S53" s="252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53"/>
      <c r="R54" s="254"/>
      <c r="S54" s="255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56"/>
      <c r="R55" s="257"/>
      <c r="S55" s="258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41"/>
      <c r="R56" s="241"/>
      <c r="S56" s="241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36"/>
      <c r="R57" s="236"/>
      <c r="S57" s="236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36"/>
      <c r="R58" s="236"/>
      <c r="S58" s="236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41"/>
      <c r="R59" s="241"/>
      <c r="S59" s="241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41"/>
      <c r="R60" s="241"/>
      <c r="S60" s="241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41"/>
      <c r="R61" s="241"/>
      <c r="S61" s="241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63"/>
      <c r="R62" s="264"/>
      <c r="S62" s="265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66"/>
      <c r="R63" s="267"/>
      <c r="S63" s="268"/>
    </row>
    <row r="64" spans="1:19" ht="17.25" customHeight="1" thickBot="1">
      <c r="A64" s="132" t="s">
        <v>270</v>
      </c>
      <c r="B64" s="274">
        <f>$B$37</f>
        <v>100000</v>
      </c>
      <c r="C64" s="275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69"/>
      <c r="R64" s="270"/>
      <c r="S64" s="27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36"/>
      <c r="R67" s="236"/>
      <c r="S67" s="236"/>
    </row>
    <row r="68" spans="1:19" ht="17.25" thickBot="1">
      <c r="A68" s="157" t="s">
        <v>267</v>
      </c>
      <c r="B68" s="215" t="s">
        <v>49</v>
      </c>
      <c r="C68" s="217"/>
      <c r="D68" s="215" t="s">
        <v>58</v>
      </c>
      <c r="E68" s="216"/>
      <c r="F68" s="217"/>
      <c r="G68" s="242">
        <f>_xlfn.IFNA(VLOOKUP(B68, 현재가테이블!$B$2:$D$200, 2, FALSE), "-")</f>
        <v>53976000</v>
      </c>
      <c r="H68" s="243"/>
      <c r="I68" s="244"/>
      <c r="J68" s="215" t="s">
        <v>59</v>
      </c>
      <c r="K68" s="216"/>
      <c r="L68" s="217"/>
      <c r="M68" s="245">
        <f>_xlfn.IFNA(VLOOKUP(B68, 현재가테이블!$B$2:$D$200, 3, FALSE), "-")</f>
        <v>-2.1216407400000001E-2</v>
      </c>
      <c r="N68" s="246"/>
      <c r="O68" s="247"/>
      <c r="Q68" s="236"/>
      <c r="R68" s="236"/>
      <c r="S68" s="236"/>
    </row>
    <row r="69" spans="1:19" ht="17.25" thickBot="1">
      <c r="A69" s="276" t="s">
        <v>55</v>
      </c>
      <c r="B69" s="278" t="str">
        <f>TEXT($G$1, "[$-ko-KR]yyyy-mm-dd(ddd) ") &amp; "오전 00:00"</f>
        <v>2021-08-01(일) 오전 00:00</v>
      </c>
      <c r="C69" s="279"/>
      <c r="D69" s="238" t="str">
        <f>TEXT($G$1, "[$-ko-KR]yyyy-mm-dd(ddd) ") &amp; "오후 14:00"</f>
        <v>2021-08-01(일) 오후 14:00</v>
      </c>
      <c r="E69" s="239"/>
      <c r="F69" s="240"/>
      <c r="G69" s="238" t="str">
        <f>TEXT($G$1, "[$-ko-KR]yyyy-mm-dd(ddd) ") &amp; "오후 19:00"</f>
        <v>2021-08-01(일) 오후 19:00</v>
      </c>
      <c r="H69" s="239"/>
      <c r="I69" s="240"/>
      <c r="J69" s="238" t="str">
        <f>TEXT($G$1, "[$-ko-KR]yyyy-mm-dd(ddd) ") &amp; "오후 21:00"</f>
        <v>2021-08-01(일) 오후 21:00</v>
      </c>
      <c r="K69" s="239"/>
      <c r="L69" s="240"/>
      <c r="M69" s="238" t="str">
        <f>TEXT($G$1+1, "[$-ko-KR]yyyy-mm-dd(ddd) ") &amp; "오전 00:00"</f>
        <v>2021-08-02(월) 오전 00:00</v>
      </c>
      <c r="N69" s="239"/>
      <c r="O69" s="240"/>
      <c r="Q69" s="236"/>
      <c r="R69" s="236"/>
      <c r="S69" s="236"/>
    </row>
    <row r="70" spans="1:19" ht="17.25" thickBot="1">
      <c r="A70" s="27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1"/>
      <c r="R70" s="241"/>
      <c r="S70" s="241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36"/>
      <c r="R71" s="236"/>
      <c r="S71" s="236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36"/>
      <c r="R72" s="236"/>
      <c r="S72" s="236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41"/>
      <c r="R73" s="241"/>
      <c r="S73" s="241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41"/>
      <c r="R74" s="241"/>
      <c r="S74" s="241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41"/>
      <c r="R75" s="241"/>
      <c r="S75" s="241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41"/>
      <c r="R76" s="241"/>
      <c r="S76" s="241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41"/>
      <c r="R77" s="241"/>
      <c r="S77" s="241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41"/>
      <c r="R78" s="241"/>
      <c r="S78" s="241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50"/>
      <c r="R80" s="251"/>
      <c r="S80" s="252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53"/>
      <c r="R81" s="254"/>
      <c r="S81" s="255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56"/>
      <c r="R82" s="257"/>
      <c r="S82" s="258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41"/>
      <c r="R83" s="241"/>
      <c r="S83" s="241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36"/>
      <c r="R84" s="236"/>
      <c r="S84" s="236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36"/>
      <c r="R85" s="236"/>
      <c r="S85" s="236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41"/>
      <c r="R86" s="241"/>
      <c r="S86" s="241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41"/>
      <c r="R87" s="241"/>
      <c r="S87" s="241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41"/>
      <c r="R88" s="241"/>
      <c r="S88" s="241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63"/>
      <c r="R89" s="264"/>
      <c r="S89" s="265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66"/>
      <c r="R90" s="267"/>
      <c r="S90" s="268"/>
    </row>
    <row r="91" spans="1:19" ht="17.25" thickBot="1">
      <c r="A91" s="132" t="s">
        <v>270</v>
      </c>
      <c r="B91" s="274">
        <f>$B$37</f>
        <v>100000</v>
      </c>
      <c r="C91" s="275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69"/>
      <c r="R91" s="270"/>
      <c r="S91" s="27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36"/>
      <c r="R94" s="236"/>
      <c r="S94" s="236"/>
    </row>
    <row r="95" spans="1:19" ht="17.25" thickBot="1">
      <c r="A95" s="157" t="s">
        <v>267</v>
      </c>
      <c r="B95" s="215" t="s">
        <v>49</v>
      </c>
      <c r="C95" s="217"/>
      <c r="D95" s="215" t="s">
        <v>58</v>
      </c>
      <c r="E95" s="216"/>
      <c r="F95" s="217"/>
      <c r="G95" s="242">
        <f>_xlfn.IFNA(VLOOKUP(B95, 현재가테이블!$B$2:$D$200, 2, FALSE), "-")</f>
        <v>53976000</v>
      </c>
      <c r="H95" s="243"/>
      <c r="I95" s="244"/>
      <c r="J95" s="215" t="s">
        <v>59</v>
      </c>
      <c r="K95" s="216"/>
      <c r="L95" s="217"/>
      <c r="M95" s="245">
        <f>_xlfn.IFNA(VLOOKUP(B95, 현재가테이블!$B$2:$D$200, 3, FALSE), "-")</f>
        <v>-2.1216407400000001E-2</v>
      </c>
      <c r="N95" s="246"/>
      <c r="O95" s="247"/>
      <c r="Q95" s="236"/>
      <c r="R95" s="236"/>
      <c r="S95" s="236"/>
    </row>
    <row r="96" spans="1:19" ht="17.25" thickBot="1">
      <c r="A96" s="276" t="s">
        <v>55</v>
      </c>
      <c r="B96" s="278" t="str">
        <f>TEXT($G$1, "[$-ko-KR]yyyy-mm-dd(ddd) ") &amp; "오전 00:00"</f>
        <v>2021-08-01(일) 오전 00:00</v>
      </c>
      <c r="C96" s="279"/>
      <c r="D96" s="238" t="str">
        <f>TEXT($G$1, "[$-ko-KR]yyyy-mm-dd(ddd) ") &amp; "오후 14:00"</f>
        <v>2021-08-01(일) 오후 14:00</v>
      </c>
      <c r="E96" s="239"/>
      <c r="F96" s="240"/>
      <c r="G96" s="238" t="str">
        <f>TEXT($G$1, "[$-ko-KR]yyyy-mm-dd(ddd) ") &amp; "오후 19:00"</f>
        <v>2021-08-01(일) 오후 19:00</v>
      </c>
      <c r="H96" s="239"/>
      <c r="I96" s="240"/>
      <c r="J96" s="238" t="str">
        <f>TEXT($G$1, "[$-ko-KR]yyyy-mm-dd(ddd) ") &amp; "오후 21:00"</f>
        <v>2021-08-01(일) 오후 21:00</v>
      </c>
      <c r="K96" s="239"/>
      <c r="L96" s="240"/>
      <c r="M96" s="238" t="str">
        <f>TEXT($G$1+1, "[$-ko-KR]yyyy-mm-dd(ddd) ") &amp; "오전 00:00"</f>
        <v>2021-08-02(월) 오전 00:00</v>
      </c>
      <c r="N96" s="239"/>
      <c r="O96" s="240"/>
      <c r="Q96" s="236"/>
      <c r="R96" s="236"/>
      <c r="S96" s="236"/>
    </row>
    <row r="97" spans="1:19" ht="17.25" thickBot="1">
      <c r="A97" s="27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1"/>
      <c r="R97" s="241"/>
      <c r="S97" s="241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36"/>
      <c r="R98" s="236"/>
      <c r="S98" s="236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36"/>
      <c r="R99" s="236"/>
      <c r="S99" s="236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41"/>
      <c r="R100" s="241"/>
      <c r="S100" s="241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41"/>
      <c r="R101" s="241"/>
      <c r="S101" s="241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41"/>
      <c r="R102" s="241"/>
      <c r="S102" s="241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41"/>
      <c r="R103" s="241"/>
      <c r="S103" s="241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41"/>
      <c r="R104" s="241"/>
      <c r="S104" s="241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41"/>
      <c r="R105" s="241"/>
      <c r="S105" s="241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50"/>
      <c r="R107" s="251"/>
      <c r="S107" s="252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53"/>
      <c r="R108" s="254"/>
      <c r="S108" s="255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56"/>
      <c r="R109" s="257"/>
      <c r="S109" s="258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41"/>
      <c r="R110" s="241"/>
      <c r="S110" s="241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36"/>
      <c r="R111" s="236"/>
      <c r="S111" s="236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36"/>
      <c r="R112" s="236"/>
      <c r="S112" s="236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41"/>
      <c r="R113" s="241"/>
      <c r="S113" s="241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41"/>
      <c r="R114" s="241"/>
      <c r="S114" s="241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41"/>
      <c r="R115" s="241"/>
      <c r="S115" s="241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63"/>
      <c r="R116" s="264"/>
      <c r="S116" s="265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66"/>
      <c r="R117" s="267"/>
      <c r="S117" s="268"/>
    </row>
    <row r="118" spans="1:19" ht="17.25" thickBot="1">
      <c r="A118" s="132" t="s">
        <v>270</v>
      </c>
      <c r="B118" s="274">
        <f>$B$37</f>
        <v>100000</v>
      </c>
      <c r="C118" s="275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69"/>
      <c r="R118" s="270"/>
      <c r="S118" s="27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36"/>
      <c r="R121" s="236"/>
      <c r="S121" s="236"/>
    </row>
    <row r="122" spans="1:19" ht="17.25" thickBot="1">
      <c r="A122" s="157" t="s">
        <v>267</v>
      </c>
      <c r="B122" s="215" t="s">
        <v>49</v>
      </c>
      <c r="C122" s="217"/>
      <c r="D122" s="215" t="s">
        <v>58</v>
      </c>
      <c r="E122" s="216"/>
      <c r="F122" s="217"/>
      <c r="G122" s="242">
        <f>_xlfn.IFNA(VLOOKUP(B122, 현재가테이블!$B$2:$D$200, 2, FALSE), "-")</f>
        <v>53976000</v>
      </c>
      <c r="H122" s="243"/>
      <c r="I122" s="244"/>
      <c r="J122" s="215" t="s">
        <v>59</v>
      </c>
      <c r="K122" s="216"/>
      <c r="L122" s="217"/>
      <c r="M122" s="245">
        <f>_xlfn.IFNA(VLOOKUP(B122, 현재가테이블!$B$2:$D$200, 3, FALSE), "-")</f>
        <v>-2.1216407400000001E-2</v>
      </c>
      <c r="N122" s="246"/>
      <c r="O122" s="247"/>
      <c r="Q122" s="236"/>
      <c r="R122" s="236"/>
      <c r="S122" s="236"/>
    </row>
    <row r="123" spans="1:19" ht="17.25" thickBot="1">
      <c r="A123" s="276" t="s">
        <v>55</v>
      </c>
      <c r="B123" s="278" t="str">
        <f>TEXT($G$1, "[$-ko-KR]yyyy-mm-dd(ddd) ") &amp; "오전 00:00"</f>
        <v>2021-08-01(일) 오전 00:00</v>
      </c>
      <c r="C123" s="279"/>
      <c r="D123" s="238" t="str">
        <f>TEXT($G$1, "[$-ko-KR]yyyy-mm-dd(ddd) ") &amp; "오후 14:00"</f>
        <v>2021-08-01(일) 오후 14:00</v>
      </c>
      <c r="E123" s="239"/>
      <c r="F123" s="240"/>
      <c r="G123" s="238" t="str">
        <f>TEXT($G$1, "[$-ko-KR]yyyy-mm-dd(ddd) ") &amp; "오후 19:00"</f>
        <v>2021-08-01(일) 오후 19:00</v>
      </c>
      <c r="H123" s="239"/>
      <c r="I123" s="240"/>
      <c r="J123" s="238" t="str">
        <f>TEXT($G$1, "[$-ko-KR]yyyy-mm-dd(ddd) ") &amp; "오후 21:00"</f>
        <v>2021-08-01(일) 오후 21:00</v>
      </c>
      <c r="K123" s="239"/>
      <c r="L123" s="240"/>
      <c r="M123" s="238" t="str">
        <f>TEXT($G$1+1, "[$-ko-KR]yyyy-mm-dd(ddd) ") &amp; "오전 00:00"</f>
        <v>2021-08-02(월) 오전 00:00</v>
      </c>
      <c r="N123" s="239"/>
      <c r="O123" s="240"/>
      <c r="Q123" s="236"/>
      <c r="R123" s="236"/>
      <c r="S123" s="236"/>
    </row>
    <row r="124" spans="1:19" ht="17.25" thickBot="1">
      <c r="A124" s="27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1"/>
      <c r="R124" s="241"/>
      <c r="S124" s="241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36"/>
      <c r="R125" s="236"/>
      <c r="S125" s="236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36"/>
      <c r="R126" s="236"/>
      <c r="S126" s="236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41"/>
      <c r="R127" s="241"/>
      <c r="S127" s="241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41"/>
      <c r="R128" s="241"/>
      <c r="S128" s="241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41"/>
      <c r="R129" s="241"/>
      <c r="S129" s="241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41"/>
      <c r="R130" s="241"/>
      <c r="S130" s="241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41"/>
      <c r="R131" s="241"/>
      <c r="S131" s="241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41"/>
      <c r="R132" s="241"/>
      <c r="S132" s="241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50"/>
      <c r="R134" s="251"/>
      <c r="S134" s="252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53"/>
      <c r="R135" s="254"/>
      <c r="S135" s="255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56"/>
      <c r="R136" s="257"/>
      <c r="S136" s="258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41"/>
      <c r="R137" s="241"/>
      <c r="S137" s="241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36"/>
      <c r="R138" s="236"/>
      <c r="S138" s="236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36"/>
      <c r="R139" s="236"/>
      <c r="S139" s="236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41"/>
      <c r="R140" s="241"/>
      <c r="S140" s="241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41"/>
      <c r="R141" s="241"/>
      <c r="S141" s="241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41"/>
      <c r="R142" s="241"/>
      <c r="S142" s="241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63"/>
      <c r="R143" s="264"/>
      <c r="S143" s="265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66"/>
      <c r="R144" s="267"/>
      <c r="S144" s="268"/>
    </row>
    <row r="145" spans="1:19" ht="17.25" thickBot="1">
      <c r="A145" s="132" t="s">
        <v>270</v>
      </c>
      <c r="B145" s="274">
        <f>$B$37</f>
        <v>100000</v>
      </c>
      <c r="C145" s="275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69"/>
      <c r="R145" s="270"/>
      <c r="S145" s="27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36"/>
      <c r="R148" s="236"/>
      <c r="S148" s="236"/>
    </row>
    <row r="149" spans="1:19" ht="17.25" thickBot="1">
      <c r="A149" s="157" t="s">
        <v>267</v>
      </c>
      <c r="B149" s="215" t="s">
        <v>49</v>
      </c>
      <c r="C149" s="217"/>
      <c r="D149" s="215" t="s">
        <v>58</v>
      </c>
      <c r="E149" s="216"/>
      <c r="F149" s="217"/>
      <c r="G149" s="242">
        <f>_xlfn.IFNA(VLOOKUP(B149, 현재가테이블!$B$2:$D$200, 2, FALSE), "-")</f>
        <v>53976000</v>
      </c>
      <c r="H149" s="243"/>
      <c r="I149" s="244"/>
      <c r="J149" s="215" t="s">
        <v>59</v>
      </c>
      <c r="K149" s="216"/>
      <c r="L149" s="217"/>
      <c r="M149" s="245">
        <f>_xlfn.IFNA(VLOOKUP(B149, 현재가테이블!$B$2:$D$200, 3, FALSE), "-")</f>
        <v>-2.1216407400000001E-2</v>
      </c>
      <c r="N149" s="246"/>
      <c r="O149" s="247"/>
      <c r="Q149" s="236"/>
      <c r="R149" s="236"/>
      <c r="S149" s="236"/>
    </row>
    <row r="150" spans="1:19" ht="17.25" thickBot="1">
      <c r="A150" s="276" t="s">
        <v>55</v>
      </c>
      <c r="B150" s="278" t="str">
        <f>TEXT($G$1, "[$-ko-KR]yyyy-mm-dd(ddd) ") &amp; "오전 00:00"</f>
        <v>2021-08-01(일) 오전 00:00</v>
      </c>
      <c r="C150" s="279"/>
      <c r="D150" s="238" t="str">
        <f>TEXT($G$1, "[$-ko-KR]yyyy-mm-dd(ddd) ") &amp; "오후 14:00"</f>
        <v>2021-08-01(일) 오후 14:00</v>
      </c>
      <c r="E150" s="239"/>
      <c r="F150" s="240"/>
      <c r="G150" s="238" t="str">
        <f>TEXT($G$1, "[$-ko-KR]yyyy-mm-dd(ddd) ") &amp; "오후 19:00"</f>
        <v>2021-08-01(일) 오후 19:00</v>
      </c>
      <c r="H150" s="239"/>
      <c r="I150" s="240"/>
      <c r="J150" s="238" t="str">
        <f>TEXT($G$1, "[$-ko-KR]yyyy-mm-dd(ddd) ") &amp; "오후 21:00"</f>
        <v>2021-08-01(일) 오후 21:00</v>
      </c>
      <c r="K150" s="239"/>
      <c r="L150" s="240"/>
      <c r="M150" s="238" t="str">
        <f>TEXT($G$1+1, "[$-ko-KR]yyyy-mm-dd(ddd) ") &amp; "오전 00:00"</f>
        <v>2021-08-02(월) 오전 00:00</v>
      </c>
      <c r="N150" s="239"/>
      <c r="O150" s="240"/>
      <c r="Q150" s="236"/>
      <c r="R150" s="236"/>
      <c r="S150" s="236"/>
    </row>
    <row r="151" spans="1:19" ht="17.25" thickBot="1">
      <c r="A151" s="27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1"/>
      <c r="R151" s="241"/>
      <c r="S151" s="241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36"/>
      <c r="R152" s="236"/>
      <c r="S152" s="236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36"/>
      <c r="R153" s="236"/>
      <c r="S153" s="236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41"/>
      <c r="R154" s="241"/>
      <c r="S154" s="241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41"/>
      <c r="R155" s="241"/>
      <c r="S155" s="241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41"/>
      <c r="R156" s="241"/>
      <c r="S156" s="241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41"/>
      <c r="R157" s="241"/>
      <c r="S157" s="241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41"/>
      <c r="R158" s="241"/>
      <c r="S158" s="241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41"/>
      <c r="R159" s="241"/>
      <c r="S159" s="241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50"/>
      <c r="R161" s="251"/>
      <c r="S161" s="252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53"/>
      <c r="R162" s="254"/>
      <c r="S162" s="255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56"/>
      <c r="R163" s="257"/>
      <c r="S163" s="258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41"/>
      <c r="R164" s="241"/>
      <c r="S164" s="241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36"/>
      <c r="R165" s="236"/>
      <c r="S165" s="236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36"/>
      <c r="R166" s="236"/>
      <c r="S166" s="236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41"/>
      <c r="R167" s="241"/>
      <c r="S167" s="241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41"/>
      <c r="R168" s="241"/>
      <c r="S168" s="241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41"/>
      <c r="R169" s="241"/>
      <c r="S169" s="241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63"/>
      <c r="R170" s="264"/>
      <c r="S170" s="265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66"/>
      <c r="R171" s="267"/>
      <c r="S171" s="268"/>
    </row>
    <row r="172" spans="1:19" ht="17.25" thickBot="1">
      <c r="A172" s="132" t="s">
        <v>270</v>
      </c>
      <c r="B172" s="274">
        <f>$B$37</f>
        <v>100000</v>
      </c>
      <c r="C172" s="275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69"/>
      <c r="R172" s="270"/>
      <c r="S172" s="27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36"/>
      <c r="R175" s="236"/>
      <c r="S175" s="236"/>
    </row>
    <row r="176" spans="1:19" ht="17.25" thickBot="1">
      <c r="A176" s="157" t="s">
        <v>267</v>
      </c>
      <c r="B176" s="215" t="s">
        <v>49</v>
      </c>
      <c r="C176" s="217"/>
      <c r="D176" s="215" t="s">
        <v>58</v>
      </c>
      <c r="E176" s="216"/>
      <c r="F176" s="217"/>
      <c r="G176" s="242">
        <f>_xlfn.IFNA(VLOOKUP(B176, 현재가테이블!$B$2:$D$200, 2, FALSE), "-")</f>
        <v>53976000</v>
      </c>
      <c r="H176" s="243"/>
      <c r="I176" s="244"/>
      <c r="J176" s="215" t="s">
        <v>59</v>
      </c>
      <c r="K176" s="216"/>
      <c r="L176" s="217"/>
      <c r="M176" s="245">
        <f>_xlfn.IFNA(VLOOKUP(B176, 현재가테이블!$B$2:$D$200, 3, FALSE), "-")</f>
        <v>-2.1216407400000001E-2</v>
      </c>
      <c r="N176" s="246"/>
      <c r="O176" s="247"/>
      <c r="Q176" s="236"/>
      <c r="R176" s="236"/>
      <c r="S176" s="236"/>
    </row>
    <row r="177" spans="1:19" ht="17.25" thickBot="1">
      <c r="A177" s="276" t="s">
        <v>55</v>
      </c>
      <c r="B177" s="278" t="str">
        <f>TEXT($G$1, "[$-ko-KR]yyyy-mm-dd(ddd) ") &amp; "오전 00:00"</f>
        <v>2021-08-01(일) 오전 00:00</v>
      </c>
      <c r="C177" s="279"/>
      <c r="D177" s="238" t="str">
        <f>TEXT($G$1, "[$-ko-KR]yyyy-mm-dd(ddd) ") &amp; "오후 14:00"</f>
        <v>2021-08-01(일) 오후 14:00</v>
      </c>
      <c r="E177" s="239"/>
      <c r="F177" s="240"/>
      <c r="G177" s="238" t="str">
        <f>TEXT($G$1, "[$-ko-KR]yyyy-mm-dd(ddd) ") &amp; "오후 19:00"</f>
        <v>2021-08-01(일) 오후 19:00</v>
      </c>
      <c r="H177" s="239"/>
      <c r="I177" s="240"/>
      <c r="J177" s="238" t="str">
        <f>TEXT($G$1, "[$-ko-KR]yyyy-mm-dd(ddd) ") &amp; "오후 21:00"</f>
        <v>2021-08-01(일) 오후 21:00</v>
      </c>
      <c r="K177" s="239"/>
      <c r="L177" s="240"/>
      <c r="M177" s="238" t="str">
        <f>TEXT($G$1+1, "[$-ko-KR]yyyy-mm-dd(ddd) ") &amp; "오전 00:00"</f>
        <v>2021-08-02(월) 오전 00:00</v>
      </c>
      <c r="N177" s="239"/>
      <c r="O177" s="240"/>
      <c r="Q177" s="236"/>
      <c r="R177" s="236"/>
      <c r="S177" s="236"/>
    </row>
    <row r="178" spans="1:19" ht="17.25" thickBot="1">
      <c r="A178" s="27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1"/>
      <c r="R178" s="241"/>
      <c r="S178" s="241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36"/>
      <c r="R179" s="236"/>
      <c r="S179" s="236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36"/>
      <c r="R180" s="236"/>
      <c r="S180" s="236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41"/>
      <c r="R181" s="241"/>
      <c r="S181" s="241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41"/>
      <c r="R182" s="241"/>
      <c r="S182" s="241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41"/>
      <c r="R183" s="241"/>
      <c r="S183" s="241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41"/>
      <c r="R184" s="241"/>
      <c r="S184" s="241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41"/>
      <c r="R185" s="241"/>
      <c r="S185" s="241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41"/>
      <c r="R186" s="241"/>
      <c r="S186" s="241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50"/>
      <c r="R188" s="251"/>
      <c r="S188" s="252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53"/>
      <c r="R189" s="254"/>
      <c r="S189" s="255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56"/>
      <c r="R190" s="257"/>
      <c r="S190" s="258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41"/>
      <c r="R191" s="241"/>
      <c r="S191" s="241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36"/>
      <c r="R192" s="236"/>
      <c r="S192" s="236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36"/>
      <c r="R193" s="236"/>
      <c r="S193" s="236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41"/>
      <c r="R194" s="241"/>
      <c r="S194" s="241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41"/>
      <c r="R195" s="241"/>
      <c r="S195" s="241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41"/>
      <c r="R196" s="241"/>
      <c r="S196" s="241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63"/>
      <c r="R197" s="264"/>
      <c r="S197" s="265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66"/>
      <c r="R198" s="267"/>
      <c r="S198" s="268"/>
    </row>
    <row r="199" spans="1:19" ht="17.25" thickBot="1">
      <c r="A199" s="132" t="s">
        <v>270</v>
      </c>
      <c r="B199" s="274">
        <f>$B$37</f>
        <v>100000</v>
      </c>
      <c r="C199" s="275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69"/>
      <c r="R199" s="270"/>
      <c r="S199" s="27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3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2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2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2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2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2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2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2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2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2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20" priority="157">
      <formula>AND($N17 &gt; 0, ISNUMBER($N17))</formula>
    </cfRule>
    <cfRule type="expression" dxfId="2519" priority="158">
      <formula>AND($N17 = 0 * ISNUMBER($N17))</formula>
    </cfRule>
    <cfRule type="expression" dxfId="2518" priority="159">
      <formula>AND($N17 &lt; 0, ISNUMBER($N17))</formula>
    </cfRule>
  </conditionalFormatting>
  <conditionalFormatting sqref="A17:F36">
    <cfRule type="expression" dxfId="2517" priority="166">
      <formula>AND($E17 &gt; 0, ISNUMBER($E17))</formula>
    </cfRule>
    <cfRule type="expression" dxfId="2516" priority="167">
      <formula>AND($E17 = 0 * ISNUMBER($E17))</formula>
    </cfRule>
    <cfRule type="expression" dxfId="2515" priority="168">
      <formula>AND($E17 &lt; 0, ISNUMBER($E17))</formula>
    </cfRule>
  </conditionalFormatting>
  <conditionalFormatting sqref="A17:C36 G17:I36">
    <cfRule type="expression" dxfId="2514" priority="163">
      <formula>AND($H17 &gt; 0, ISNUMBER($H17))</formula>
    </cfRule>
    <cfRule type="expression" dxfId="2513" priority="164">
      <formula>AND($H17 = 0 * ISNUMBER($H17))</formula>
    </cfRule>
    <cfRule type="expression" dxfId="2512" priority="165">
      <formula>AND($H17 &lt; 0, ISNUMBER($H17))</formula>
    </cfRule>
  </conditionalFormatting>
  <conditionalFormatting sqref="A17:C36 J17:L36">
    <cfRule type="expression" dxfId="2511" priority="160">
      <formula>AND($K17 &gt; 0, ISNUMBER($K17))</formula>
    </cfRule>
    <cfRule type="expression" dxfId="2510" priority="161">
      <formula>AND($K17 = 0 * ISNUMBER($K17))</formula>
    </cfRule>
    <cfRule type="expression" dxfId="2509" priority="162">
      <formula>AND($K17 &lt; 0, ISNUMBER($K17))</formula>
    </cfRule>
  </conditionalFormatting>
  <conditionalFormatting sqref="D15:F16 E37:F37">
    <cfRule type="expression" dxfId="2508" priority="154">
      <formula>$E$37 &gt; 0</formula>
    </cfRule>
    <cfRule type="expression" dxfId="2507" priority="155">
      <formula>$E$37 = 0</formula>
    </cfRule>
    <cfRule type="expression" dxfId="2506" priority="156">
      <formula>$E$37 &lt; 0</formula>
    </cfRule>
  </conditionalFormatting>
  <conditionalFormatting sqref="G15:I16 H37:I37">
    <cfRule type="expression" dxfId="2505" priority="151">
      <formula>$H$37 &gt; 0</formula>
    </cfRule>
    <cfRule type="expression" dxfId="2504" priority="152">
      <formula>$H$37 = 0</formula>
    </cfRule>
    <cfRule type="expression" dxfId="2503" priority="153">
      <formula>$H$37 &lt; 0</formula>
    </cfRule>
  </conditionalFormatting>
  <conditionalFormatting sqref="J15:L16 K37:L37">
    <cfRule type="expression" dxfId="2502" priority="148">
      <formula>$K$37 &gt; 0</formula>
    </cfRule>
    <cfRule type="expression" dxfId="2501" priority="149">
      <formula>$K$37 = 0</formula>
    </cfRule>
    <cfRule type="expression" dxfId="2500" priority="150">
      <formula>$K$37 &lt; 0</formula>
    </cfRule>
  </conditionalFormatting>
  <conditionalFormatting sqref="M15:O16 N37:O37">
    <cfRule type="expression" dxfId="2499" priority="145">
      <formula>$N$37 &gt; 0</formula>
    </cfRule>
    <cfRule type="expression" dxfId="2498" priority="146">
      <formula>$N$37 = 0</formula>
    </cfRule>
    <cfRule type="expression" dxfId="2497" priority="147">
      <formula>$N$37 &lt; 0</formula>
    </cfRule>
  </conditionalFormatting>
  <conditionalFormatting sqref="A44:C63 M44:O63">
    <cfRule type="expression" dxfId="2496" priority="133">
      <formula>AND($N44 &gt; 0, ISNUMBER($N44))</formula>
    </cfRule>
    <cfRule type="expression" dxfId="2495" priority="134">
      <formula>AND($N44 = 0 * ISNUMBER($N44))</formula>
    </cfRule>
    <cfRule type="expression" dxfId="2494" priority="135">
      <formula>AND($N44 &lt; 0, ISNUMBER($N44))</formula>
    </cfRule>
  </conditionalFormatting>
  <conditionalFormatting sqref="A44:F63">
    <cfRule type="expression" dxfId="2493" priority="142">
      <formula>AND($E44 &gt; 0, ISNUMBER($E44))</formula>
    </cfRule>
    <cfRule type="expression" dxfId="2492" priority="143">
      <formula>AND($E44 = 0 * ISNUMBER($E44))</formula>
    </cfRule>
    <cfRule type="expression" dxfId="2491" priority="144">
      <formula>AND($E44 &lt; 0, ISNUMBER($E44))</formula>
    </cfRule>
  </conditionalFormatting>
  <conditionalFormatting sqref="A44:C63 G44:I63">
    <cfRule type="expression" dxfId="2490" priority="139">
      <formula>AND($H44 &gt; 0, ISNUMBER($H44))</formula>
    </cfRule>
    <cfRule type="expression" dxfId="2489" priority="140">
      <formula>AND($H44 = 0 * ISNUMBER($H44))</formula>
    </cfRule>
    <cfRule type="expression" dxfId="2488" priority="141">
      <formula>AND($H44 &lt; 0, ISNUMBER($H44))</formula>
    </cfRule>
  </conditionalFormatting>
  <conditionalFormatting sqref="A44:C63 J44:L63">
    <cfRule type="expression" dxfId="2487" priority="136">
      <formula>AND($K44 &gt; 0, ISNUMBER($K44))</formula>
    </cfRule>
    <cfRule type="expression" dxfId="2486" priority="137">
      <formula>AND($K44 = 0 * ISNUMBER($K44))</formula>
    </cfRule>
    <cfRule type="expression" dxfId="2485" priority="138">
      <formula>AND($K44 &lt; 0, ISNUMBER($K44))</formula>
    </cfRule>
  </conditionalFormatting>
  <conditionalFormatting sqref="D42:F43 E64:F64">
    <cfRule type="expression" dxfId="2484" priority="130">
      <formula>$E$64 &gt; 0</formula>
    </cfRule>
    <cfRule type="expression" dxfId="2483" priority="131">
      <formula>$E$64 = 0</formula>
    </cfRule>
    <cfRule type="expression" dxfId="2482" priority="132">
      <formula>$E$64 &lt; 0</formula>
    </cfRule>
  </conditionalFormatting>
  <conditionalFormatting sqref="G42:I43 H64:I64">
    <cfRule type="expression" dxfId="2481" priority="127">
      <formula>$H$64 &gt; 0</formula>
    </cfRule>
    <cfRule type="expression" dxfId="2480" priority="128">
      <formula>$H$64 = 0</formula>
    </cfRule>
    <cfRule type="expression" dxfId="2479" priority="129">
      <formula>$H$64 &lt; 0</formula>
    </cfRule>
  </conditionalFormatting>
  <conditionalFormatting sqref="J42:L43 K64:L64">
    <cfRule type="expression" dxfId="2478" priority="124">
      <formula>$K$64 &gt; 0</formula>
    </cfRule>
    <cfRule type="expression" dxfId="2477" priority="125">
      <formula>$K$64 = 0</formula>
    </cfRule>
    <cfRule type="expression" dxfId="2476" priority="126">
      <formula>$K$64 &lt; 0</formula>
    </cfRule>
  </conditionalFormatting>
  <conditionalFormatting sqref="M42:O43 N64:O64">
    <cfRule type="expression" dxfId="2475" priority="121">
      <formula>$N$64 &gt; 0</formula>
    </cfRule>
    <cfRule type="expression" dxfId="2474" priority="122">
      <formula>$N$64 = 0</formula>
    </cfRule>
    <cfRule type="expression" dxfId="2473" priority="123">
      <formula>$N$64 &lt; 0</formula>
    </cfRule>
  </conditionalFormatting>
  <conditionalFormatting sqref="A71:C90 M71:O90">
    <cfRule type="expression" dxfId="2472" priority="109">
      <formula>AND($N71 &gt; 0, ISNUMBER($N71))</formula>
    </cfRule>
    <cfRule type="expression" dxfId="2471" priority="110">
      <formula>AND($N71 = 0 * ISNUMBER($N71))</formula>
    </cfRule>
    <cfRule type="expression" dxfId="2470" priority="111">
      <formula>AND($N71 &lt; 0, ISNUMBER($N71))</formula>
    </cfRule>
  </conditionalFormatting>
  <conditionalFormatting sqref="A71:F90">
    <cfRule type="expression" dxfId="2469" priority="118">
      <formula>AND($E71 &gt; 0, ISNUMBER($E71))</formula>
    </cfRule>
    <cfRule type="expression" dxfId="2468" priority="119">
      <formula>AND($E71 = 0 * ISNUMBER($E71))</formula>
    </cfRule>
    <cfRule type="expression" dxfId="2467" priority="120">
      <formula>AND($E71 &lt; 0, ISNUMBER($E71))</formula>
    </cfRule>
  </conditionalFormatting>
  <conditionalFormatting sqref="A71:C90 G71:I90">
    <cfRule type="expression" dxfId="2466" priority="115">
      <formula>AND($H71 &gt; 0, ISNUMBER($H71))</formula>
    </cfRule>
    <cfRule type="expression" dxfId="2465" priority="116">
      <formula>AND($H71 = 0 * ISNUMBER($H71))</formula>
    </cfRule>
    <cfRule type="expression" dxfId="2464" priority="117">
      <formula>AND($H71 &lt; 0, ISNUMBER($H71))</formula>
    </cfRule>
  </conditionalFormatting>
  <conditionalFormatting sqref="A71:C90 J71:L90">
    <cfRule type="expression" dxfId="2463" priority="112">
      <formula>AND($K71 &gt; 0, ISNUMBER($K71))</formula>
    </cfRule>
    <cfRule type="expression" dxfId="2462" priority="113">
      <formula>AND($K71 = 0 * ISNUMBER($K71))</formula>
    </cfRule>
    <cfRule type="expression" dxfId="2461" priority="114">
      <formula>AND($K71 &lt; 0, ISNUMBER($K71))</formula>
    </cfRule>
  </conditionalFormatting>
  <conditionalFormatting sqref="D69:F70 E91:F91">
    <cfRule type="expression" dxfId="2460" priority="106">
      <formula>$E$91 &gt; 0</formula>
    </cfRule>
    <cfRule type="expression" dxfId="2459" priority="107">
      <formula>$E$91 = 0</formula>
    </cfRule>
    <cfRule type="expression" dxfId="2458" priority="108">
      <formula>$E$91 &lt; 0</formula>
    </cfRule>
  </conditionalFormatting>
  <conditionalFormatting sqref="G69:I70 H91:I91">
    <cfRule type="expression" dxfId="2457" priority="103">
      <formula>$H$91 &gt; 0</formula>
    </cfRule>
    <cfRule type="expression" dxfId="2456" priority="104">
      <formula>$H$91 = 0</formula>
    </cfRule>
    <cfRule type="expression" dxfId="2455" priority="105">
      <formula>$H$91 &lt; 0</formula>
    </cfRule>
  </conditionalFormatting>
  <conditionalFormatting sqref="J69:L70 K91:L91">
    <cfRule type="expression" dxfId="2454" priority="100">
      <formula>$K$91 &gt; 0</formula>
    </cfRule>
    <cfRule type="expression" dxfId="2453" priority="101">
      <formula>$K$91 = 0</formula>
    </cfRule>
    <cfRule type="expression" dxfId="2452" priority="102">
      <formula>$K$91 &lt; 0</formula>
    </cfRule>
  </conditionalFormatting>
  <conditionalFormatting sqref="M69:O70 N91:O91">
    <cfRule type="expression" dxfId="2451" priority="97">
      <formula>$N$91 &gt; 0</formula>
    </cfRule>
    <cfRule type="expression" dxfId="2450" priority="98">
      <formula>$N$91 = 0</formula>
    </cfRule>
    <cfRule type="expression" dxfId="2449" priority="99">
      <formula>$N$91 &lt; 0</formula>
    </cfRule>
  </conditionalFormatting>
  <conditionalFormatting sqref="A98:C117 M98:O117">
    <cfRule type="expression" dxfId="2448" priority="85">
      <formula>AND($N98 &gt; 0, ISNUMBER($N98))</formula>
    </cfRule>
    <cfRule type="expression" dxfId="2447" priority="86">
      <formula>AND($N98 = 0 * ISNUMBER($N98))</formula>
    </cfRule>
    <cfRule type="expression" dxfId="2446" priority="87">
      <formula>AND($N98 &lt; 0, ISNUMBER($N98))</formula>
    </cfRule>
  </conditionalFormatting>
  <conditionalFormatting sqref="A98:F117">
    <cfRule type="expression" dxfId="2445" priority="94">
      <formula>AND($E98 &gt; 0, ISNUMBER($E98))</formula>
    </cfRule>
    <cfRule type="expression" dxfId="2444" priority="95">
      <formula>AND($E98 = 0 * ISNUMBER($E98))</formula>
    </cfRule>
    <cfRule type="expression" dxfId="2443" priority="96">
      <formula>AND($E98 &lt; 0, ISNUMBER($E98))</formula>
    </cfRule>
  </conditionalFormatting>
  <conditionalFormatting sqref="A98:C117 G98:I117">
    <cfRule type="expression" dxfId="2442" priority="91">
      <formula>AND($H98 &gt; 0, ISNUMBER($H98))</formula>
    </cfRule>
    <cfRule type="expression" dxfId="2441" priority="92">
      <formula>AND($H98 = 0 * ISNUMBER($H98))</formula>
    </cfRule>
    <cfRule type="expression" dxfId="2440" priority="93">
      <formula>AND($H98 &lt; 0, ISNUMBER($H98))</formula>
    </cfRule>
  </conditionalFormatting>
  <conditionalFormatting sqref="A98:C117 J98:L117">
    <cfRule type="expression" dxfId="2439" priority="88">
      <formula>AND($K98 &gt; 0, ISNUMBER($K98))</formula>
    </cfRule>
    <cfRule type="expression" dxfId="2438" priority="89">
      <formula>AND($K98 = 0 * ISNUMBER($K98))</formula>
    </cfRule>
    <cfRule type="expression" dxfId="2437" priority="90">
      <formula>AND($K98 &lt; 0, ISNUMBER($K98))</formula>
    </cfRule>
  </conditionalFormatting>
  <conditionalFormatting sqref="D96:F97 E118:F118">
    <cfRule type="expression" dxfId="2436" priority="82">
      <formula>$E$118 &gt; 0</formula>
    </cfRule>
    <cfRule type="expression" dxfId="2435" priority="83">
      <formula>$E$118 = 0</formula>
    </cfRule>
    <cfRule type="expression" dxfId="2434" priority="84">
      <formula>$E$118 &lt; 0</formula>
    </cfRule>
  </conditionalFormatting>
  <conditionalFormatting sqref="G96:I97 H118:I118">
    <cfRule type="expression" dxfId="2433" priority="79">
      <formula>$H$118 &gt; 0</formula>
    </cfRule>
    <cfRule type="expression" dxfId="2432" priority="80">
      <formula>$H$118 = 0</formula>
    </cfRule>
    <cfRule type="expression" dxfId="2431" priority="81">
      <formula>$H$118 &lt; 0</formula>
    </cfRule>
  </conditionalFormatting>
  <conditionalFormatting sqref="J96:L97 K118:L118">
    <cfRule type="expression" dxfId="2430" priority="76">
      <formula>$K$118 &gt; 0</formula>
    </cfRule>
    <cfRule type="expression" dxfId="2429" priority="77">
      <formula>$K$118 = 0</formula>
    </cfRule>
    <cfRule type="expression" dxfId="2428" priority="78">
      <formula>$K$118 &lt; 0</formula>
    </cfRule>
  </conditionalFormatting>
  <conditionalFormatting sqref="M96:O97 N118:O118">
    <cfRule type="expression" dxfId="2427" priority="73">
      <formula>$N$118 &gt; 0</formula>
    </cfRule>
    <cfRule type="expression" dxfId="2426" priority="74">
      <formula>$N$118 = 0</formula>
    </cfRule>
    <cfRule type="expression" dxfId="2425" priority="75">
      <formula>$N$118 &lt; 0</formula>
    </cfRule>
  </conditionalFormatting>
  <conditionalFormatting sqref="A125:C144 M125:O144">
    <cfRule type="expression" dxfId="2424" priority="61">
      <formula>AND($N125 &gt; 0, ISNUMBER($N125))</formula>
    </cfRule>
    <cfRule type="expression" dxfId="2423" priority="62">
      <formula>AND($N125 = 0 * ISNUMBER($N125))</formula>
    </cfRule>
    <cfRule type="expression" dxfId="2422" priority="63">
      <formula>AND($N125 &lt; 0, ISNUMBER($N125))</formula>
    </cfRule>
  </conditionalFormatting>
  <conditionalFormatting sqref="A125:F144">
    <cfRule type="expression" dxfId="2421" priority="70">
      <formula>AND($E125 &gt; 0, ISNUMBER($E125))</formula>
    </cfRule>
    <cfRule type="expression" dxfId="2420" priority="71">
      <formula>AND($E125 = 0 * ISNUMBER($E125))</formula>
    </cfRule>
    <cfRule type="expression" dxfId="2419" priority="72">
      <formula>AND($E125 &lt; 0, ISNUMBER($E125))</formula>
    </cfRule>
  </conditionalFormatting>
  <conditionalFormatting sqref="A125:C144 G125:I144">
    <cfRule type="expression" dxfId="2418" priority="67">
      <formula>AND($H125 &gt; 0, ISNUMBER($H125))</formula>
    </cfRule>
    <cfRule type="expression" dxfId="2417" priority="68">
      <formula>AND($H125 = 0 * ISNUMBER($H125))</formula>
    </cfRule>
    <cfRule type="expression" dxfId="2416" priority="69">
      <formula>AND($H125 &lt; 0, ISNUMBER($H125))</formula>
    </cfRule>
  </conditionalFormatting>
  <conditionalFormatting sqref="A125:C144 J125:L144">
    <cfRule type="expression" dxfId="2415" priority="64">
      <formula>AND($K125 &gt; 0, ISNUMBER($K125))</formula>
    </cfRule>
    <cfRule type="expression" dxfId="2414" priority="65">
      <formula>AND($K125 = 0 * ISNUMBER($K125))</formula>
    </cfRule>
    <cfRule type="expression" dxfId="2413" priority="66">
      <formula>AND($K125 &lt; 0, ISNUMBER($K125))</formula>
    </cfRule>
  </conditionalFormatting>
  <conditionalFormatting sqref="D123:F124 E145:F145">
    <cfRule type="expression" dxfId="2412" priority="58">
      <formula>$E$145 &gt; 0</formula>
    </cfRule>
    <cfRule type="expression" dxfId="2411" priority="59">
      <formula>$E$145 = 0</formula>
    </cfRule>
    <cfRule type="expression" dxfId="2410" priority="60">
      <formula>$E$145 &lt; 0</formula>
    </cfRule>
  </conditionalFormatting>
  <conditionalFormatting sqref="G123:I124 H145:I145">
    <cfRule type="expression" dxfId="2409" priority="55">
      <formula>$H$145 &gt; 0</formula>
    </cfRule>
    <cfRule type="expression" dxfId="2408" priority="56">
      <formula>$H$145 = 0</formula>
    </cfRule>
    <cfRule type="expression" dxfId="2407" priority="57">
      <formula>$H$145 &lt; 0</formula>
    </cfRule>
  </conditionalFormatting>
  <conditionalFormatting sqref="J123:L124 K145:L145">
    <cfRule type="expression" dxfId="2406" priority="52">
      <formula>$K$145 &gt; 0</formula>
    </cfRule>
    <cfRule type="expression" dxfId="2405" priority="53">
      <formula>$K$145 = 0</formula>
    </cfRule>
    <cfRule type="expression" dxfId="2404" priority="54">
      <formula>$K$145 &lt; 0</formula>
    </cfRule>
  </conditionalFormatting>
  <conditionalFormatting sqref="M123:O124 N145:O145">
    <cfRule type="expression" dxfId="2403" priority="49">
      <formula>$N$145 &gt; 0</formula>
    </cfRule>
    <cfRule type="expression" dxfId="2402" priority="50">
      <formula>$N$145 = 0</formula>
    </cfRule>
    <cfRule type="expression" dxfId="2401" priority="51">
      <formula>$N$145 &lt; 0</formula>
    </cfRule>
  </conditionalFormatting>
  <conditionalFormatting sqref="A152:C171 M152:O171">
    <cfRule type="expression" dxfId="2400" priority="37">
      <formula>AND($N152 &gt; 0, ISNUMBER($N152))</formula>
    </cfRule>
    <cfRule type="expression" dxfId="2399" priority="38">
      <formula>AND($N152 = 0 * ISNUMBER($N152))</formula>
    </cfRule>
    <cfRule type="expression" dxfId="2398" priority="39">
      <formula>AND($N152 &lt; 0, ISNUMBER($N152))</formula>
    </cfRule>
  </conditionalFormatting>
  <conditionalFormatting sqref="A152:F171">
    <cfRule type="expression" dxfId="2397" priority="46">
      <formula>AND($E152 &gt; 0, ISNUMBER($E152))</formula>
    </cfRule>
    <cfRule type="expression" dxfId="2396" priority="47">
      <formula>AND($E152 = 0 * ISNUMBER($E152))</formula>
    </cfRule>
    <cfRule type="expression" dxfId="2395" priority="48">
      <formula>AND($E152 &lt; 0, ISNUMBER($E152))</formula>
    </cfRule>
  </conditionalFormatting>
  <conditionalFormatting sqref="A152:C171 G152:I171">
    <cfRule type="expression" dxfId="2394" priority="43">
      <formula>AND($H152 &gt; 0, ISNUMBER($H152))</formula>
    </cfRule>
    <cfRule type="expression" dxfId="2393" priority="44">
      <formula>AND($H152 = 0 * ISNUMBER($H152))</formula>
    </cfRule>
    <cfRule type="expression" dxfId="2392" priority="45">
      <formula>AND($H152 &lt; 0, ISNUMBER($H152))</formula>
    </cfRule>
  </conditionalFormatting>
  <conditionalFormatting sqref="A152:C171 J152:L171">
    <cfRule type="expression" dxfId="2391" priority="40">
      <formula>AND($K152 &gt; 0, ISNUMBER($K152))</formula>
    </cfRule>
    <cfRule type="expression" dxfId="2390" priority="41">
      <formula>AND($K152 = 0 * ISNUMBER($K152))</formula>
    </cfRule>
    <cfRule type="expression" dxfId="2389" priority="42">
      <formula>AND($K152 &lt; 0, ISNUMBER($K152))</formula>
    </cfRule>
  </conditionalFormatting>
  <conditionalFormatting sqref="D150:F151 E172:F172">
    <cfRule type="expression" dxfId="2388" priority="34">
      <formula>$E$172 &gt; 0</formula>
    </cfRule>
    <cfRule type="expression" dxfId="2387" priority="35">
      <formula>$E$172 = 0</formula>
    </cfRule>
    <cfRule type="expression" dxfId="2386" priority="36">
      <formula>$E$172 &lt; 0</formula>
    </cfRule>
  </conditionalFormatting>
  <conditionalFormatting sqref="G150:I151 H172:I172">
    <cfRule type="expression" dxfId="2385" priority="31">
      <formula>$H$172 &gt; 0</formula>
    </cfRule>
    <cfRule type="expression" dxfId="2384" priority="32">
      <formula>$H$172 = 0</formula>
    </cfRule>
    <cfRule type="expression" dxfId="2383" priority="33">
      <formula>$H$172 &lt; 0</formula>
    </cfRule>
  </conditionalFormatting>
  <conditionalFormatting sqref="J150:L151 K172:L172">
    <cfRule type="expression" dxfId="2382" priority="28">
      <formula>$K$172 &gt; 0</formula>
    </cfRule>
    <cfRule type="expression" dxfId="2381" priority="29">
      <formula>$K$172 = 0</formula>
    </cfRule>
    <cfRule type="expression" dxfId="2380" priority="30">
      <formula>$K$172 &lt; 0</formula>
    </cfRule>
  </conditionalFormatting>
  <conditionalFormatting sqref="M150:O151 N172:O172">
    <cfRule type="expression" dxfId="2379" priority="25">
      <formula>$N$172 &gt; 0</formula>
    </cfRule>
    <cfRule type="expression" dxfId="2378" priority="26">
      <formula>$N$172 = 0</formula>
    </cfRule>
    <cfRule type="expression" dxfId="2377" priority="27">
      <formula>$N$172 &lt; 0</formula>
    </cfRule>
  </conditionalFormatting>
  <conditionalFormatting sqref="A179:C198 M179:O198">
    <cfRule type="expression" dxfId="2376" priority="13">
      <formula>AND($N179 &gt; 0, ISNUMBER($N179))</formula>
    </cfRule>
    <cfRule type="expression" dxfId="2375" priority="14">
      <formula>AND($N179 = 0 * ISNUMBER($N179))</formula>
    </cfRule>
    <cfRule type="expression" dxfId="2374" priority="15">
      <formula>AND($N179 &lt; 0, ISNUMBER($N179))</formula>
    </cfRule>
  </conditionalFormatting>
  <conditionalFormatting sqref="A179:F198">
    <cfRule type="expression" dxfId="2373" priority="22">
      <formula>AND($E179 &gt; 0, ISNUMBER($E179))</formula>
    </cfRule>
    <cfRule type="expression" dxfId="2372" priority="23">
      <formula>AND($E179 = 0 * ISNUMBER($E179))</formula>
    </cfRule>
    <cfRule type="expression" dxfId="2371" priority="24">
      <formula>AND($E179 &lt; 0, ISNUMBER($E179))</formula>
    </cfRule>
  </conditionalFormatting>
  <conditionalFormatting sqref="A179:C198 G179:I198">
    <cfRule type="expression" dxfId="2370" priority="19">
      <formula>AND($H179 &gt; 0, ISNUMBER($H179))</formula>
    </cfRule>
    <cfRule type="expression" dxfId="2369" priority="20">
      <formula>AND($H179 = 0 * ISNUMBER($H179))</formula>
    </cfRule>
    <cfRule type="expression" dxfId="2368" priority="21">
      <formula>AND($H179 &lt; 0, ISNUMBER($H179))</formula>
    </cfRule>
  </conditionalFormatting>
  <conditionalFormatting sqref="A179:C198 J179:L198">
    <cfRule type="expression" dxfId="2367" priority="16">
      <formula>AND($K179 &gt; 0, ISNUMBER($K179))</formula>
    </cfRule>
    <cfRule type="expression" dxfId="2366" priority="17">
      <formula>AND($K179 = 0 * ISNUMBER($K179))</formula>
    </cfRule>
    <cfRule type="expression" dxfId="2365" priority="18">
      <formula>AND($K179 &lt; 0, ISNUMBER($K179))</formula>
    </cfRule>
  </conditionalFormatting>
  <conditionalFormatting sqref="D177:F178 E199:F199">
    <cfRule type="expression" dxfId="2364" priority="10">
      <formula>$E$199 &gt; 0</formula>
    </cfRule>
    <cfRule type="expression" dxfId="2363" priority="11">
      <formula>$E$199 = 0</formula>
    </cfRule>
    <cfRule type="expression" dxfId="2362" priority="12">
      <formula>$E$199 &lt; 0</formula>
    </cfRule>
  </conditionalFormatting>
  <conditionalFormatting sqref="G177:I178 H199:I199">
    <cfRule type="expression" dxfId="2361" priority="7">
      <formula>$H$199 &gt; 0</formula>
    </cfRule>
    <cfRule type="expression" dxfId="2360" priority="8">
      <formula>$H$199 = 0</formula>
    </cfRule>
    <cfRule type="expression" dxfId="2359" priority="9">
      <formula>$H$199 &lt; 0</formula>
    </cfRule>
  </conditionalFormatting>
  <conditionalFormatting sqref="J177:L178 K199:L199">
    <cfRule type="expression" dxfId="2358" priority="4">
      <formula>$K$199 &gt; 0</formula>
    </cfRule>
    <cfRule type="expression" dxfId="2357" priority="5">
      <formula>$K$199 = 0</formula>
    </cfRule>
    <cfRule type="expression" dxfId="2356" priority="6">
      <formula>$K$199 &lt; 0</formula>
    </cfRule>
  </conditionalFormatting>
  <conditionalFormatting sqref="M177:O178 N199:O199">
    <cfRule type="expression" dxfId="2355" priority="1">
      <formula>$N$199 &gt; 0</formula>
    </cfRule>
    <cfRule type="expression" dxfId="2354" priority="2">
      <formula>$N$199 = 0</formula>
    </cfRule>
    <cfRule type="expression" dxfId="235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18">
        <v>44410</v>
      </c>
      <c r="H1" s="219"/>
      <c r="I1" s="220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24" t="s">
        <v>46</v>
      </c>
      <c r="H2" s="225"/>
      <c r="I2" s="226"/>
      <c r="J2" s="1" t="s">
        <v>3</v>
      </c>
      <c r="K2" s="221" t="s">
        <v>320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27" t="s">
        <v>328</v>
      </c>
      <c r="C3" s="228"/>
      <c r="D3" s="228"/>
      <c r="E3" s="228"/>
      <c r="F3" s="229"/>
      <c r="G3" s="23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31"/>
      <c r="I3" s="232"/>
      <c r="J3" s="4" t="s">
        <v>7</v>
      </c>
      <c r="K3" s="227" t="s">
        <v>321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7" t="s">
        <v>16</v>
      </c>
      <c r="C4" s="228"/>
      <c r="D4" s="228"/>
      <c r="E4" s="228"/>
      <c r="F4" s="229"/>
      <c r="G4" s="224" t="s">
        <v>44</v>
      </c>
      <c r="H4" s="225"/>
      <c r="I4" s="226"/>
      <c r="J4" s="4" t="s">
        <v>11</v>
      </c>
      <c r="K4" s="227" t="s">
        <v>322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7" t="s">
        <v>319</v>
      </c>
      <c r="C5" s="228"/>
      <c r="D5" s="228"/>
      <c r="E5" s="228"/>
      <c r="F5" s="229"/>
      <c r="G5" s="23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31"/>
      <c r="I5" s="232"/>
      <c r="J5" s="4" t="s">
        <v>15</v>
      </c>
      <c r="K5" s="227" t="s">
        <v>323</v>
      </c>
      <c r="L5" s="228"/>
      <c r="M5" s="228"/>
      <c r="N5" s="228"/>
      <c r="O5" s="229"/>
    </row>
    <row r="6" spans="1:19">
      <c r="A6" s="118" t="s">
        <v>18</v>
      </c>
      <c r="B6" s="227"/>
      <c r="C6" s="228"/>
      <c r="D6" s="228"/>
      <c r="E6" s="228"/>
      <c r="F6" s="229"/>
      <c r="G6" s="224" t="s">
        <v>45</v>
      </c>
      <c r="H6" s="225"/>
      <c r="I6" s="226"/>
      <c r="J6" s="4" t="s">
        <v>18</v>
      </c>
      <c r="K6" s="227" t="s">
        <v>324</v>
      </c>
      <c r="L6" s="228"/>
      <c r="M6" s="228"/>
      <c r="N6" s="228"/>
      <c r="O6" s="229"/>
    </row>
    <row r="7" spans="1:19" ht="17.25" thickBot="1">
      <c r="A7" s="118" t="s">
        <v>21</v>
      </c>
      <c r="B7" s="227"/>
      <c r="C7" s="228"/>
      <c r="D7" s="228"/>
      <c r="E7" s="228"/>
      <c r="F7" s="229"/>
      <c r="G7" s="23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31"/>
      <c r="I7" s="232"/>
      <c r="J7" s="4" t="s">
        <v>21</v>
      </c>
      <c r="K7" s="227" t="s">
        <v>325</v>
      </c>
      <c r="L7" s="228"/>
      <c r="M7" s="228"/>
      <c r="N7" s="228"/>
      <c r="O7" s="229"/>
    </row>
    <row r="8" spans="1:19" ht="17.25" thickBot="1">
      <c r="A8" s="118" t="s">
        <v>24</v>
      </c>
      <c r="B8" s="227"/>
      <c r="C8" s="228"/>
      <c r="D8" s="228"/>
      <c r="E8" s="228"/>
      <c r="F8" s="229"/>
      <c r="G8" s="224" t="s">
        <v>255</v>
      </c>
      <c r="H8" s="225"/>
      <c r="I8" s="226"/>
      <c r="J8" s="4" t="s">
        <v>24</v>
      </c>
      <c r="K8" s="227"/>
      <c r="L8" s="228"/>
      <c r="M8" s="228"/>
      <c r="N8" s="228"/>
      <c r="O8" s="229"/>
      <c r="Q8" s="215" t="s">
        <v>27</v>
      </c>
      <c r="R8" s="217"/>
    </row>
    <row r="9" spans="1:19" ht="17.25" thickBot="1">
      <c r="A9" s="118" t="s">
        <v>28</v>
      </c>
      <c r="B9" s="227"/>
      <c r="C9" s="228"/>
      <c r="D9" s="228"/>
      <c r="E9" s="228"/>
      <c r="F9" s="229"/>
      <c r="G9" s="23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31"/>
      <c r="I9" s="232"/>
      <c r="J9" s="4" t="s">
        <v>28</v>
      </c>
      <c r="K9" s="227"/>
      <c r="L9" s="228"/>
      <c r="M9" s="228"/>
      <c r="N9" s="228"/>
      <c r="O9" s="229"/>
      <c r="Q9" s="2" t="s">
        <v>29</v>
      </c>
      <c r="R9" s="6">
        <v>10</v>
      </c>
    </row>
    <row r="10" spans="1:19">
      <c r="A10" s="118" t="s">
        <v>30</v>
      </c>
      <c r="B10" s="227"/>
      <c r="C10" s="228"/>
      <c r="D10" s="228"/>
      <c r="E10" s="228"/>
      <c r="F10" s="229"/>
      <c r="G10" s="224" t="s">
        <v>47</v>
      </c>
      <c r="H10" s="225"/>
      <c r="I10" s="226"/>
      <c r="J10" s="4" t="s">
        <v>30</v>
      </c>
      <c r="K10" s="227" t="s">
        <v>326</v>
      </c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1"/>
      <c r="I11" s="232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36"/>
      <c r="R13" s="236"/>
      <c r="S13" s="236"/>
    </row>
    <row r="14" spans="1:19" ht="17.25" customHeight="1" thickBot="1">
      <c r="A14" s="161" t="s">
        <v>35</v>
      </c>
      <c r="B14" s="215" t="s">
        <v>36</v>
      </c>
      <c r="C14" s="217"/>
      <c r="D14" s="215" t="s">
        <v>37</v>
      </c>
      <c r="E14" s="216"/>
      <c r="F14" s="217"/>
      <c r="G14" s="242">
        <f>_xlfn.IFNA(VLOOKUP(B14, 현재가테이블!$B$2:$D$200, 2, FALSE), "-")</f>
        <v>53976000</v>
      </c>
      <c r="H14" s="243"/>
      <c r="I14" s="244"/>
      <c r="J14" s="215" t="s">
        <v>38</v>
      </c>
      <c r="K14" s="216"/>
      <c r="L14" s="217"/>
      <c r="M14" s="245">
        <f>_xlfn.IFNA(VLOOKUP(B14, 현재가테이블!$B$2:$D$200, 3, FALSE), "-")</f>
        <v>-2.1216407400000001E-2</v>
      </c>
      <c r="N14" s="246"/>
      <c r="O14" s="247"/>
      <c r="Q14" s="236"/>
      <c r="R14" s="236"/>
      <c r="S14" s="236"/>
    </row>
    <row r="15" spans="1:19" ht="17.25" customHeight="1" thickBot="1">
      <c r="A15" s="280" t="s">
        <v>39</v>
      </c>
      <c r="B15" s="281" t="str">
        <f>TEXT($G$1, "[$-ko-KR]yyyy-mm-dd(ddd) ") &amp; "오전 00:00"</f>
        <v>2021-08-02(월) 오전 00:00</v>
      </c>
      <c r="C15" s="282"/>
      <c r="D15" s="238" t="str">
        <f>TEXT($G$1, "[$-ko-KR]yyyy-mm-dd(ddd) ") &amp; "오후 14:00"</f>
        <v>2021-08-02(월) 오후 14:00</v>
      </c>
      <c r="E15" s="239"/>
      <c r="F15" s="240"/>
      <c r="G15" s="238" t="str">
        <f>TEXT($G$1, "[$-ko-KR]yyyy-mm-dd(ddd) ") &amp; "오후 19:00"</f>
        <v>2021-08-02(월) 오후 19:00</v>
      </c>
      <c r="H15" s="239"/>
      <c r="I15" s="240"/>
      <c r="J15" s="238" t="str">
        <f>TEXT($G$1, "[$-ko-KR]yyyy-mm-dd(ddd) ") &amp; "오후 21:00"</f>
        <v>2021-08-02(월) 오후 21:00</v>
      </c>
      <c r="K15" s="239"/>
      <c r="L15" s="240"/>
      <c r="M15" s="238" t="str">
        <f>TEXT($G$1+1, "[$-ko-KR]yyyy-mm-dd(ddd) ") &amp; "오전 00:00"</f>
        <v>2021-08-03(화) 오전 00:00</v>
      </c>
      <c r="N15" s="239"/>
      <c r="O15" s="240"/>
      <c r="Q15" s="236"/>
      <c r="R15" s="236"/>
      <c r="S15" s="236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1"/>
      <c r="R16" s="241"/>
      <c r="S16" s="24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6"/>
      <c r="R17" s="236"/>
      <c r="S17" s="23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6"/>
      <c r="R18" s="236"/>
      <c r="S18" s="23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1"/>
      <c r="R19" s="241"/>
      <c r="S19" s="24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1"/>
      <c r="R20" s="241"/>
      <c r="S20" s="24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1"/>
      <c r="R21" s="241"/>
      <c r="S21" s="24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1"/>
      <c r="R22" s="241"/>
      <c r="S22" s="24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1"/>
      <c r="R23" s="241"/>
      <c r="S23" s="24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1"/>
      <c r="R24" s="241"/>
      <c r="S24" s="24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0"/>
      <c r="R26" s="251"/>
      <c r="S26" s="25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3"/>
      <c r="R27" s="254"/>
      <c r="S27" s="25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6"/>
      <c r="R28" s="257"/>
      <c r="S28" s="25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1"/>
      <c r="R29" s="241"/>
      <c r="S29" s="24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6"/>
      <c r="R30" s="236"/>
      <c r="S30" s="23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6"/>
      <c r="R31" s="236"/>
      <c r="S31" s="23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1"/>
      <c r="R32" s="241"/>
      <c r="S32" s="24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1"/>
      <c r="R33" s="241"/>
      <c r="S33" s="24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1"/>
      <c r="R34" s="241"/>
      <c r="S34" s="24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3"/>
      <c r="R35" s="264"/>
      <c r="S35" s="26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6"/>
      <c r="R36" s="267"/>
      <c r="S36" s="268"/>
    </row>
    <row r="37" spans="1:19" ht="17.25" customHeight="1" thickBot="1">
      <c r="A37" s="132" t="s">
        <v>42</v>
      </c>
      <c r="B37" s="274">
        <v>100000</v>
      </c>
      <c r="C37" s="27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9"/>
      <c r="R37" s="270"/>
      <c r="S37" s="27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36"/>
      <c r="R40" s="236"/>
      <c r="S40" s="236"/>
    </row>
    <row r="41" spans="1:19" ht="17.25" customHeight="1" thickBot="1">
      <c r="A41" s="161" t="s">
        <v>267</v>
      </c>
      <c r="B41" s="215" t="s">
        <v>49</v>
      </c>
      <c r="C41" s="217"/>
      <c r="D41" s="215" t="s">
        <v>58</v>
      </c>
      <c r="E41" s="216"/>
      <c r="F41" s="217"/>
      <c r="G41" s="242">
        <f>_xlfn.IFNA(VLOOKUP(B41, 현재가테이블!$B$2:$D$200, 2, FALSE), "-")</f>
        <v>53976000</v>
      </c>
      <c r="H41" s="243"/>
      <c r="I41" s="244"/>
      <c r="J41" s="215" t="s">
        <v>59</v>
      </c>
      <c r="K41" s="216"/>
      <c r="L41" s="217"/>
      <c r="M41" s="245">
        <f>_xlfn.IFNA(VLOOKUP(B41, 현재가테이블!$B$2:$D$200, 3, FALSE), "-")</f>
        <v>-2.1216407400000001E-2</v>
      </c>
      <c r="N41" s="246"/>
      <c r="O41" s="247"/>
      <c r="Q41" s="236"/>
      <c r="R41" s="236"/>
      <c r="S41" s="236"/>
    </row>
    <row r="42" spans="1:19" ht="17.25" customHeight="1" thickBot="1">
      <c r="A42" s="276" t="s">
        <v>55</v>
      </c>
      <c r="B42" s="278" t="str">
        <f>TEXT($G$1, "[$-ko-KR]yyyy-mm-dd(ddd) ") &amp; "오전 00:00"</f>
        <v>2021-08-02(월) 오전 00:00</v>
      </c>
      <c r="C42" s="279"/>
      <c r="D42" s="238" t="str">
        <f>TEXT($G$1, "[$-ko-KR]yyyy-mm-dd(ddd) ") &amp; "오후 14:00"</f>
        <v>2021-08-02(월) 오후 14:00</v>
      </c>
      <c r="E42" s="239"/>
      <c r="F42" s="240"/>
      <c r="G42" s="238" t="str">
        <f>TEXT($G$1, "[$-ko-KR]yyyy-mm-dd(ddd) ") &amp; "오후 19:00"</f>
        <v>2021-08-02(월) 오후 19:00</v>
      </c>
      <c r="H42" s="239"/>
      <c r="I42" s="240"/>
      <c r="J42" s="238" t="str">
        <f>TEXT($G$1, "[$-ko-KR]yyyy-mm-dd(ddd) ") &amp; "오후 21:00"</f>
        <v>2021-08-02(월) 오후 21:00</v>
      </c>
      <c r="K42" s="239"/>
      <c r="L42" s="240"/>
      <c r="M42" s="238" t="str">
        <f>TEXT($G$1+1, "[$-ko-KR]yyyy-mm-dd(ddd) ") &amp; "오전 00:00"</f>
        <v>2021-08-03(화) 오전 00:00</v>
      </c>
      <c r="N42" s="239"/>
      <c r="O42" s="240"/>
      <c r="Q42" s="236"/>
      <c r="R42" s="236"/>
      <c r="S42" s="236"/>
    </row>
    <row r="43" spans="1:19" ht="17.25" customHeight="1" thickBot="1">
      <c r="A43" s="27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1"/>
      <c r="R43" s="241"/>
      <c r="S43" s="241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36"/>
      <c r="R44" s="236"/>
      <c r="S44" s="236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36"/>
      <c r="R45" s="236"/>
      <c r="S45" s="236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41"/>
      <c r="R46" s="241"/>
      <c r="S46" s="241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41"/>
      <c r="R47" s="241"/>
      <c r="S47" s="241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41"/>
      <c r="R48" s="241"/>
      <c r="S48" s="241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41"/>
      <c r="R49" s="241"/>
      <c r="S49" s="241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41"/>
      <c r="R50" s="241"/>
      <c r="S50" s="241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41"/>
      <c r="R51" s="241"/>
      <c r="S51" s="241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50"/>
      <c r="R53" s="251"/>
      <c r="S53" s="252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53"/>
      <c r="R54" s="254"/>
      <c r="S54" s="255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56"/>
      <c r="R55" s="257"/>
      <c r="S55" s="258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41"/>
      <c r="R56" s="241"/>
      <c r="S56" s="241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36"/>
      <c r="R57" s="236"/>
      <c r="S57" s="236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36"/>
      <c r="R58" s="236"/>
      <c r="S58" s="236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41"/>
      <c r="R59" s="241"/>
      <c r="S59" s="241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41"/>
      <c r="R60" s="241"/>
      <c r="S60" s="241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41"/>
      <c r="R61" s="241"/>
      <c r="S61" s="241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63"/>
      <c r="R62" s="264"/>
      <c r="S62" s="265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66"/>
      <c r="R63" s="267"/>
      <c r="S63" s="268"/>
    </row>
    <row r="64" spans="1:19" ht="17.25" customHeight="1" thickBot="1">
      <c r="A64" s="132" t="s">
        <v>270</v>
      </c>
      <c r="B64" s="274">
        <f>$B$37</f>
        <v>100000</v>
      </c>
      <c r="C64" s="275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69"/>
      <c r="R64" s="270"/>
      <c r="S64" s="27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36"/>
      <c r="R67" s="236"/>
      <c r="S67" s="236"/>
    </row>
    <row r="68" spans="1:19" ht="17.25" thickBot="1">
      <c r="A68" s="161" t="s">
        <v>267</v>
      </c>
      <c r="B68" s="215" t="s">
        <v>49</v>
      </c>
      <c r="C68" s="217"/>
      <c r="D68" s="215" t="s">
        <v>58</v>
      </c>
      <c r="E68" s="216"/>
      <c r="F68" s="217"/>
      <c r="G68" s="242">
        <f>_xlfn.IFNA(VLOOKUP(B68, 현재가테이블!$B$2:$D$200, 2, FALSE), "-")</f>
        <v>53976000</v>
      </c>
      <c r="H68" s="243"/>
      <c r="I68" s="244"/>
      <c r="J68" s="215" t="s">
        <v>59</v>
      </c>
      <c r="K68" s="216"/>
      <c r="L68" s="217"/>
      <c r="M68" s="245">
        <f>_xlfn.IFNA(VLOOKUP(B68, 현재가테이블!$B$2:$D$200, 3, FALSE), "-")</f>
        <v>-2.1216407400000001E-2</v>
      </c>
      <c r="N68" s="246"/>
      <c r="O68" s="247"/>
      <c r="Q68" s="236"/>
      <c r="R68" s="236"/>
      <c r="S68" s="236"/>
    </row>
    <row r="69" spans="1:19" ht="17.25" thickBot="1">
      <c r="A69" s="276" t="s">
        <v>55</v>
      </c>
      <c r="B69" s="278" t="str">
        <f>TEXT($G$1, "[$-ko-KR]yyyy-mm-dd(ddd) ") &amp; "오전 00:00"</f>
        <v>2021-08-02(월) 오전 00:00</v>
      </c>
      <c r="C69" s="279"/>
      <c r="D69" s="238" t="str">
        <f>TEXT($G$1, "[$-ko-KR]yyyy-mm-dd(ddd) ") &amp; "오후 14:00"</f>
        <v>2021-08-02(월) 오후 14:00</v>
      </c>
      <c r="E69" s="239"/>
      <c r="F69" s="240"/>
      <c r="G69" s="238" t="str">
        <f>TEXT($G$1, "[$-ko-KR]yyyy-mm-dd(ddd) ") &amp; "오후 19:00"</f>
        <v>2021-08-02(월) 오후 19:00</v>
      </c>
      <c r="H69" s="239"/>
      <c r="I69" s="240"/>
      <c r="J69" s="238" t="str">
        <f>TEXT($G$1, "[$-ko-KR]yyyy-mm-dd(ddd) ") &amp; "오후 21:00"</f>
        <v>2021-08-02(월) 오후 21:00</v>
      </c>
      <c r="K69" s="239"/>
      <c r="L69" s="240"/>
      <c r="M69" s="238" t="str">
        <f>TEXT($G$1+1, "[$-ko-KR]yyyy-mm-dd(ddd) ") &amp; "오전 00:00"</f>
        <v>2021-08-03(화) 오전 00:00</v>
      </c>
      <c r="N69" s="239"/>
      <c r="O69" s="240"/>
      <c r="Q69" s="236"/>
      <c r="R69" s="236"/>
      <c r="S69" s="236"/>
    </row>
    <row r="70" spans="1:19" ht="17.25" thickBot="1">
      <c r="A70" s="27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1"/>
      <c r="R70" s="241"/>
      <c r="S70" s="241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36"/>
      <c r="R71" s="236"/>
      <c r="S71" s="236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36"/>
      <c r="R72" s="236"/>
      <c r="S72" s="236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41"/>
      <c r="R73" s="241"/>
      <c r="S73" s="241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41"/>
      <c r="R74" s="241"/>
      <c r="S74" s="241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41"/>
      <c r="R75" s="241"/>
      <c r="S75" s="241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41"/>
      <c r="R76" s="241"/>
      <c r="S76" s="241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41"/>
      <c r="R77" s="241"/>
      <c r="S77" s="241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41"/>
      <c r="R78" s="241"/>
      <c r="S78" s="241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50"/>
      <c r="R80" s="251"/>
      <c r="S80" s="252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53"/>
      <c r="R81" s="254"/>
      <c r="S81" s="255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56"/>
      <c r="R82" s="257"/>
      <c r="S82" s="258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41"/>
      <c r="R83" s="241"/>
      <c r="S83" s="241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36"/>
      <c r="R84" s="236"/>
      <c r="S84" s="236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36"/>
      <c r="R85" s="236"/>
      <c r="S85" s="236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41"/>
      <c r="R86" s="241"/>
      <c r="S86" s="241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41"/>
      <c r="R87" s="241"/>
      <c r="S87" s="241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41"/>
      <c r="R88" s="241"/>
      <c r="S88" s="241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63"/>
      <c r="R89" s="264"/>
      <c r="S89" s="265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66"/>
      <c r="R90" s="267"/>
      <c r="S90" s="268"/>
    </row>
    <row r="91" spans="1:19" ht="17.25" thickBot="1">
      <c r="A91" s="132" t="s">
        <v>270</v>
      </c>
      <c r="B91" s="274">
        <f>$B$37</f>
        <v>100000</v>
      </c>
      <c r="C91" s="275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69"/>
      <c r="R91" s="270"/>
      <c r="S91" s="27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36"/>
      <c r="R94" s="236"/>
      <c r="S94" s="236"/>
    </row>
    <row r="95" spans="1:19" ht="17.25" thickBot="1">
      <c r="A95" s="161" t="s">
        <v>267</v>
      </c>
      <c r="B95" s="215" t="s">
        <v>49</v>
      </c>
      <c r="C95" s="217"/>
      <c r="D95" s="215" t="s">
        <v>58</v>
      </c>
      <c r="E95" s="216"/>
      <c r="F95" s="217"/>
      <c r="G95" s="242">
        <f>_xlfn.IFNA(VLOOKUP(B95, 현재가테이블!$B$2:$D$200, 2, FALSE), "-")</f>
        <v>53976000</v>
      </c>
      <c r="H95" s="243"/>
      <c r="I95" s="244"/>
      <c r="J95" s="215" t="s">
        <v>59</v>
      </c>
      <c r="K95" s="216"/>
      <c r="L95" s="217"/>
      <c r="M95" s="245">
        <f>_xlfn.IFNA(VLOOKUP(B95, 현재가테이블!$B$2:$D$200, 3, FALSE), "-")</f>
        <v>-2.1216407400000001E-2</v>
      </c>
      <c r="N95" s="246"/>
      <c r="O95" s="247"/>
      <c r="Q95" s="236"/>
      <c r="R95" s="236"/>
      <c r="S95" s="236"/>
    </row>
    <row r="96" spans="1:19" ht="17.25" thickBot="1">
      <c r="A96" s="276" t="s">
        <v>55</v>
      </c>
      <c r="B96" s="278" t="str">
        <f>TEXT($G$1, "[$-ko-KR]yyyy-mm-dd(ddd) ") &amp; "오전 00:00"</f>
        <v>2021-08-02(월) 오전 00:00</v>
      </c>
      <c r="C96" s="279"/>
      <c r="D96" s="238" t="str">
        <f>TEXT($G$1, "[$-ko-KR]yyyy-mm-dd(ddd) ") &amp; "오후 14:00"</f>
        <v>2021-08-02(월) 오후 14:00</v>
      </c>
      <c r="E96" s="239"/>
      <c r="F96" s="240"/>
      <c r="G96" s="238" t="str">
        <f>TEXT($G$1, "[$-ko-KR]yyyy-mm-dd(ddd) ") &amp; "오후 19:00"</f>
        <v>2021-08-02(월) 오후 19:00</v>
      </c>
      <c r="H96" s="239"/>
      <c r="I96" s="240"/>
      <c r="J96" s="238" t="str">
        <f>TEXT($G$1, "[$-ko-KR]yyyy-mm-dd(ddd) ") &amp; "오후 21:00"</f>
        <v>2021-08-02(월) 오후 21:00</v>
      </c>
      <c r="K96" s="239"/>
      <c r="L96" s="240"/>
      <c r="M96" s="238" t="str">
        <f>TEXT($G$1+1, "[$-ko-KR]yyyy-mm-dd(ddd) ") &amp; "오전 00:00"</f>
        <v>2021-08-03(화) 오전 00:00</v>
      </c>
      <c r="N96" s="239"/>
      <c r="O96" s="240"/>
      <c r="Q96" s="236"/>
      <c r="R96" s="236"/>
      <c r="S96" s="236"/>
    </row>
    <row r="97" spans="1:19" ht="17.25" thickBot="1">
      <c r="A97" s="27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1"/>
      <c r="R97" s="241"/>
      <c r="S97" s="241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36"/>
      <c r="R98" s="236"/>
      <c r="S98" s="236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36"/>
      <c r="R99" s="236"/>
      <c r="S99" s="236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41"/>
      <c r="R100" s="241"/>
      <c r="S100" s="241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41"/>
      <c r="R101" s="241"/>
      <c r="S101" s="241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41"/>
      <c r="R102" s="241"/>
      <c r="S102" s="241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41"/>
      <c r="R103" s="241"/>
      <c r="S103" s="241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41"/>
      <c r="R104" s="241"/>
      <c r="S104" s="241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41"/>
      <c r="R105" s="241"/>
      <c r="S105" s="241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50"/>
      <c r="R107" s="251"/>
      <c r="S107" s="252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53"/>
      <c r="R108" s="254"/>
      <c r="S108" s="255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56"/>
      <c r="R109" s="257"/>
      <c r="S109" s="258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41"/>
      <c r="R110" s="241"/>
      <c r="S110" s="241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36"/>
      <c r="R111" s="236"/>
      <c r="S111" s="236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36"/>
      <c r="R112" s="236"/>
      <c r="S112" s="236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41"/>
      <c r="R113" s="241"/>
      <c r="S113" s="241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41"/>
      <c r="R114" s="241"/>
      <c r="S114" s="241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41"/>
      <c r="R115" s="241"/>
      <c r="S115" s="241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63"/>
      <c r="R116" s="264"/>
      <c r="S116" s="265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66"/>
      <c r="R117" s="267"/>
      <c r="S117" s="268"/>
    </row>
    <row r="118" spans="1:19" ht="17.25" thickBot="1">
      <c r="A118" s="132" t="s">
        <v>270</v>
      </c>
      <c r="B118" s="274">
        <f>$B$37</f>
        <v>100000</v>
      </c>
      <c r="C118" s="275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69"/>
      <c r="R118" s="270"/>
      <c r="S118" s="27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36"/>
      <c r="R121" s="236"/>
      <c r="S121" s="236"/>
    </row>
    <row r="122" spans="1:19" ht="17.25" thickBot="1">
      <c r="A122" s="161" t="s">
        <v>267</v>
      </c>
      <c r="B122" s="215" t="s">
        <v>49</v>
      </c>
      <c r="C122" s="217"/>
      <c r="D122" s="215" t="s">
        <v>58</v>
      </c>
      <c r="E122" s="216"/>
      <c r="F122" s="217"/>
      <c r="G122" s="242">
        <f>_xlfn.IFNA(VLOOKUP(B122, 현재가테이블!$B$2:$D$200, 2, FALSE), "-")</f>
        <v>53976000</v>
      </c>
      <c r="H122" s="243"/>
      <c r="I122" s="244"/>
      <c r="J122" s="215" t="s">
        <v>59</v>
      </c>
      <c r="K122" s="216"/>
      <c r="L122" s="217"/>
      <c r="M122" s="245">
        <f>_xlfn.IFNA(VLOOKUP(B122, 현재가테이블!$B$2:$D$200, 3, FALSE), "-")</f>
        <v>-2.1216407400000001E-2</v>
      </c>
      <c r="N122" s="246"/>
      <c r="O122" s="247"/>
      <c r="Q122" s="236"/>
      <c r="R122" s="236"/>
      <c r="S122" s="236"/>
    </row>
    <row r="123" spans="1:19" ht="17.25" thickBot="1">
      <c r="A123" s="276" t="s">
        <v>55</v>
      </c>
      <c r="B123" s="278" t="str">
        <f>TEXT($G$1, "[$-ko-KR]yyyy-mm-dd(ddd) ") &amp; "오전 00:00"</f>
        <v>2021-08-02(월) 오전 00:00</v>
      </c>
      <c r="C123" s="279"/>
      <c r="D123" s="238" t="str">
        <f>TEXT($G$1, "[$-ko-KR]yyyy-mm-dd(ddd) ") &amp; "오후 14:00"</f>
        <v>2021-08-02(월) 오후 14:00</v>
      </c>
      <c r="E123" s="239"/>
      <c r="F123" s="240"/>
      <c r="G123" s="238" t="str">
        <f>TEXT($G$1, "[$-ko-KR]yyyy-mm-dd(ddd) ") &amp; "오후 19:00"</f>
        <v>2021-08-02(월) 오후 19:00</v>
      </c>
      <c r="H123" s="239"/>
      <c r="I123" s="240"/>
      <c r="J123" s="238" t="str">
        <f>TEXT($G$1, "[$-ko-KR]yyyy-mm-dd(ddd) ") &amp; "오후 21:00"</f>
        <v>2021-08-02(월) 오후 21:00</v>
      </c>
      <c r="K123" s="239"/>
      <c r="L123" s="240"/>
      <c r="M123" s="238" t="str">
        <f>TEXT($G$1+1, "[$-ko-KR]yyyy-mm-dd(ddd) ") &amp; "오전 00:00"</f>
        <v>2021-08-03(화) 오전 00:00</v>
      </c>
      <c r="N123" s="239"/>
      <c r="O123" s="240"/>
      <c r="Q123" s="236"/>
      <c r="R123" s="236"/>
      <c r="S123" s="236"/>
    </row>
    <row r="124" spans="1:19" ht="17.25" thickBot="1">
      <c r="A124" s="27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1"/>
      <c r="R124" s="241"/>
      <c r="S124" s="241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36"/>
      <c r="R125" s="236"/>
      <c r="S125" s="236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36"/>
      <c r="R126" s="236"/>
      <c r="S126" s="236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41"/>
      <c r="R127" s="241"/>
      <c r="S127" s="241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41"/>
      <c r="R128" s="241"/>
      <c r="S128" s="241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41"/>
      <c r="R129" s="241"/>
      <c r="S129" s="241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41"/>
      <c r="R130" s="241"/>
      <c r="S130" s="241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41"/>
      <c r="R131" s="241"/>
      <c r="S131" s="241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41"/>
      <c r="R132" s="241"/>
      <c r="S132" s="241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50"/>
      <c r="R134" s="251"/>
      <c r="S134" s="252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53"/>
      <c r="R135" s="254"/>
      <c r="S135" s="255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56"/>
      <c r="R136" s="257"/>
      <c r="S136" s="258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41"/>
      <c r="R137" s="241"/>
      <c r="S137" s="241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36"/>
      <c r="R138" s="236"/>
      <c r="S138" s="236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36"/>
      <c r="R139" s="236"/>
      <c r="S139" s="236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41"/>
      <c r="R140" s="241"/>
      <c r="S140" s="241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41"/>
      <c r="R141" s="241"/>
      <c r="S141" s="241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41"/>
      <c r="R142" s="241"/>
      <c r="S142" s="241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63"/>
      <c r="R143" s="264"/>
      <c r="S143" s="265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66"/>
      <c r="R144" s="267"/>
      <c r="S144" s="268"/>
    </row>
    <row r="145" spans="1:19" ht="17.25" thickBot="1">
      <c r="A145" s="132" t="s">
        <v>270</v>
      </c>
      <c r="B145" s="274">
        <f>$B$37</f>
        <v>100000</v>
      </c>
      <c r="C145" s="275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69"/>
      <c r="R145" s="270"/>
      <c r="S145" s="27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36"/>
      <c r="R148" s="236"/>
      <c r="S148" s="236"/>
    </row>
    <row r="149" spans="1:19" ht="17.25" thickBot="1">
      <c r="A149" s="161" t="s">
        <v>267</v>
      </c>
      <c r="B149" s="215" t="s">
        <v>49</v>
      </c>
      <c r="C149" s="217"/>
      <c r="D149" s="215" t="s">
        <v>58</v>
      </c>
      <c r="E149" s="216"/>
      <c r="F149" s="217"/>
      <c r="G149" s="242">
        <f>_xlfn.IFNA(VLOOKUP(B149, 현재가테이블!$B$2:$D$200, 2, FALSE), "-")</f>
        <v>53976000</v>
      </c>
      <c r="H149" s="243"/>
      <c r="I149" s="244"/>
      <c r="J149" s="215" t="s">
        <v>59</v>
      </c>
      <c r="K149" s="216"/>
      <c r="L149" s="217"/>
      <c r="M149" s="245">
        <f>_xlfn.IFNA(VLOOKUP(B149, 현재가테이블!$B$2:$D$200, 3, FALSE), "-")</f>
        <v>-2.1216407400000001E-2</v>
      </c>
      <c r="N149" s="246"/>
      <c r="O149" s="247"/>
      <c r="Q149" s="236"/>
      <c r="R149" s="236"/>
      <c r="S149" s="236"/>
    </row>
    <row r="150" spans="1:19" ht="17.25" thickBot="1">
      <c r="A150" s="276" t="s">
        <v>55</v>
      </c>
      <c r="B150" s="278" t="str">
        <f>TEXT($G$1, "[$-ko-KR]yyyy-mm-dd(ddd) ") &amp; "오전 00:00"</f>
        <v>2021-08-02(월) 오전 00:00</v>
      </c>
      <c r="C150" s="279"/>
      <c r="D150" s="238" t="str">
        <f>TEXT($G$1, "[$-ko-KR]yyyy-mm-dd(ddd) ") &amp; "오후 14:00"</f>
        <v>2021-08-02(월) 오후 14:00</v>
      </c>
      <c r="E150" s="239"/>
      <c r="F150" s="240"/>
      <c r="G150" s="238" t="str">
        <f>TEXT($G$1, "[$-ko-KR]yyyy-mm-dd(ddd) ") &amp; "오후 19:00"</f>
        <v>2021-08-02(월) 오후 19:00</v>
      </c>
      <c r="H150" s="239"/>
      <c r="I150" s="240"/>
      <c r="J150" s="238" t="str">
        <f>TEXT($G$1, "[$-ko-KR]yyyy-mm-dd(ddd) ") &amp; "오후 21:00"</f>
        <v>2021-08-02(월) 오후 21:00</v>
      </c>
      <c r="K150" s="239"/>
      <c r="L150" s="240"/>
      <c r="M150" s="238" t="str">
        <f>TEXT($G$1+1, "[$-ko-KR]yyyy-mm-dd(ddd) ") &amp; "오전 00:00"</f>
        <v>2021-08-03(화) 오전 00:00</v>
      </c>
      <c r="N150" s="239"/>
      <c r="O150" s="240"/>
      <c r="Q150" s="236"/>
      <c r="R150" s="236"/>
      <c r="S150" s="236"/>
    </row>
    <row r="151" spans="1:19" ht="17.25" thickBot="1">
      <c r="A151" s="27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1"/>
      <c r="R151" s="241"/>
      <c r="S151" s="241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36"/>
      <c r="R152" s="236"/>
      <c r="S152" s="236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36"/>
      <c r="R153" s="236"/>
      <c r="S153" s="236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41"/>
      <c r="R154" s="241"/>
      <c r="S154" s="241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41"/>
      <c r="R155" s="241"/>
      <c r="S155" s="241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41"/>
      <c r="R156" s="241"/>
      <c r="S156" s="241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41"/>
      <c r="R157" s="241"/>
      <c r="S157" s="241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41"/>
      <c r="R158" s="241"/>
      <c r="S158" s="241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41"/>
      <c r="R159" s="241"/>
      <c r="S159" s="241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50"/>
      <c r="R161" s="251"/>
      <c r="S161" s="252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53"/>
      <c r="R162" s="254"/>
      <c r="S162" s="255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56"/>
      <c r="R163" s="257"/>
      <c r="S163" s="258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41"/>
      <c r="R164" s="241"/>
      <c r="S164" s="241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36"/>
      <c r="R165" s="236"/>
      <c r="S165" s="236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36"/>
      <c r="R166" s="236"/>
      <c r="S166" s="236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41"/>
      <c r="R167" s="241"/>
      <c r="S167" s="241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41"/>
      <c r="R168" s="241"/>
      <c r="S168" s="241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41"/>
      <c r="R169" s="241"/>
      <c r="S169" s="241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63"/>
      <c r="R170" s="264"/>
      <c r="S170" s="265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66"/>
      <c r="R171" s="267"/>
      <c r="S171" s="268"/>
    </row>
    <row r="172" spans="1:19" ht="17.25" thickBot="1">
      <c r="A172" s="132" t="s">
        <v>270</v>
      </c>
      <c r="B172" s="274">
        <f>$B$37</f>
        <v>100000</v>
      </c>
      <c r="C172" s="275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69"/>
      <c r="R172" s="270"/>
      <c r="S172" s="27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36"/>
      <c r="R175" s="236"/>
      <c r="S175" s="236"/>
    </row>
    <row r="176" spans="1:19" ht="17.25" thickBot="1">
      <c r="A176" s="161" t="s">
        <v>267</v>
      </c>
      <c r="B176" s="215" t="s">
        <v>49</v>
      </c>
      <c r="C176" s="217"/>
      <c r="D176" s="215" t="s">
        <v>58</v>
      </c>
      <c r="E176" s="216"/>
      <c r="F176" s="217"/>
      <c r="G176" s="242">
        <f>_xlfn.IFNA(VLOOKUP(B176, 현재가테이블!$B$2:$D$200, 2, FALSE), "-")</f>
        <v>53976000</v>
      </c>
      <c r="H176" s="243"/>
      <c r="I176" s="244"/>
      <c r="J176" s="215" t="s">
        <v>59</v>
      </c>
      <c r="K176" s="216"/>
      <c r="L176" s="217"/>
      <c r="M176" s="245">
        <f>_xlfn.IFNA(VLOOKUP(B176, 현재가테이블!$B$2:$D$200, 3, FALSE), "-")</f>
        <v>-2.1216407400000001E-2</v>
      </c>
      <c r="N176" s="246"/>
      <c r="O176" s="247"/>
      <c r="Q176" s="236"/>
      <c r="R176" s="236"/>
      <c r="S176" s="236"/>
    </row>
    <row r="177" spans="1:19" ht="17.25" thickBot="1">
      <c r="A177" s="276" t="s">
        <v>55</v>
      </c>
      <c r="B177" s="278" t="str">
        <f>TEXT($G$1, "[$-ko-KR]yyyy-mm-dd(ddd) ") &amp; "오전 00:00"</f>
        <v>2021-08-02(월) 오전 00:00</v>
      </c>
      <c r="C177" s="279"/>
      <c r="D177" s="238" t="str">
        <f>TEXT($G$1, "[$-ko-KR]yyyy-mm-dd(ddd) ") &amp; "오후 14:00"</f>
        <v>2021-08-02(월) 오후 14:00</v>
      </c>
      <c r="E177" s="239"/>
      <c r="F177" s="240"/>
      <c r="G177" s="238" t="str">
        <f>TEXT($G$1, "[$-ko-KR]yyyy-mm-dd(ddd) ") &amp; "오후 19:00"</f>
        <v>2021-08-02(월) 오후 19:00</v>
      </c>
      <c r="H177" s="239"/>
      <c r="I177" s="240"/>
      <c r="J177" s="238" t="str">
        <f>TEXT($G$1, "[$-ko-KR]yyyy-mm-dd(ddd) ") &amp; "오후 21:00"</f>
        <v>2021-08-02(월) 오후 21:00</v>
      </c>
      <c r="K177" s="239"/>
      <c r="L177" s="240"/>
      <c r="M177" s="238" t="str">
        <f>TEXT($G$1+1, "[$-ko-KR]yyyy-mm-dd(ddd) ") &amp; "오전 00:00"</f>
        <v>2021-08-03(화) 오전 00:00</v>
      </c>
      <c r="N177" s="239"/>
      <c r="O177" s="240"/>
      <c r="Q177" s="236"/>
      <c r="R177" s="236"/>
      <c r="S177" s="236"/>
    </row>
    <row r="178" spans="1:19" ht="17.25" thickBot="1">
      <c r="A178" s="27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1"/>
      <c r="R178" s="241"/>
      <c r="S178" s="241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36"/>
      <c r="R179" s="236"/>
      <c r="S179" s="236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36"/>
      <c r="R180" s="236"/>
      <c r="S180" s="236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41"/>
      <c r="R181" s="241"/>
      <c r="S181" s="241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41"/>
      <c r="R182" s="241"/>
      <c r="S182" s="241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41"/>
      <c r="R183" s="241"/>
      <c r="S183" s="241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41"/>
      <c r="R184" s="241"/>
      <c r="S184" s="241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41"/>
      <c r="R185" s="241"/>
      <c r="S185" s="241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41"/>
      <c r="R186" s="241"/>
      <c r="S186" s="241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50"/>
      <c r="R188" s="251"/>
      <c r="S188" s="252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53"/>
      <c r="R189" s="254"/>
      <c r="S189" s="255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56"/>
      <c r="R190" s="257"/>
      <c r="S190" s="258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41"/>
      <c r="R191" s="241"/>
      <c r="S191" s="241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36"/>
      <c r="R192" s="236"/>
      <c r="S192" s="236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36"/>
      <c r="R193" s="236"/>
      <c r="S193" s="236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41"/>
      <c r="R194" s="241"/>
      <c r="S194" s="241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41"/>
      <c r="R195" s="241"/>
      <c r="S195" s="241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41"/>
      <c r="R196" s="241"/>
      <c r="S196" s="241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63"/>
      <c r="R197" s="264"/>
      <c r="S197" s="265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66"/>
      <c r="R198" s="267"/>
      <c r="S198" s="268"/>
    </row>
    <row r="199" spans="1:19" ht="17.25" thickBot="1">
      <c r="A199" s="132" t="s">
        <v>270</v>
      </c>
      <c r="B199" s="274">
        <f>$B$37</f>
        <v>100000</v>
      </c>
      <c r="C199" s="275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69"/>
      <c r="R199" s="270"/>
      <c r="S199" s="27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5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5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5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4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4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4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4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4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4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4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42" priority="157">
      <formula>AND($N17 &gt; 0, ISNUMBER($N17))</formula>
    </cfRule>
    <cfRule type="expression" dxfId="2341" priority="158">
      <formula>AND($N17 = 0 * ISNUMBER($N17))</formula>
    </cfRule>
    <cfRule type="expression" dxfId="2340" priority="159">
      <formula>AND($N17 &lt; 0, ISNUMBER($N17))</formula>
    </cfRule>
  </conditionalFormatting>
  <conditionalFormatting sqref="A17:F36">
    <cfRule type="expression" dxfId="2339" priority="166">
      <formula>AND($E17 &gt; 0, ISNUMBER($E17))</formula>
    </cfRule>
    <cfRule type="expression" dxfId="2338" priority="167">
      <formula>AND($E17 = 0 * ISNUMBER($E17))</formula>
    </cfRule>
    <cfRule type="expression" dxfId="2337" priority="168">
      <formula>AND($E17 &lt; 0, ISNUMBER($E17))</formula>
    </cfRule>
  </conditionalFormatting>
  <conditionalFormatting sqref="A17:C36 G17:I36">
    <cfRule type="expression" dxfId="2336" priority="163">
      <formula>AND($H17 &gt; 0, ISNUMBER($H17))</formula>
    </cfRule>
    <cfRule type="expression" dxfId="2335" priority="164">
      <formula>AND($H17 = 0 * ISNUMBER($H17))</formula>
    </cfRule>
    <cfRule type="expression" dxfId="2334" priority="165">
      <formula>AND($H17 &lt; 0, ISNUMBER($H17))</formula>
    </cfRule>
  </conditionalFormatting>
  <conditionalFormatting sqref="A17:C36 J17:L36">
    <cfRule type="expression" dxfId="2333" priority="160">
      <formula>AND($K17 &gt; 0, ISNUMBER($K17))</formula>
    </cfRule>
    <cfRule type="expression" dxfId="2332" priority="161">
      <formula>AND($K17 = 0 * ISNUMBER($K17))</formula>
    </cfRule>
    <cfRule type="expression" dxfId="2331" priority="162">
      <formula>AND($K17 &lt; 0, ISNUMBER($K17))</formula>
    </cfRule>
  </conditionalFormatting>
  <conditionalFormatting sqref="D15:F16 E37:F37">
    <cfRule type="expression" dxfId="2330" priority="154">
      <formula>$E$37 &gt; 0</formula>
    </cfRule>
    <cfRule type="expression" dxfId="2329" priority="155">
      <formula>$E$37 = 0</formula>
    </cfRule>
    <cfRule type="expression" dxfId="2328" priority="156">
      <formula>$E$37 &lt; 0</formula>
    </cfRule>
  </conditionalFormatting>
  <conditionalFormatting sqref="G15:I16 H37:I37">
    <cfRule type="expression" dxfId="2327" priority="151">
      <formula>$H$37 &gt; 0</formula>
    </cfRule>
    <cfRule type="expression" dxfId="2326" priority="152">
      <formula>$H$37 = 0</formula>
    </cfRule>
    <cfRule type="expression" dxfId="2325" priority="153">
      <formula>$H$37 &lt; 0</formula>
    </cfRule>
  </conditionalFormatting>
  <conditionalFormatting sqref="J15:L16 K37:L37">
    <cfRule type="expression" dxfId="2324" priority="148">
      <formula>$K$37 &gt; 0</formula>
    </cfRule>
    <cfRule type="expression" dxfId="2323" priority="149">
      <formula>$K$37 = 0</formula>
    </cfRule>
    <cfRule type="expression" dxfId="2322" priority="150">
      <formula>$K$37 &lt; 0</formula>
    </cfRule>
  </conditionalFormatting>
  <conditionalFormatting sqref="M15:O16 N37:O37">
    <cfRule type="expression" dxfId="2321" priority="145">
      <formula>$N$37 &gt; 0</formula>
    </cfRule>
    <cfRule type="expression" dxfId="2320" priority="146">
      <formula>$N$37 = 0</formula>
    </cfRule>
    <cfRule type="expression" dxfId="2319" priority="147">
      <formula>$N$37 &lt; 0</formula>
    </cfRule>
  </conditionalFormatting>
  <conditionalFormatting sqref="A44:C63 M44:O63">
    <cfRule type="expression" dxfId="2318" priority="133">
      <formula>AND($N44 &gt; 0, ISNUMBER($N44))</formula>
    </cfRule>
    <cfRule type="expression" dxfId="2317" priority="134">
      <formula>AND($N44 = 0 * ISNUMBER($N44))</formula>
    </cfRule>
    <cfRule type="expression" dxfId="2316" priority="135">
      <formula>AND($N44 &lt; 0, ISNUMBER($N44))</formula>
    </cfRule>
  </conditionalFormatting>
  <conditionalFormatting sqref="A44:F63">
    <cfRule type="expression" dxfId="2315" priority="142">
      <formula>AND($E44 &gt; 0, ISNUMBER($E44))</formula>
    </cfRule>
    <cfRule type="expression" dxfId="2314" priority="143">
      <formula>AND($E44 = 0 * ISNUMBER($E44))</formula>
    </cfRule>
    <cfRule type="expression" dxfId="2313" priority="144">
      <formula>AND($E44 &lt; 0, ISNUMBER($E44))</formula>
    </cfRule>
  </conditionalFormatting>
  <conditionalFormatting sqref="A44:C63 G44:I63">
    <cfRule type="expression" dxfId="2312" priority="139">
      <formula>AND($H44 &gt; 0, ISNUMBER($H44))</formula>
    </cfRule>
    <cfRule type="expression" dxfId="2311" priority="140">
      <formula>AND($H44 = 0 * ISNUMBER($H44))</formula>
    </cfRule>
    <cfRule type="expression" dxfId="2310" priority="141">
      <formula>AND($H44 &lt; 0, ISNUMBER($H44))</formula>
    </cfRule>
  </conditionalFormatting>
  <conditionalFormatting sqref="A44:C63 J44:L63">
    <cfRule type="expression" dxfId="2309" priority="136">
      <formula>AND($K44 &gt; 0, ISNUMBER($K44))</formula>
    </cfRule>
    <cfRule type="expression" dxfId="2308" priority="137">
      <formula>AND($K44 = 0 * ISNUMBER($K44))</formula>
    </cfRule>
    <cfRule type="expression" dxfId="2307" priority="138">
      <formula>AND($K44 &lt; 0, ISNUMBER($K44))</formula>
    </cfRule>
  </conditionalFormatting>
  <conditionalFormatting sqref="D42:F43 E64:F64">
    <cfRule type="expression" dxfId="2306" priority="130">
      <formula>$E$64 &gt; 0</formula>
    </cfRule>
    <cfRule type="expression" dxfId="2305" priority="131">
      <formula>$E$64 = 0</formula>
    </cfRule>
    <cfRule type="expression" dxfId="2304" priority="132">
      <formula>$E$64 &lt; 0</formula>
    </cfRule>
  </conditionalFormatting>
  <conditionalFormatting sqref="G42:I43 H64:I64">
    <cfRule type="expression" dxfId="2303" priority="127">
      <formula>$H$64 &gt; 0</formula>
    </cfRule>
    <cfRule type="expression" dxfId="2302" priority="128">
      <formula>$H$64 = 0</formula>
    </cfRule>
    <cfRule type="expression" dxfId="2301" priority="129">
      <formula>$H$64 &lt; 0</formula>
    </cfRule>
  </conditionalFormatting>
  <conditionalFormatting sqref="J42:L43 K64:L64">
    <cfRule type="expression" dxfId="2300" priority="124">
      <formula>$K$64 &gt; 0</formula>
    </cfRule>
    <cfRule type="expression" dxfId="2299" priority="125">
      <formula>$K$64 = 0</formula>
    </cfRule>
    <cfRule type="expression" dxfId="2298" priority="126">
      <formula>$K$64 &lt; 0</formula>
    </cfRule>
  </conditionalFormatting>
  <conditionalFormatting sqref="M42:O43 N64:O64">
    <cfRule type="expression" dxfId="2297" priority="121">
      <formula>$N$64 &gt; 0</formula>
    </cfRule>
    <cfRule type="expression" dxfId="2296" priority="122">
      <formula>$N$64 = 0</formula>
    </cfRule>
    <cfRule type="expression" dxfId="2295" priority="123">
      <formula>$N$64 &lt; 0</formula>
    </cfRule>
  </conditionalFormatting>
  <conditionalFormatting sqref="A71:C90 M71:O90">
    <cfRule type="expression" dxfId="2294" priority="109">
      <formula>AND($N71 &gt; 0, ISNUMBER($N71))</formula>
    </cfRule>
    <cfRule type="expression" dxfId="2293" priority="110">
      <formula>AND($N71 = 0 * ISNUMBER($N71))</formula>
    </cfRule>
    <cfRule type="expression" dxfId="2292" priority="111">
      <formula>AND($N71 &lt; 0, ISNUMBER($N71))</formula>
    </cfRule>
  </conditionalFormatting>
  <conditionalFormatting sqref="A71:F90">
    <cfRule type="expression" dxfId="2291" priority="118">
      <formula>AND($E71 &gt; 0, ISNUMBER($E71))</formula>
    </cfRule>
    <cfRule type="expression" dxfId="2290" priority="119">
      <formula>AND($E71 = 0 * ISNUMBER($E71))</formula>
    </cfRule>
    <cfRule type="expression" dxfId="2289" priority="120">
      <formula>AND($E71 &lt; 0, ISNUMBER($E71))</formula>
    </cfRule>
  </conditionalFormatting>
  <conditionalFormatting sqref="A71:C90 G71:I90">
    <cfRule type="expression" dxfId="2288" priority="115">
      <formula>AND($H71 &gt; 0, ISNUMBER($H71))</formula>
    </cfRule>
    <cfRule type="expression" dxfId="2287" priority="116">
      <formula>AND($H71 = 0 * ISNUMBER($H71))</formula>
    </cfRule>
    <cfRule type="expression" dxfId="2286" priority="117">
      <formula>AND($H71 &lt; 0, ISNUMBER($H71))</formula>
    </cfRule>
  </conditionalFormatting>
  <conditionalFormatting sqref="A71:C90 J71:L90">
    <cfRule type="expression" dxfId="2285" priority="112">
      <formula>AND($K71 &gt; 0, ISNUMBER($K71))</formula>
    </cfRule>
    <cfRule type="expression" dxfId="2284" priority="113">
      <formula>AND($K71 = 0 * ISNUMBER($K71))</formula>
    </cfRule>
    <cfRule type="expression" dxfId="2283" priority="114">
      <formula>AND($K71 &lt; 0, ISNUMBER($K71))</formula>
    </cfRule>
  </conditionalFormatting>
  <conditionalFormatting sqref="D69:F70 E91:F91">
    <cfRule type="expression" dxfId="2282" priority="106">
      <formula>$E$91 &gt; 0</formula>
    </cfRule>
    <cfRule type="expression" dxfId="2281" priority="107">
      <formula>$E$91 = 0</formula>
    </cfRule>
    <cfRule type="expression" dxfId="2280" priority="108">
      <formula>$E$91 &lt; 0</formula>
    </cfRule>
  </conditionalFormatting>
  <conditionalFormatting sqref="G69:I70 H91:I91">
    <cfRule type="expression" dxfId="2279" priority="103">
      <formula>$H$91 &gt; 0</formula>
    </cfRule>
    <cfRule type="expression" dxfId="2278" priority="104">
      <formula>$H$91 = 0</formula>
    </cfRule>
    <cfRule type="expression" dxfId="2277" priority="105">
      <formula>$H$91 &lt; 0</formula>
    </cfRule>
  </conditionalFormatting>
  <conditionalFormatting sqref="J69:L70 K91:L91">
    <cfRule type="expression" dxfId="2276" priority="100">
      <formula>$K$91 &gt; 0</formula>
    </cfRule>
    <cfRule type="expression" dxfId="2275" priority="101">
      <formula>$K$91 = 0</formula>
    </cfRule>
    <cfRule type="expression" dxfId="2274" priority="102">
      <formula>$K$91 &lt; 0</formula>
    </cfRule>
  </conditionalFormatting>
  <conditionalFormatting sqref="M69:O70 N91:O91">
    <cfRule type="expression" dxfId="2273" priority="97">
      <formula>$N$91 &gt; 0</formula>
    </cfRule>
    <cfRule type="expression" dxfId="2272" priority="98">
      <formula>$N$91 = 0</formula>
    </cfRule>
    <cfRule type="expression" dxfId="2271" priority="99">
      <formula>$N$91 &lt; 0</formula>
    </cfRule>
  </conditionalFormatting>
  <conditionalFormatting sqref="A98:C117 M98:O117">
    <cfRule type="expression" dxfId="2270" priority="85">
      <formula>AND($N98 &gt; 0, ISNUMBER($N98))</formula>
    </cfRule>
    <cfRule type="expression" dxfId="2269" priority="86">
      <formula>AND($N98 = 0 * ISNUMBER($N98))</formula>
    </cfRule>
    <cfRule type="expression" dxfId="2268" priority="87">
      <formula>AND($N98 &lt; 0, ISNUMBER($N98))</formula>
    </cfRule>
  </conditionalFormatting>
  <conditionalFormatting sqref="A98:F117">
    <cfRule type="expression" dxfId="2267" priority="94">
      <formula>AND($E98 &gt; 0, ISNUMBER($E98))</formula>
    </cfRule>
    <cfRule type="expression" dxfId="2266" priority="95">
      <formula>AND($E98 = 0 * ISNUMBER($E98))</formula>
    </cfRule>
    <cfRule type="expression" dxfId="2265" priority="96">
      <formula>AND($E98 &lt; 0, ISNUMBER($E98))</formula>
    </cfRule>
  </conditionalFormatting>
  <conditionalFormatting sqref="A98:C117 G98:I117">
    <cfRule type="expression" dxfId="2264" priority="91">
      <formula>AND($H98 &gt; 0, ISNUMBER($H98))</formula>
    </cfRule>
    <cfRule type="expression" dxfId="2263" priority="92">
      <formula>AND($H98 = 0 * ISNUMBER($H98))</formula>
    </cfRule>
    <cfRule type="expression" dxfId="2262" priority="93">
      <formula>AND($H98 &lt; 0, ISNUMBER($H98))</formula>
    </cfRule>
  </conditionalFormatting>
  <conditionalFormatting sqref="A98:C117 J98:L117">
    <cfRule type="expression" dxfId="2261" priority="88">
      <formula>AND($K98 &gt; 0, ISNUMBER($K98))</formula>
    </cfRule>
    <cfRule type="expression" dxfId="2260" priority="89">
      <formula>AND($K98 = 0 * ISNUMBER($K98))</formula>
    </cfRule>
    <cfRule type="expression" dxfId="2259" priority="90">
      <formula>AND($K98 &lt; 0, ISNUMBER($K98))</formula>
    </cfRule>
  </conditionalFormatting>
  <conditionalFormatting sqref="D96:F97 E118:F118">
    <cfRule type="expression" dxfId="2258" priority="82">
      <formula>$E$118 &gt; 0</formula>
    </cfRule>
    <cfRule type="expression" dxfId="2257" priority="83">
      <formula>$E$118 = 0</formula>
    </cfRule>
    <cfRule type="expression" dxfId="2256" priority="84">
      <formula>$E$118 &lt; 0</formula>
    </cfRule>
  </conditionalFormatting>
  <conditionalFormatting sqref="G96:I97 H118:I118">
    <cfRule type="expression" dxfId="2255" priority="79">
      <formula>$H$118 &gt; 0</formula>
    </cfRule>
    <cfRule type="expression" dxfId="2254" priority="80">
      <formula>$H$118 = 0</formula>
    </cfRule>
    <cfRule type="expression" dxfId="2253" priority="81">
      <formula>$H$118 &lt; 0</formula>
    </cfRule>
  </conditionalFormatting>
  <conditionalFormatting sqref="J96:L97 K118:L118">
    <cfRule type="expression" dxfId="2252" priority="76">
      <formula>$K$118 &gt; 0</formula>
    </cfRule>
    <cfRule type="expression" dxfId="2251" priority="77">
      <formula>$K$118 = 0</formula>
    </cfRule>
    <cfRule type="expression" dxfId="2250" priority="78">
      <formula>$K$118 &lt; 0</formula>
    </cfRule>
  </conditionalFormatting>
  <conditionalFormatting sqref="M96:O97 N118:O118">
    <cfRule type="expression" dxfId="2249" priority="73">
      <formula>$N$118 &gt; 0</formula>
    </cfRule>
    <cfRule type="expression" dxfId="2248" priority="74">
      <formula>$N$118 = 0</formula>
    </cfRule>
    <cfRule type="expression" dxfId="2247" priority="75">
      <formula>$N$118 &lt; 0</formula>
    </cfRule>
  </conditionalFormatting>
  <conditionalFormatting sqref="A125:C144 M125:O144">
    <cfRule type="expression" dxfId="2246" priority="61">
      <formula>AND($N125 &gt; 0, ISNUMBER($N125))</formula>
    </cfRule>
    <cfRule type="expression" dxfId="2245" priority="62">
      <formula>AND($N125 = 0 * ISNUMBER($N125))</formula>
    </cfRule>
    <cfRule type="expression" dxfId="2244" priority="63">
      <formula>AND($N125 &lt; 0, ISNUMBER($N125))</formula>
    </cfRule>
  </conditionalFormatting>
  <conditionalFormatting sqref="A125:F144">
    <cfRule type="expression" dxfId="2243" priority="70">
      <formula>AND($E125 &gt; 0, ISNUMBER($E125))</formula>
    </cfRule>
    <cfRule type="expression" dxfId="2242" priority="71">
      <formula>AND($E125 = 0 * ISNUMBER($E125))</formula>
    </cfRule>
    <cfRule type="expression" dxfId="2241" priority="72">
      <formula>AND($E125 &lt; 0, ISNUMBER($E125))</formula>
    </cfRule>
  </conditionalFormatting>
  <conditionalFormatting sqref="A125:C144 G125:I144">
    <cfRule type="expression" dxfId="2240" priority="67">
      <formula>AND($H125 &gt; 0, ISNUMBER($H125))</formula>
    </cfRule>
    <cfRule type="expression" dxfId="2239" priority="68">
      <formula>AND($H125 = 0 * ISNUMBER($H125))</formula>
    </cfRule>
    <cfRule type="expression" dxfId="2238" priority="69">
      <formula>AND($H125 &lt; 0, ISNUMBER($H125))</formula>
    </cfRule>
  </conditionalFormatting>
  <conditionalFormatting sqref="A125:C144 J125:L144">
    <cfRule type="expression" dxfId="2237" priority="64">
      <formula>AND($K125 &gt; 0, ISNUMBER($K125))</formula>
    </cfRule>
    <cfRule type="expression" dxfId="2236" priority="65">
      <formula>AND($K125 = 0 * ISNUMBER($K125))</formula>
    </cfRule>
    <cfRule type="expression" dxfId="2235" priority="66">
      <formula>AND($K125 &lt; 0, ISNUMBER($K125))</formula>
    </cfRule>
  </conditionalFormatting>
  <conditionalFormatting sqref="D123:F124 E145:F145">
    <cfRule type="expression" dxfId="2234" priority="58">
      <formula>$E$145 &gt; 0</formula>
    </cfRule>
    <cfRule type="expression" dxfId="2233" priority="59">
      <formula>$E$145 = 0</formula>
    </cfRule>
    <cfRule type="expression" dxfId="2232" priority="60">
      <formula>$E$145 &lt; 0</formula>
    </cfRule>
  </conditionalFormatting>
  <conditionalFormatting sqref="G123:I124 H145:I145">
    <cfRule type="expression" dxfId="2231" priority="55">
      <formula>$H$145 &gt; 0</formula>
    </cfRule>
    <cfRule type="expression" dxfId="2230" priority="56">
      <formula>$H$145 = 0</formula>
    </cfRule>
    <cfRule type="expression" dxfId="2229" priority="57">
      <formula>$H$145 &lt; 0</formula>
    </cfRule>
  </conditionalFormatting>
  <conditionalFormatting sqref="J123:L124 K145:L145">
    <cfRule type="expression" dxfId="2228" priority="52">
      <formula>$K$145 &gt; 0</formula>
    </cfRule>
    <cfRule type="expression" dxfId="2227" priority="53">
      <formula>$K$145 = 0</formula>
    </cfRule>
    <cfRule type="expression" dxfId="2226" priority="54">
      <formula>$K$145 &lt; 0</formula>
    </cfRule>
  </conditionalFormatting>
  <conditionalFormatting sqref="M123:O124 N145:O145">
    <cfRule type="expression" dxfId="2225" priority="49">
      <formula>$N$145 &gt; 0</formula>
    </cfRule>
    <cfRule type="expression" dxfId="2224" priority="50">
      <formula>$N$145 = 0</formula>
    </cfRule>
    <cfRule type="expression" dxfId="2223" priority="51">
      <formula>$N$145 &lt; 0</formula>
    </cfRule>
  </conditionalFormatting>
  <conditionalFormatting sqref="A152:C171 M152:O171">
    <cfRule type="expression" dxfId="2222" priority="37">
      <formula>AND($N152 &gt; 0, ISNUMBER($N152))</formula>
    </cfRule>
    <cfRule type="expression" dxfId="2221" priority="38">
      <formula>AND($N152 = 0 * ISNUMBER($N152))</formula>
    </cfRule>
    <cfRule type="expression" dxfId="2220" priority="39">
      <formula>AND($N152 &lt; 0, ISNUMBER($N152))</formula>
    </cfRule>
  </conditionalFormatting>
  <conditionalFormatting sqref="A152:F171">
    <cfRule type="expression" dxfId="2219" priority="46">
      <formula>AND($E152 &gt; 0, ISNUMBER($E152))</formula>
    </cfRule>
    <cfRule type="expression" dxfId="2218" priority="47">
      <formula>AND($E152 = 0 * ISNUMBER($E152))</formula>
    </cfRule>
    <cfRule type="expression" dxfId="2217" priority="48">
      <formula>AND($E152 &lt; 0, ISNUMBER($E152))</formula>
    </cfRule>
  </conditionalFormatting>
  <conditionalFormatting sqref="A152:C171 G152:I171">
    <cfRule type="expression" dxfId="2216" priority="43">
      <formula>AND($H152 &gt; 0, ISNUMBER($H152))</formula>
    </cfRule>
    <cfRule type="expression" dxfId="2215" priority="44">
      <formula>AND($H152 = 0 * ISNUMBER($H152))</formula>
    </cfRule>
    <cfRule type="expression" dxfId="2214" priority="45">
      <formula>AND($H152 &lt; 0, ISNUMBER($H152))</formula>
    </cfRule>
  </conditionalFormatting>
  <conditionalFormatting sqref="A152:C171 J152:L171">
    <cfRule type="expression" dxfId="2213" priority="40">
      <formula>AND($K152 &gt; 0, ISNUMBER($K152))</formula>
    </cfRule>
    <cfRule type="expression" dxfId="2212" priority="41">
      <formula>AND($K152 = 0 * ISNUMBER($K152))</formula>
    </cfRule>
    <cfRule type="expression" dxfId="2211" priority="42">
      <formula>AND($K152 &lt; 0, ISNUMBER($K152))</formula>
    </cfRule>
  </conditionalFormatting>
  <conditionalFormatting sqref="D150:F151 E172:F172">
    <cfRule type="expression" dxfId="2210" priority="34">
      <formula>$E$172 &gt; 0</formula>
    </cfRule>
    <cfRule type="expression" dxfId="2209" priority="35">
      <formula>$E$172 = 0</formula>
    </cfRule>
    <cfRule type="expression" dxfId="2208" priority="36">
      <formula>$E$172 &lt; 0</formula>
    </cfRule>
  </conditionalFormatting>
  <conditionalFormatting sqref="G150:I151 H172:I172">
    <cfRule type="expression" dxfId="2207" priority="31">
      <formula>$H$172 &gt; 0</formula>
    </cfRule>
    <cfRule type="expression" dxfId="2206" priority="32">
      <formula>$H$172 = 0</formula>
    </cfRule>
    <cfRule type="expression" dxfId="2205" priority="33">
      <formula>$H$172 &lt; 0</formula>
    </cfRule>
  </conditionalFormatting>
  <conditionalFormatting sqref="J150:L151 K172:L172">
    <cfRule type="expression" dxfId="2204" priority="28">
      <formula>$K$172 &gt; 0</formula>
    </cfRule>
    <cfRule type="expression" dxfId="2203" priority="29">
      <formula>$K$172 = 0</formula>
    </cfRule>
    <cfRule type="expression" dxfId="2202" priority="30">
      <formula>$K$172 &lt; 0</formula>
    </cfRule>
  </conditionalFormatting>
  <conditionalFormatting sqref="M150:O151 N172:O172">
    <cfRule type="expression" dxfId="2201" priority="25">
      <formula>$N$172 &gt; 0</formula>
    </cfRule>
    <cfRule type="expression" dxfId="2200" priority="26">
      <formula>$N$172 = 0</formula>
    </cfRule>
    <cfRule type="expression" dxfId="2199" priority="27">
      <formula>$N$172 &lt; 0</formula>
    </cfRule>
  </conditionalFormatting>
  <conditionalFormatting sqref="A179:C198 M179:O198">
    <cfRule type="expression" dxfId="2198" priority="13">
      <formula>AND($N179 &gt; 0, ISNUMBER($N179))</formula>
    </cfRule>
    <cfRule type="expression" dxfId="2197" priority="14">
      <formula>AND($N179 = 0 * ISNUMBER($N179))</formula>
    </cfRule>
    <cfRule type="expression" dxfId="2196" priority="15">
      <formula>AND($N179 &lt; 0, ISNUMBER($N179))</formula>
    </cfRule>
  </conditionalFormatting>
  <conditionalFormatting sqref="A179:F198">
    <cfRule type="expression" dxfId="2195" priority="22">
      <formula>AND($E179 &gt; 0, ISNUMBER($E179))</formula>
    </cfRule>
    <cfRule type="expression" dxfId="2194" priority="23">
      <formula>AND($E179 = 0 * ISNUMBER($E179))</formula>
    </cfRule>
    <cfRule type="expression" dxfId="2193" priority="24">
      <formula>AND($E179 &lt; 0, ISNUMBER($E179))</formula>
    </cfRule>
  </conditionalFormatting>
  <conditionalFormatting sqref="A179:C198 G179:I198">
    <cfRule type="expression" dxfId="2192" priority="19">
      <formula>AND($H179 &gt; 0, ISNUMBER($H179))</formula>
    </cfRule>
    <cfRule type="expression" dxfId="2191" priority="20">
      <formula>AND($H179 = 0 * ISNUMBER($H179))</formula>
    </cfRule>
    <cfRule type="expression" dxfId="2190" priority="21">
      <formula>AND($H179 &lt; 0, ISNUMBER($H179))</formula>
    </cfRule>
  </conditionalFormatting>
  <conditionalFormatting sqref="A179:C198 J179:L198">
    <cfRule type="expression" dxfId="2189" priority="16">
      <formula>AND($K179 &gt; 0, ISNUMBER($K179))</formula>
    </cfRule>
    <cfRule type="expression" dxfId="2188" priority="17">
      <formula>AND($K179 = 0 * ISNUMBER($K179))</formula>
    </cfRule>
    <cfRule type="expression" dxfId="2187" priority="18">
      <formula>AND($K179 &lt; 0, ISNUMBER($K179))</formula>
    </cfRule>
  </conditionalFormatting>
  <conditionalFormatting sqref="D177:F178 E199:F199">
    <cfRule type="expression" dxfId="2186" priority="10">
      <formula>$E$199 &gt; 0</formula>
    </cfRule>
    <cfRule type="expression" dxfId="2185" priority="11">
      <formula>$E$199 = 0</formula>
    </cfRule>
    <cfRule type="expression" dxfId="2184" priority="12">
      <formula>$E$199 &lt; 0</formula>
    </cfRule>
  </conditionalFormatting>
  <conditionalFormatting sqref="G177:I178 H199:I199">
    <cfRule type="expression" dxfId="2183" priority="7">
      <formula>$H$199 &gt; 0</formula>
    </cfRule>
    <cfRule type="expression" dxfId="2182" priority="8">
      <formula>$H$199 = 0</formula>
    </cfRule>
    <cfRule type="expression" dxfId="2181" priority="9">
      <formula>$H$199 &lt; 0</formula>
    </cfRule>
  </conditionalFormatting>
  <conditionalFormatting sqref="J177:L178 K199:L199">
    <cfRule type="expression" dxfId="2180" priority="4">
      <formula>$K$199 &gt; 0</formula>
    </cfRule>
    <cfRule type="expression" dxfId="2179" priority="5">
      <formula>$K$199 = 0</formula>
    </cfRule>
    <cfRule type="expression" dxfId="2178" priority="6">
      <formula>$K$199 &lt; 0</formula>
    </cfRule>
  </conditionalFormatting>
  <conditionalFormatting sqref="M177:O178 N199:O199">
    <cfRule type="expression" dxfId="2177" priority="1">
      <formula>$N$199 &gt; 0</formula>
    </cfRule>
    <cfRule type="expression" dxfId="2176" priority="2">
      <formula>$N$199 = 0</formula>
    </cfRule>
    <cfRule type="expression" dxfId="217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18">
        <v>44411</v>
      </c>
      <c r="H1" s="219"/>
      <c r="I1" s="220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24" t="s">
        <v>46</v>
      </c>
      <c r="H2" s="225"/>
      <c r="I2" s="226"/>
      <c r="J2" s="1" t="s">
        <v>3</v>
      </c>
      <c r="K2" s="221" t="s">
        <v>320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27" t="s">
        <v>328</v>
      </c>
      <c r="C3" s="228"/>
      <c r="D3" s="228"/>
      <c r="E3" s="228"/>
      <c r="F3" s="229"/>
      <c r="G3" s="23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31"/>
      <c r="I3" s="232"/>
      <c r="J3" s="4" t="s">
        <v>7</v>
      </c>
      <c r="K3" s="227" t="s">
        <v>321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7" t="s">
        <v>16</v>
      </c>
      <c r="C4" s="228"/>
      <c r="D4" s="228"/>
      <c r="E4" s="228"/>
      <c r="F4" s="229"/>
      <c r="G4" s="224" t="s">
        <v>44</v>
      </c>
      <c r="H4" s="225"/>
      <c r="I4" s="226"/>
      <c r="J4" s="4" t="s">
        <v>11</v>
      </c>
      <c r="K4" s="227" t="s">
        <v>322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7" t="s">
        <v>319</v>
      </c>
      <c r="C5" s="228"/>
      <c r="D5" s="228"/>
      <c r="E5" s="228"/>
      <c r="F5" s="229"/>
      <c r="G5" s="23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31"/>
      <c r="I5" s="232"/>
      <c r="J5" s="4" t="s">
        <v>15</v>
      </c>
      <c r="K5" s="227" t="s">
        <v>323</v>
      </c>
      <c r="L5" s="228"/>
      <c r="M5" s="228"/>
      <c r="N5" s="228"/>
      <c r="O5" s="229"/>
    </row>
    <row r="6" spans="1:19">
      <c r="A6" s="118" t="s">
        <v>18</v>
      </c>
      <c r="B6" s="227"/>
      <c r="C6" s="228"/>
      <c r="D6" s="228"/>
      <c r="E6" s="228"/>
      <c r="F6" s="229"/>
      <c r="G6" s="224" t="s">
        <v>45</v>
      </c>
      <c r="H6" s="225"/>
      <c r="I6" s="226"/>
      <c r="J6" s="4" t="s">
        <v>18</v>
      </c>
      <c r="K6" s="227" t="s">
        <v>324</v>
      </c>
      <c r="L6" s="228"/>
      <c r="M6" s="228"/>
      <c r="N6" s="228"/>
      <c r="O6" s="229"/>
    </row>
    <row r="7" spans="1:19" ht="17.25" thickBot="1">
      <c r="A7" s="118" t="s">
        <v>21</v>
      </c>
      <c r="B7" s="227"/>
      <c r="C7" s="228"/>
      <c r="D7" s="228"/>
      <c r="E7" s="228"/>
      <c r="F7" s="229"/>
      <c r="G7" s="23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31"/>
      <c r="I7" s="232"/>
      <c r="J7" s="4" t="s">
        <v>21</v>
      </c>
      <c r="K7" s="227" t="s">
        <v>325</v>
      </c>
      <c r="L7" s="228"/>
      <c r="M7" s="228"/>
      <c r="N7" s="228"/>
      <c r="O7" s="229"/>
    </row>
    <row r="8" spans="1:19" ht="17.25" thickBot="1">
      <c r="A8" s="118" t="s">
        <v>24</v>
      </c>
      <c r="B8" s="227"/>
      <c r="C8" s="228"/>
      <c r="D8" s="228"/>
      <c r="E8" s="228"/>
      <c r="F8" s="229"/>
      <c r="G8" s="224" t="s">
        <v>255</v>
      </c>
      <c r="H8" s="225"/>
      <c r="I8" s="226"/>
      <c r="J8" s="4" t="s">
        <v>24</v>
      </c>
      <c r="K8" s="227"/>
      <c r="L8" s="228"/>
      <c r="M8" s="228"/>
      <c r="N8" s="228"/>
      <c r="O8" s="229"/>
      <c r="Q8" s="215" t="s">
        <v>27</v>
      </c>
      <c r="R8" s="217"/>
    </row>
    <row r="9" spans="1:19" ht="17.25" thickBot="1">
      <c r="A9" s="118" t="s">
        <v>28</v>
      </c>
      <c r="B9" s="227"/>
      <c r="C9" s="228"/>
      <c r="D9" s="228"/>
      <c r="E9" s="228"/>
      <c r="F9" s="229"/>
      <c r="G9" s="23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31"/>
      <c r="I9" s="232"/>
      <c r="J9" s="4" t="s">
        <v>28</v>
      </c>
      <c r="K9" s="227"/>
      <c r="L9" s="228"/>
      <c r="M9" s="228"/>
      <c r="N9" s="228"/>
      <c r="O9" s="229"/>
      <c r="Q9" s="2" t="s">
        <v>29</v>
      </c>
      <c r="R9" s="6">
        <v>10</v>
      </c>
    </row>
    <row r="10" spans="1:19">
      <c r="A10" s="118" t="s">
        <v>30</v>
      </c>
      <c r="B10" s="227"/>
      <c r="C10" s="228"/>
      <c r="D10" s="228"/>
      <c r="E10" s="228"/>
      <c r="F10" s="229"/>
      <c r="G10" s="224" t="s">
        <v>47</v>
      </c>
      <c r="H10" s="225"/>
      <c r="I10" s="226"/>
      <c r="J10" s="4" t="s">
        <v>30</v>
      </c>
      <c r="K10" s="227" t="s">
        <v>326</v>
      </c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1"/>
      <c r="I11" s="232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36"/>
      <c r="R13" s="236"/>
      <c r="S13" s="236"/>
    </row>
    <row r="14" spans="1:19" ht="17.25" customHeight="1" thickBot="1">
      <c r="A14" s="165" t="s">
        <v>35</v>
      </c>
      <c r="B14" s="215" t="s">
        <v>36</v>
      </c>
      <c r="C14" s="217"/>
      <c r="D14" s="215" t="s">
        <v>37</v>
      </c>
      <c r="E14" s="216"/>
      <c r="F14" s="217"/>
      <c r="G14" s="242">
        <f>_xlfn.IFNA(VLOOKUP(B14, 현재가테이블!$B$2:$D$200, 2, FALSE), "-")</f>
        <v>53976000</v>
      </c>
      <c r="H14" s="243"/>
      <c r="I14" s="244"/>
      <c r="J14" s="215" t="s">
        <v>38</v>
      </c>
      <c r="K14" s="216"/>
      <c r="L14" s="217"/>
      <c r="M14" s="245">
        <f>_xlfn.IFNA(VLOOKUP(B14, 현재가테이블!$B$2:$D$200, 3, FALSE), "-")</f>
        <v>-2.1216407400000001E-2</v>
      </c>
      <c r="N14" s="246"/>
      <c r="O14" s="247"/>
      <c r="Q14" s="236"/>
      <c r="R14" s="236"/>
      <c r="S14" s="236"/>
    </row>
    <row r="15" spans="1:19" ht="17.25" customHeight="1" thickBot="1">
      <c r="A15" s="280" t="s">
        <v>39</v>
      </c>
      <c r="B15" s="281" t="str">
        <f>TEXT($G$1, "[$-ko-KR]yyyy-mm-dd(ddd) ") &amp; "오전 00:00"</f>
        <v>2021-08-03(화) 오전 00:00</v>
      </c>
      <c r="C15" s="282"/>
      <c r="D15" s="238" t="str">
        <f>TEXT($G$1, "[$-ko-KR]yyyy-mm-dd(ddd) ") &amp; "오후 14:00"</f>
        <v>2021-08-03(화) 오후 14:00</v>
      </c>
      <c r="E15" s="239"/>
      <c r="F15" s="240"/>
      <c r="G15" s="238" t="str">
        <f>TEXT($G$1, "[$-ko-KR]yyyy-mm-dd(ddd) ") &amp; "오후 19:00"</f>
        <v>2021-08-03(화) 오후 19:00</v>
      </c>
      <c r="H15" s="239"/>
      <c r="I15" s="240"/>
      <c r="J15" s="238" t="str">
        <f>TEXT($G$1, "[$-ko-KR]yyyy-mm-dd(ddd) ") &amp; "오후 21:00"</f>
        <v>2021-08-03(화) 오후 21:00</v>
      </c>
      <c r="K15" s="239"/>
      <c r="L15" s="240"/>
      <c r="M15" s="238" t="str">
        <f>TEXT($G$1+1, "[$-ko-KR]yyyy-mm-dd(ddd) ") &amp; "오전 00:00"</f>
        <v>2021-08-04(수) 오전 00:00</v>
      </c>
      <c r="N15" s="239"/>
      <c r="O15" s="240"/>
      <c r="Q15" s="236"/>
      <c r="R15" s="236"/>
      <c r="S15" s="236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1"/>
      <c r="R16" s="241"/>
      <c r="S16" s="24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6"/>
      <c r="R17" s="236"/>
      <c r="S17" s="23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6"/>
      <c r="R18" s="236"/>
      <c r="S18" s="23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1"/>
      <c r="R19" s="241"/>
      <c r="S19" s="24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1"/>
      <c r="R20" s="241"/>
      <c r="S20" s="24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1"/>
      <c r="R21" s="241"/>
      <c r="S21" s="24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1"/>
      <c r="R22" s="241"/>
      <c r="S22" s="24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1"/>
      <c r="R23" s="241"/>
      <c r="S23" s="24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1"/>
      <c r="R24" s="241"/>
      <c r="S24" s="24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0"/>
      <c r="R26" s="251"/>
      <c r="S26" s="25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3"/>
      <c r="R27" s="254"/>
      <c r="S27" s="25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6"/>
      <c r="R28" s="257"/>
      <c r="S28" s="25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1"/>
      <c r="R29" s="241"/>
      <c r="S29" s="24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6"/>
      <c r="R30" s="236"/>
      <c r="S30" s="23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6"/>
      <c r="R31" s="236"/>
      <c r="S31" s="23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1"/>
      <c r="R32" s="241"/>
      <c r="S32" s="24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1"/>
      <c r="R33" s="241"/>
      <c r="S33" s="24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1"/>
      <c r="R34" s="241"/>
      <c r="S34" s="24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3"/>
      <c r="R35" s="264"/>
      <c r="S35" s="26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6"/>
      <c r="R36" s="267"/>
      <c r="S36" s="268"/>
    </row>
    <row r="37" spans="1:19" ht="17.25" customHeight="1" thickBot="1">
      <c r="A37" s="132" t="s">
        <v>42</v>
      </c>
      <c r="B37" s="274">
        <v>100000</v>
      </c>
      <c r="C37" s="27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9"/>
      <c r="R37" s="270"/>
      <c r="S37" s="27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36"/>
      <c r="R40" s="236"/>
      <c r="S40" s="236"/>
    </row>
    <row r="41" spans="1:19" ht="17.25" customHeight="1" thickBot="1">
      <c r="A41" s="165" t="s">
        <v>267</v>
      </c>
      <c r="B41" s="215" t="s">
        <v>49</v>
      </c>
      <c r="C41" s="217"/>
      <c r="D41" s="215" t="s">
        <v>58</v>
      </c>
      <c r="E41" s="216"/>
      <c r="F41" s="217"/>
      <c r="G41" s="242">
        <f>_xlfn.IFNA(VLOOKUP(B41, 현재가테이블!$B$2:$D$200, 2, FALSE), "-")</f>
        <v>53976000</v>
      </c>
      <c r="H41" s="243"/>
      <c r="I41" s="244"/>
      <c r="J41" s="215" t="s">
        <v>59</v>
      </c>
      <c r="K41" s="216"/>
      <c r="L41" s="217"/>
      <c r="M41" s="245">
        <f>_xlfn.IFNA(VLOOKUP(B41, 현재가테이블!$B$2:$D$200, 3, FALSE), "-")</f>
        <v>-2.1216407400000001E-2</v>
      </c>
      <c r="N41" s="246"/>
      <c r="O41" s="247"/>
      <c r="Q41" s="236"/>
      <c r="R41" s="236"/>
      <c r="S41" s="236"/>
    </row>
    <row r="42" spans="1:19" ht="17.25" customHeight="1" thickBot="1">
      <c r="A42" s="276" t="s">
        <v>55</v>
      </c>
      <c r="B42" s="278" t="str">
        <f>TEXT($G$1, "[$-ko-KR]yyyy-mm-dd(ddd) ") &amp; "오전 00:00"</f>
        <v>2021-08-03(화) 오전 00:00</v>
      </c>
      <c r="C42" s="279"/>
      <c r="D42" s="238" t="str">
        <f>TEXT($G$1, "[$-ko-KR]yyyy-mm-dd(ddd) ") &amp; "오후 14:00"</f>
        <v>2021-08-03(화) 오후 14:00</v>
      </c>
      <c r="E42" s="239"/>
      <c r="F42" s="240"/>
      <c r="G42" s="238" t="str">
        <f>TEXT($G$1, "[$-ko-KR]yyyy-mm-dd(ddd) ") &amp; "오후 19:00"</f>
        <v>2021-08-03(화) 오후 19:00</v>
      </c>
      <c r="H42" s="239"/>
      <c r="I42" s="240"/>
      <c r="J42" s="238" t="str">
        <f>TEXT($G$1, "[$-ko-KR]yyyy-mm-dd(ddd) ") &amp; "오후 21:00"</f>
        <v>2021-08-03(화) 오후 21:00</v>
      </c>
      <c r="K42" s="239"/>
      <c r="L42" s="240"/>
      <c r="M42" s="238" t="str">
        <f>TEXT($G$1+1, "[$-ko-KR]yyyy-mm-dd(ddd) ") &amp; "오전 00:00"</f>
        <v>2021-08-04(수) 오전 00:00</v>
      </c>
      <c r="N42" s="239"/>
      <c r="O42" s="240"/>
      <c r="Q42" s="236"/>
      <c r="R42" s="236"/>
      <c r="S42" s="236"/>
    </row>
    <row r="43" spans="1:19" ht="17.25" customHeight="1" thickBot="1">
      <c r="A43" s="27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1"/>
      <c r="R43" s="241"/>
      <c r="S43" s="241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36"/>
      <c r="R44" s="236"/>
      <c r="S44" s="236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36"/>
      <c r="R45" s="236"/>
      <c r="S45" s="236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41"/>
      <c r="R46" s="241"/>
      <c r="S46" s="241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41"/>
      <c r="R47" s="241"/>
      <c r="S47" s="241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41"/>
      <c r="R48" s="241"/>
      <c r="S48" s="241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41"/>
      <c r="R49" s="241"/>
      <c r="S49" s="241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41"/>
      <c r="R50" s="241"/>
      <c r="S50" s="241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41"/>
      <c r="R51" s="241"/>
      <c r="S51" s="241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50"/>
      <c r="R53" s="251"/>
      <c r="S53" s="252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53"/>
      <c r="R54" s="254"/>
      <c r="S54" s="255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56"/>
      <c r="R55" s="257"/>
      <c r="S55" s="258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41"/>
      <c r="R56" s="241"/>
      <c r="S56" s="241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36"/>
      <c r="R57" s="236"/>
      <c r="S57" s="236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36"/>
      <c r="R58" s="236"/>
      <c r="S58" s="236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41"/>
      <c r="R59" s="241"/>
      <c r="S59" s="241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41"/>
      <c r="R60" s="241"/>
      <c r="S60" s="241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41"/>
      <c r="R61" s="241"/>
      <c r="S61" s="241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63"/>
      <c r="R62" s="264"/>
      <c r="S62" s="265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66"/>
      <c r="R63" s="267"/>
      <c r="S63" s="268"/>
    </row>
    <row r="64" spans="1:19" ht="17.25" customHeight="1" thickBot="1">
      <c r="A64" s="132" t="s">
        <v>270</v>
      </c>
      <c r="B64" s="274">
        <f>$B$37</f>
        <v>100000</v>
      </c>
      <c r="C64" s="275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269"/>
      <c r="R64" s="270"/>
      <c r="S64" s="27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36"/>
      <c r="R67" s="236"/>
      <c r="S67" s="236"/>
    </row>
    <row r="68" spans="1:19" ht="17.25" thickBot="1">
      <c r="A68" s="165" t="s">
        <v>267</v>
      </c>
      <c r="B68" s="215" t="s">
        <v>49</v>
      </c>
      <c r="C68" s="217"/>
      <c r="D68" s="215" t="s">
        <v>58</v>
      </c>
      <c r="E68" s="216"/>
      <c r="F68" s="217"/>
      <c r="G68" s="242">
        <f>_xlfn.IFNA(VLOOKUP(B68, 현재가테이블!$B$2:$D$200, 2, FALSE), "-")</f>
        <v>53976000</v>
      </c>
      <c r="H68" s="243"/>
      <c r="I68" s="244"/>
      <c r="J68" s="215" t="s">
        <v>59</v>
      </c>
      <c r="K68" s="216"/>
      <c r="L68" s="217"/>
      <c r="M68" s="245">
        <f>_xlfn.IFNA(VLOOKUP(B68, 현재가테이블!$B$2:$D$200, 3, FALSE), "-")</f>
        <v>-2.1216407400000001E-2</v>
      </c>
      <c r="N68" s="246"/>
      <c r="O68" s="247"/>
      <c r="Q68" s="236"/>
      <c r="R68" s="236"/>
      <c r="S68" s="236"/>
    </row>
    <row r="69" spans="1:19" ht="17.25" thickBot="1">
      <c r="A69" s="276" t="s">
        <v>55</v>
      </c>
      <c r="B69" s="278" t="str">
        <f>TEXT($G$1, "[$-ko-KR]yyyy-mm-dd(ddd) ") &amp; "오전 00:00"</f>
        <v>2021-08-03(화) 오전 00:00</v>
      </c>
      <c r="C69" s="279"/>
      <c r="D69" s="238" t="str">
        <f>TEXT($G$1, "[$-ko-KR]yyyy-mm-dd(ddd) ") &amp; "오후 14:00"</f>
        <v>2021-08-03(화) 오후 14:00</v>
      </c>
      <c r="E69" s="239"/>
      <c r="F69" s="240"/>
      <c r="G69" s="238" t="str">
        <f>TEXT($G$1, "[$-ko-KR]yyyy-mm-dd(ddd) ") &amp; "오후 19:00"</f>
        <v>2021-08-03(화) 오후 19:00</v>
      </c>
      <c r="H69" s="239"/>
      <c r="I69" s="240"/>
      <c r="J69" s="238" t="str">
        <f>TEXT($G$1, "[$-ko-KR]yyyy-mm-dd(ddd) ") &amp; "오후 21:00"</f>
        <v>2021-08-03(화) 오후 21:00</v>
      </c>
      <c r="K69" s="239"/>
      <c r="L69" s="240"/>
      <c r="M69" s="238" t="str">
        <f>TEXT($G$1+1, "[$-ko-KR]yyyy-mm-dd(ddd) ") &amp; "오전 00:00"</f>
        <v>2021-08-04(수) 오전 00:00</v>
      </c>
      <c r="N69" s="239"/>
      <c r="O69" s="240"/>
      <c r="Q69" s="236"/>
      <c r="R69" s="236"/>
      <c r="S69" s="236"/>
    </row>
    <row r="70" spans="1:19" ht="17.25" thickBot="1">
      <c r="A70" s="27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1"/>
      <c r="R70" s="241"/>
      <c r="S70" s="241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36"/>
      <c r="R71" s="236"/>
      <c r="S71" s="236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36"/>
      <c r="R72" s="236"/>
      <c r="S72" s="236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41"/>
      <c r="R73" s="241"/>
      <c r="S73" s="241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41"/>
      <c r="R74" s="241"/>
      <c r="S74" s="241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41"/>
      <c r="R75" s="241"/>
      <c r="S75" s="241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41"/>
      <c r="R76" s="241"/>
      <c r="S76" s="241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41"/>
      <c r="R77" s="241"/>
      <c r="S77" s="241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41"/>
      <c r="R78" s="241"/>
      <c r="S78" s="241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50"/>
      <c r="R80" s="251"/>
      <c r="S80" s="252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53"/>
      <c r="R81" s="254"/>
      <c r="S81" s="255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56"/>
      <c r="R82" s="257"/>
      <c r="S82" s="258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41"/>
      <c r="R83" s="241"/>
      <c r="S83" s="241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36"/>
      <c r="R84" s="236"/>
      <c r="S84" s="236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36"/>
      <c r="R85" s="236"/>
      <c r="S85" s="236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41"/>
      <c r="R86" s="241"/>
      <c r="S86" s="241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41"/>
      <c r="R87" s="241"/>
      <c r="S87" s="241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41"/>
      <c r="R88" s="241"/>
      <c r="S88" s="241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63"/>
      <c r="R89" s="264"/>
      <c r="S89" s="265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66"/>
      <c r="R90" s="267"/>
      <c r="S90" s="268"/>
    </row>
    <row r="91" spans="1:19" ht="17.25" thickBot="1">
      <c r="A91" s="132" t="s">
        <v>270</v>
      </c>
      <c r="B91" s="274">
        <f>$B$37</f>
        <v>100000</v>
      </c>
      <c r="C91" s="275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269"/>
      <c r="R91" s="270"/>
      <c r="S91" s="27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36"/>
      <c r="R94" s="236"/>
      <c r="S94" s="236"/>
    </row>
    <row r="95" spans="1:19" ht="17.25" thickBot="1">
      <c r="A95" s="165" t="s">
        <v>267</v>
      </c>
      <c r="B95" s="215" t="s">
        <v>49</v>
      </c>
      <c r="C95" s="217"/>
      <c r="D95" s="215" t="s">
        <v>58</v>
      </c>
      <c r="E95" s="216"/>
      <c r="F95" s="217"/>
      <c r="G95" s="242">
        <f>_xlfn.IFNA(VLOOKUP(B95, 현재가테이블!$B$2:$D$200, 2, FALSE), "-")</f>
        <v>53976000</v>
      </c>
      <c r="H95" s="243"/>
      <c r="I95" s="244"/>
      <c r="J95" s="215" t="s">
        <v>59</v>
      </c>
      <c r="K95" s="216"/>
      <c r="L95" s="217"/>
      <c r="M95" s="245">
        <f>_xlfn.IFNA(VLOOKUP(B95, 현재가테이블!$B$2:$D$200, 3, FALSE), "-")</f>
        <v>-2.1216407400000001E-2</v>
      </c>
      <c r="N95" s="246"/>
      <c r="O95" s="247"/>
      <c r="Q95" s="236"/>
      <c r="R95" s="236"/>
      <c r="S95" s="236"/>
    </row>
    <row r="96" spans="1:19" ht="17.25" thickBot="1">
      <c r="A96" s="276" t="s">
        <v>55</v>
      </c>
      <c r="B96" s="278" t="str">
        <f>TEXT($G$1, "[$-ko-KR]yyyy-mm-dd(ddd) ") &amp; "오전 00:00"</f>
        <v>2021-08-03(화) 오전 00:00</v>
      </c>
      <c r="C96" s="279"/>
      <c r="D96" s="238" t="str">
        <f>TEXT($G$1, "[$-ko-KR]yyyy-mm-dd(ddd) ") &amp; "오후 14:00"</f>
        <v>2021-08-03(화) 오후 14:00</v>
      </c>
      <c r="E96" s="239"/>
      <c r="F96" s="240"/>
      <c r="G96" s="238" t="str">
        <f>TEXT($G$1, "[$-ko-KR]yyyy-mm-dd(ddd) ") &amp; "오후 19:00"</f>
        <v>2021-08-03(화) 오후 19:00</v>
      </c>
      <c r="H96" s="239"/>
      <c r="I96" s="240"/>
      <c r="J96" s="238" t="str">
        <f>TEXT($G$1, "[$-ko-KR]yyyy-mm-dd(ddd) ") &amp; "오후 21:00"</f>
        <v>2021-08-03(화) 오후 21:00</v>
      </c>
      <c r="K96" s="239"/>
      <c r="L96" s="240"/>
      <c r="M96" s="238" t="str">
        <f>TEXT($G$1+1, "[$-ko-KR]yyyy-mm-dd(ddd) ") &amp; "오전 00:00"</f>
        <v>2021-08-04(수) 오전 00:00</v>
      </c>
      <c r="N96" s="239"/>
      <c r="O96" s="240"/>
      <c r="Q96" s="236"/>
      <c r="R96" s="236"/>
      <c r="S96" s="236"/>
    </row>
    <row r="97" spans="1:19" ht="17.25" thickBot="1">
      <c r="A97" s="27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1"/>
      <c r="R97" s="241"/>
      <c r="S97" s="241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36"/>
      <c r="R98" s="236"/>
      <c r="S98" s="236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36"/>
      <c r="R99" s="236"/>
      <c r="S99" s="236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41"/>
      <c r="R100" s="241"/>
      <c r="S100" s="241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41"/>
      <c r="R101" s="241"/>
      <c r="S101" s="241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41"/>
      <c r="R102" s="241"/>
      <c r="S102" s="241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41"/>
      <c r="R103" s="241"/>
      <c r="S103" s="241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41"/>
      <c r="R104" s="241"/>
      <c r="S104" s="241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41"/>
      <c r="R105" s="241"/>
      <c r="S105" s="241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50"/>
      <c r="R107" s="251"/>
      <c r="S107" s="252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53"/>
      <c r="R108" s="254"/>
      <c r="S108" s="255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56"/>
      <c r="R109" s="257"/>
      <c r="S109" s="258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41"/>
      <c r="R110" s="241"/>
      <c r="S110" s="241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36"/>
      <c r="R111" s="236"/>
      <c r="S111" s="236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36"/>
      <c r="R112" s="236"/>
      <c r="S112" s="236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41"/>
      <c r="R113" s="241"/>
      <c r="S113" s="241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41"/>
      <c r="R114" s="241"/>
      <c r="S114" s="241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41"/>
      <c r="R115" s="241"/>
      <c r="S115" s="241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63"/>
      <c r="R116" s="264"/>
      <c r="S116" s="265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66"/>
      <c r="R117" s="267"/>
      <c r="S117" s="268"/>
    </row>
    <row r="118" spans="1:19" ht="17.25" thickBot="1">
      <c r="A118" s="132" t="s">
        <v>270</v>
      </c>
      <c r="B118" s="274">
        <f>$B$37</f>
        <v>100000</v>
      </c>
      <c r="C118" s="275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269"/>
      <c r="R118" s="270"/>
      <c r="S118" s="27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36"/>
      <c r="R121" s="236"/>
      <c r="S121" s="236"/>
    </row>
    <row r="122" spans="1:19" ht="17.25" thickBot="1">
      <c r="A122" s="165" t="s">
        <v>267</v>
      </c>
      <c r="B122" s="215" t="s">
        <v>49</v>
      </c>
      <c r="C122" s="217"/>
      <c r="D122" s="215" t="s">
        <v>58</v>
      </c>
      <c r="E122" s="216"/>
      <c r="F122" s="217"/>
      <c r="G122" s="242">
        <f>_xlfn.IFNA(VLOOKUP(B122, 현재가테이블!$B$2:$D$200, 2, FALSE), "-")</f>
        <v>53976000</v>
      </c>
      <c r="H122" s="243"/>
      <c r="I122" s="244"/>
      <c r="J122" s="215" t="s">
        <v>59</v>
      </c>
      <c r="K122" s="216"/>
      <c r="L122" s="217"/>
      <c r="M122" s="245">
        <f>_xlfn.IFNA(VLOOKUP(B122, 현재가테이블!$B$2:$D$200, 3, FALSE), "-")</f>
        <v>-2.1216407400000001E-2</v>
      </c>
      <c r="N122" s="246"/>
      <c r="O122" s="247"/>
      <c r="Q122" s="236"/>
      <c r="R122" s="236"/>
      <c r="S122" s="236"/>
    </row>
    <row r="123" spans="1:19" ht="17.25" thickBot="1">
      <c r="A123" s="276" t="s">
        <v>55</v>
      </c>
      <c r="B123" s="278" t="str">
        <f>TEXT($G$1, "[$-ko-KR]yyyy-mm-dd(ddd) ") &amp; "오전 00:00"</f>
        <v>2021-08-03(화) 오전 00:00</v>
      </c>
      <c r="C123" s="279"/>
      <c r="D123" s="238" t="str">
        <f>TEXT($G$1, "[$-ko-KR]yyyy-mm-dd(ddd) ") &amp; "오후 14:00"</f>
        <v>2021-08-03(화) 오후 14:00</v>
      </c>
      <c r="E123" s="239"/>
      <c r="F123" s="240"/>
      <c r="G123" s="238" t="str">
        <f>TEXT($G$1, "[$-ko-KR]yyyy-mm-dd(ddd) ") &amp; "오후 19:00"</f>
        <v>2021-08-03(화) 오후 19:00</v>
      </c>
      <c r="H123" s="239"/>
      <c r="I123" s="240"/>
      <c r="J123" s="238" t="str">
        <f>TEXT($G$1, "[$-ko-KR]yyyy-mm-dd(ddd) ") &amp; "오후 21:00"</f>
        <v>2021-08-03(화) 오후 21:00</v>
      </c>
      <c r="K123" s="239"/>
      <c r="L123" s="240"/>
      <c r="M123" s="238" t="str">
        <f>TEXT($G$1+1, "[$-ko-KR]yyyy-mm-dd(ddd) ") &amp; "오전 00:00"</f>
        <v>2021-08-04(수) 오전 00:00</v>
      </c>
      <c r="N123" s="239"/>
      <c r="O123" s="240"/>
      <c r="Q123" s="236"/>
      <c r="R123" s="236"/>
      <c r="S123" s="236"/>
    </row>
    <row r="124" spans="1:19" ht="17.25" thickBot="1">
      <c r="A124" s="27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1"/>
      <c r="R124" s="241"/>
      <c r="S124" s="241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36"/>
      <c r="R125" s="236"/>
      <c r="S125" s="236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36"/>
      <c r="R126" s="236"/>
      <c r="S126" s="236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41"/>
      <c r="R127" s="241"/>
      <c r="S127" s="241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41"/>
      <c r="R128" s="241"/>
      <c r="S128" s="241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41"/>
      <c r="R129" s="241"/>
      <c r="S129" s="241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41"/>
      <c r="R130" s="241"/>
      <c r="S130" s="241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41"/>
      <c r="R131" s="241"/>
      <c r="S131" s="241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41"/>
      <c r="R132" s="241"/>
      <c r="S132" s="241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50"/>
      <c r="R134" s="251"/>
      <c r="S134" s="252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53"/>
      <c r="R135" s="254"/>
      <c r="S135" s="255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56"/>
      <c r="R136" s="257"/>
      <c r="S136" s="258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41"/>
      <c r="R137" s="241"/>
      <c r="S137" s="241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36"/>
      <c r="R138" s="236"/>
      <c r="S138" s="236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36"/>
      <c r="R139" s="236"/>
      <c r="S139" s="236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41"/>
      <c r="R140" s="241"/>
      <c r="S140" s="241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41"/>
      <c r="R141" s="241"/>
      <c r="S141" s="241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41"/>
      <c r="R142" s="241"/>
      <c r="S142" s="241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63"/>
      <c r="R143" s="264"/>
      <c r="S143" s="265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66"/>
      <c r="R144" s="267"/>
      <c r="S144" s="268"/>
    </row>
    <row r="145" spans="1:19" ht="17.25" thickBot="1">
      <c r="A145" s="132" t="s">
        <v>270</v>
      </c>
      <c r="B145" s="274">
        <f>$B$37</f>
        <v>100000</v>
      </c>
      <c r="C145" s="275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269"/>
      <c r="R145" s="270"/>
      <c r="S145" s="27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36"/>
      <c r="R148" s="236"/>
      <c r="S148" s="236"/>
    </row>
    <row r="149" spans="1:19" ht="17.25" thickBot="1">
      <c r="A149" s="165" t="s">
        <v>267</v>
      </c>
      <c r="B149" s="215" t="s">
        <v>49</v>
      </c>
      <c r="C149" s="217"/>
      <c r="D149" s="215" t="s">
        <v>58</v>
      </c>
      <c r="E149" s="216"/>
      <c r="F149" s="217"/>
      <c r="G149" s="242">
        <f>_xlfn.IFNA(VLOOKUP(B149, 현재가테이블!$B$2:$D$200, 2, FALSE), "-")</f>
        <v>53976000</v>
      </c>
      <c r="H149" s="243"/>
      <c r="I149" s="244"/>
      <c r="J149" s="215" t="s">
        <v>59</v>
      </c>
      <c r="K149" s="216"/>
      <c r="L149" s="217"/>
      <c r="M149" s="245">
        <f>_xlfn.IFNA(VLOOKUP(B149, 현재가테이블!$B$2:$D$200, 3, FALSE), "-")</f>
        <v>-2.1216407400000001E-2</v>
      </c>
      <c r="N149" s="246"/>
      <c r="O149" s="247"/>
      <c r="Q149" s="236"/>
      <c r="R149" s="236"/>
      <c r="S149" s="236"/>
    </row>
    <row r="150" spans="1:19" ht="17.25" thickBot="1">
      <c r="A150" s="276" t="s">
        <v>55</v>
      </c>
      <c r="B150" s="278" t="str">
        <f>TEXT($G$1, "[$-ko-KR]yyyy-mm-dd(ddd) ") &amp; "오전 00:00"</f>
        <v>2021-08-03(화) 오전 00:00</v>
      </c>
      <c r="C150" s="279"/>
      <c r="D150" s="238" t="str">
        <f>TEXT($G$1, "[$-ko-KR]yyyy-mm-dd(ddd) ") &amp; "오후 14:00"</f>
        <v>2021-08-03(화) 오후 14:00</v>
      </c>
      <c r="E150" s="239"/>
      <c r="F150" s="240"/>
      <c r="G150" s="238" t="str">
        <f>TEXT($G$1, "[$-ko-KR]yyyy-mm-dd(ddd) ") &amp; "오후 19:00"</f>
        <v>2021-08-03(화) 오후 19:00</v>
      </c>
      <c r="H150" s="239"/>
      <c r="I150" s="240"/>
      <c r="J150" s="238" t="str">
        <f>TEXT($G$1, "[$-ko-KR]yyyy-mm-dd(ddd) ") &amp; "오후 21:00"</f>
        <v>2021-08-03(화) 오후 21:00</v>
      </c>
      <c r="K150" s="239"/>
      <c r="L150" s="240"/>
      <c r="M150" s="238" t="str">
        <f>TEXT($G$1+1, "[$-ko-KR]yyyy-mm-dd(ddd) ") &amp; "오전 00:00"</f>
        <v>2021-08-04(수) 오전 00:00</v>
      </c>
      <c r="N150" s="239"/>
      <c r="O150" s="240"/>
      <c r="Q150" s="236"/>
      <c r="R150" s="236"/>
      <c r="S150" s="236"/>
    </row>
    <row r="151" spans="1:19" ht="17.25" thickBot="1">
      <c r="A151" s="27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1"/>
      <c r="R151" s="241"/>
      <c r="S151" s="241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36"/>
      <c r="R152" s="236"/>
      <c r="S152" s="236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36"/>
      <c r="R153" s="236"/>
      <c r="S153" s="236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41"/>
      <c r="R154" s="241"/>
      <c r="S154" s="241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41"/>
      <c r="R155" s="241"/>
      <c r="S155" s="241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41"/>
      <c r="R156" s="241"/>
      <c r="S156" s="241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41"/>
      <c r="R157" s="241"/>
      <c r="S157" s="241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41"/>
      <c r="R158" s="241"/>
      <c r="S158" s="241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41"/>
      <c r="R159" s="241"/>
      <c r="S159" s="241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50"/>
      <c r="R161" s="251"/>
      <c r="S161" s="252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53"/>
      <c r="R162" s="254"/>
      <c r="S162" s="255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56"/>
      <c r="R163" s="257"/>
      <c r="S163" s="258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41"/>
      <c r="R164" s="241"/>
      <c r="S164" s="241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36"/>
      <c r="R165" s="236"/>
      <c r="S165" s="236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36"/>
      <c r="R166" s="236"/>
      <c r="S166" s="236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41"/>
      <c r="R167" s="241"/>
      <c r="S167" s="241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41"/>
      <c r="R168" s="241"/>
      <c r="S168" s="241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41"/>
      <c r="R169" s="241"/>
      <c r="S169" s="241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63"/>
      <c r="R170" s="264"/>
      <c r="S170" s="265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66"/>
      <c r="R171" s="267"/>
      <c r="S171" s="268"/>
    </row>
    <row r="172" spans="1:19" ht="17.25" thickBot="1">
      <c r="A172" s="132" t="s">
        <v>270</v>
      </c>
      <c r="B172" s="274">
        <f>$B$37</f>
        <v>100000</v>
      </c>
      <c r="C172" s="275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269"/>
      <c r="R172" s="270"/>
      <c r="S172" s="27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36"/>
      <c r="R175" s="236"/>
      <c r="S175" s="236"/>
    </row>
    <row r="176" spans="1:19" ht="17.25" thickBot="1">
      <c r="A176" s="165" t="s">
        <v>267</v>
      </c>
      <c r="B176" s="215" t="s">
        <v>49</v>
      </c>
      <c r="C176" s="217"/>
      <c r="D176" s="215" t="s">
        <v>58</v>
      </c>
      <c r="E176" s="216"/>
      <c r="F176" s="217"/>
      <c r="G176" s="242">
        <f>_xlfn.IFNA(VLOOKUP(B176, 현재가테이블!$B$2:$D$200, 2, FALSE), "-")</f>
        <v>53976000</v>
      </c>
      <c r="H176" s="243"/>
      <c r="I176" s="244"/>
      <c r="J176" s="215" t="s">
        <v>59</v>
      </c>
      <c r="K176" s="216"/>
      <c r="L176" s="217"/>
      <c r="M176" s="245">
        <f>_xlfn.IFNA(VLOOKUP(B176, 현재가테이블!$B$2:$D$200, 3, FALSE), "-")</f>
        <v>-2.1216407400000001E-2</v>
      </c>
      <c r="N176" s="246"/>
      <c r="O176" s="247"/>
      <c r="Q176" s="236"/>
      <c r="R176" s="236"/>
      <c r="S176" s="236"/>
    </row>
    <row r="177" spans="1:19" ht="17.25" thickBot="1">
      <c r="A177" s="276" t="s">
        <v>55</v>
      </c>
      <c r="B177" s="278" t="str">
        <f>TEXT($G$1, "[$-ko-KR]yyyy-mm-dd(ddd) ") &amp; "오전 00:00"</f>
        <v>2021-08-03(화) 오전 00:00</v>
      </c>
      <c r="C177" s="279"/>
      <c r="D177" s="238" t="str">
        <f>TEXT($G$1, "[$-ko-KR]yyyy-mm-dd(ddd) ") &amp; "오후 14:00"</f>
        <v>2021-08-03(화) 오후 14:00</v>
      </c>
      <c r="E177" s="239"/>
      <c r="F177" s="240"/>
      <c r="G177" s="238" t="str">
        <f>TEXT($G$1, "[$-ko-KR]yyyy-mm-dd(ddd) ") &amp; "오후 19:00"</f>
        <v>2021-08-03(화) 오후 19:00</v>
      </c>
      <c r="H177" s="239"/>
      <c r="I177" s="240"/>
      <c r="J177" s="238" t="str">
        <f>TEXT($G$1, "[$-ko-KR]yyyy-mm-dd(ddd) ") &amp; "오후 21:00"</f>
        <v>2021-08-03(화) 오후 21:00</v>
      </c>
      <c r="K177" s="239"/>
      <c r="L177" s="240"/>
      <c r="M177" s="238" t="str">
        <f>TEXT($G$1+1, "[$-ko-KR]yyyy-mm-dd(ddd) ") &amp; "오전 00:00"</f>
        <v>2021-08-04(수) 오전 00:00</v>
      </c>
      <c r="N177" s="239"/>
      <c r="O177" s="240"/>
      <c r="Q177" s="236"/>
      <c r="R177" s="236"/>
      <c r="S177" s="236"/>
    </row>
    <row r="178" spans="1:19" ht="17.25" thickBot="1">
      <c r="A178" s="27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1"/>
      <c r="R178" s="241"/>
      <c r="S178" s="241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36"/>
      <c r="R179" s="236"/>
      <c r="S179" s="236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36"/>
      <c r="R180" s="236"/>
      <c r="S180" s="236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41"/>
      <c r="R181" s="241"/>
      <c r="S181" s="241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41"/>
      <c r="R182" s="241"/>
      <c r="S182" s="241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41"/>
      <c r="R183" s="241"/>
      <c r="S183" s="241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41"/>
      <c r="R184" s="241"/>
      <c r="S184" s="241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41"/>
      <c r="R185" s="241"/>
      <c r="S185" s="241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41"/>
      <c r="R186" s="241"/>
      <c r="S186" s="241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50"/>
      <c r="R188" s="251"/>
      <c r="S188" s="252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53"/>
      <c r="R189" s="254"/>
      <c r="S189" s="255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56"/>
      <c r="R190" s="257"/>
      <c r="S190" s="258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41"/>
      <c r="R191" s="241"/>
      <c r="S191" s="241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36"/>
      <c r="R192" s="236"/>
      <c r="S192" s="236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36"/>
      <c r="R193" s="236"/>
      <c r="S193" s="236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41"/>
      <c r="R194" s="241"/>
      <c r="S194" s="241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41"/>
      <c r="R195" s="241"/>
      <c r="S195" s="241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41"/>
      <c r="R196" s="241"/>
      <c r="S196" s="241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63"/>
      <c r="R197" s="264"/>
      <c r="S197" s="265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66"/>
      <c r="R198" s="267"/>
      <c r="S198" s="268"/>
    </row>
    <row r="199" spans="1:19" ht="17.25" thickBot="1">
      <c r="A199" s="132" t="s">
        <v>270</v>
      </c>
      <c r="B199" s="274">
        <f>$B$37</f>
        <v>100000</v>
      </c>
      <c r="C199" s="275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269"/>
      <c r="R199" s="270"/>
      <c r="S199" s="27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7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7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7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7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7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6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6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6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6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6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64" priority="157">
      <formula>AND($N17 &gt; 0, ISNUMBER($N17))</formula>
    </cfRule>
    <cfRule type="expression" dxfId="2163" priority="158">
      <formula>AND($N17 = 0 * ISNUMBER($N17))</formula>
    </cfRule>
    <cfRule type="expression" dxfId="2162" priority="159">
      <formula>AND($N17 &lt; 0, ISNUMBER($N17))</formula>
    </cfRule>
  </conditionalFormatting>
  <conditionalFormatting sqref="A17:F36">
    <cfRule type="expression" dxfId="2161" priority="166">
      <formula>AND($E17 &gt; 0, ISNUMBER($E17))</formula>
    </cfRule>
    <cfRule type="expression" dxfId="2160" priority="167">
      <formula>AND($E17 = 0 * ISNUMBER($E17))</formula>
    </cfRule>
    <cfRule type="expression" dxfId="2159" priority="168">
      <formula>AND($E17 &lt; 0, ISNUMBER($E17))</formula>
    </cfRule>
  </conditionalFormatting>
  <conditionalFormatting sqref="A17:C36 G17:I36">
    <cfRule type="expression" dxfId="2158" priority="163">
      <formula>AND($H17 &gt; 0, ISNUMBER($H17))</formula>
    </cfRule>
    <cfRule type="expression" dxfId="2157" priority="164">
      <formula>AND($H17 = 0 * ISNUMBER($H17))</formula>
    </cfRule>
    <cfRule type="expression" dxfId="2156" priority="165">
      <formula>AND($H17 &lt; 0, ISNUMBER($H17))</formula>
    </cfRule>
  </conditionalFormatting>
  <conditionalFormatting sqref="A17:C36 J17:L36">
    <cfRule type="expression" dxfId="2155" priority="160">
      <formula>AND($K17 &gt; 0, ISNUMBER($K17))</formula>
    </cfRule>
    <cfRule type="expression" dxfId="2154" priority="161">
      <formula>AND($K17 = 0 * ISNUMBER($K17))</formula>
    </cfRule>
    <cfRule type="expression" dxfId="2153" priority="162">
      <formula>AND($K17 &lt; 0, ISNUMBER($K17))</formula>
    </cfRule>
  </conditionalFormatting>
  <conditionalFormatting sqref="D15:F16 E37:F37">
    <cfRule type="expression" dxfId="2152" priority="154">
      <formula>$E$37 &gt; 0</formula>
    </cfRule>
    <cfRule type="expression" dxfId="2151" priority="155">
      <formula>$E$37 = 0</formula>
    </cfRule>
    <cfRule type="expression" dxfId="2150" priority="156">
      <formula>$E$37 &lt; 0</formula>
    </cfRule>
  </conditionalFormatting>
  <conditionalFormatting sqref="G15:I16 H37:I37">
    <cfRule type="expression" dxfId="2149" priority="151">
      <formula>$H$37 &gt; 0</formula>
    </cfRule>
    <cfRule type="expression" dxfId="2148" priority="152">
      <formula>$H$37 = 0</formula>
    </cfRule>
    <cfRule type="expression" dxfId="2147" priority="153">
      <formula>$H$37 &lt; 0</formula>
    </cfRule>
  </conditionalFormatting>
  <conditionalFormatting sqref="J15:L16 K37:L37">
    <cfRule type="expression" dxfId="2146" priority="148">
      <formula>$K$37 &gt; 0</formula>
    </cfRule>
    <cfRule type="expression" dxfId="2145" priority="149">
      <formula>$K$37 = 0</formula>
    </cfRule>
    <cfRule type="expression" dxfId="2144" priority="150">
      <formula>$K$37 &lt; 0</formula>
    </cfRule>
  </conditionalFormatting>
  <conditionalFormatting sqref="M15:O16 N37:O37">
    <cfRule type="expression" dxfId="2143" priority="145">
      <formula>$N$37 &gt; 0</formula>
    </cfRule>
    <cfRule type="expression" dxfId="2142" priority="146">
      <formula>$N$37 = 0</formula>
    </cfRule>
    <cfRule type="expression" dxfId="2141" priority="147">
      <formula>$N$37 &lt; 0</formula>
    </cfRule>
  </conditionalFormatting>
  <conditionalFormatting sqref="A44:C63 M44:O63">
    <cfRule type="expression" dxfId="2140" priority="133">
      <formula>AND($N44 &gt; 0, ISNUMBER($N44))</formula>
    </cfRule>
    <cfRule type="expression" dxfId="2139" priority="134">
      <formula>AND($N44 = 0 * ISNUMBER($N44))</formula>
    </cfRule>
    <cfRule type="expression" dxfId="2138" priority="135">
      <formula>AND($N44 &lt; 0, ISNUMBER($N44))</formula>
    </cfRule>
  </conditionalFormatting>
  <conditionalFormatting sqref="A44:F63">
    <cfRule type="expression" dxfId="2137" priority="142">
      <formula>AND($E44 &gt; 0, ISNUMBER($E44))</formula>
    </cfRule>
    <cfRule type="expression" dxfId="2136" priority="143">
      <formula>AND($E44 = 0 * ISNUMBER($E44))</formula>
    </cfRule>
    <cfRule type="expression" dxfId="2135" priority="144">
      <formula>AND($E44 &lt; 0, ISNUMBER($E44))</formula>
    </cfRule>
  </conditionalFormatting>
  <conditionalFormatting sqref="A44:C63 G44:I63">
    <cfRule type="expression" dxfId="2134" priority="139">
      <formula>AND($H44 &gt; 0, ISNUMBER($H44))</formula>
    </cfRule>
    <cfRule type="expression" dxfId="2133" priority="140">
      <formula>AND($H44 = 0 * ISNUMBER($H44))</formula>
    </cfRule>
    <cfRule type="expression" dxfId="2132" priority="141">
      <formula>AND($H44 &lt; 0, ISNUMBER($H44))</formula>
    </cfRule>
  </conditionalFormatting>
  <conditionalFormatting sqref="A44:C63 J44:L63">
    <cfRule type="expression" dxfId="2131" priority="136">
      <formula>AND($K44 &gt; 0, ISNUMBER($K44))</formula>
    </cfRule>
    <cfRule type="expression" dxfId="2130" priority="137">
      <formula>AND($K44 = 0 * ISNUMBER($K44))</formula>
    </cfRule>
    <cfRule type="expression" dxfId="2129" priority="138">
      <formula>AND($K44 &lt; 0, ISNUMBER($K44))</formula>
    </cfRule>
  </conditionalFormatting>
  <conditionalFormatting sqref="D42:F43 E64:F64">
    <cfRule type="expression" dxfId="2128" priority="130">
      <formula>$E$64 &gt; 0</formula>
    </cfRule>
    <cfRule type="expression" dxfId="2127" priority="131">
      <formula>$E$64 = 0</formula>
    </cfRule>
    <cfRule type="expression" dxfId="2126" priority="132">
      <formula>$E$64 &lt; 0</formula>
    </cfRule>
  </conditionalFormatting>
  <conditionalFormatting sqref="G42:I43 H64:I64">
    <cfRule type="expression" dxfId="2125" priority="127">
      <formula>$H$64 &gt; 0</formula>
    </cfRule>
    <cfRule type="expression" dxfId="2124" priority="128">
      <formula>$H$64 = 0</formula>
    </cfRule>
    <cfRule type="expression" dxfId="2123" priority="129">
      <formula>$H$64 &lt; 0</formula>
    </cfRule>
  </conditionalFormatting>
  <conditionalFormatting sqref="J42:L43 K64:L64">
    <cfRule type="expression" dxfId="2122" priority="124">
      <formula>$K$64 &gt; 0</formula>
    </cfRule>
    <cfRule type="expression" dxfId="2121" priority="125">
      <formula>$K$64 = 0</formula>
    </cfRule>
    <cfRule type="expression" dxfId="2120" priority="126">
      <formula>$K$64 &lt; 0</formula>
    </cfRule>
  </conditionalFormatting>
  <conditionalFormatting sqref="M42:O43 N64:O64">
    <cfRule type="expression" dxfId="2119" priority="121">
      <formula>$N$64 &gt; 0</formula>
    </cfRule>
    <cfRule type="expression" dxfId="2118" priority="122">
      <formula>$N$64 = 0</formula>
    </cfRule>
    <cfRule type="expression" dxfId="2117" priority="123">
      <formula>$N$64 &lt; 0</formula>
    </cfRule>
  </conditionalFormatting>
  <conditionalFormatting sqref="A71:C90 M71:O90">
    <cfRule type="expression" dxfId="2116" priority="109">
      <formula>AND($N71 &gt; 0, ISNUMBER($N71))</formula>
    </cfRule>
    <cfRule type="expression" dxfId="2115" priority="110">
      <formula>AND($N71 = 0 * ISNUMBER($N71))</formula>
    </cfRule>
    <cfRule type="expression" dxfId="2114" priority="111">
      <formula>AND($N71 &lt; 0, ISNUMBER($N71))</formula>
    </cfRule>
  </conditionalFormatting>
  <conditionalFormatting sqref="A71:F90">
    <cfRule type="expression" dxfId="2113" priority="118">
      <formula>AND($E71 &gt; 0, ISNUMBER($E71))</formula>
    </cfRule>
    <cfRule type="expression" dxfId="2112" priority="119">
      <formula>AND($E71 = 0 * ISNUMBER($E71))</formula>
    </cfRule>
    <cfRule type="expression" dxfId="2111" priority="120">
      <formula>AND($E71 &lt; 0, ISNUMBER($E71))</formula>
    </cfRule>
  </conditionalFormatting>
  <conditionalFormatting sqref="A71:C90 G71:I90">
    <cfRule type="expression" dxfId="2110" priority="115">
      <formula>AND($H71 &gt; 0, ISNUMBER($H71))</formula>
    </cfRule>
    <cfRule type="expression" dxfId="2109" priority="116">
      <formula>AND($H71 = 0 * ISNUMBER($H71))</formula>
    </cfRule>
    <cfRule type="expression" dxfId="2108" priority="117">
      <formula>AND($H71 &lt; 0, ISNUMBER($H71))</formula>
    </cfRule>
  </conditionalFormatting>
  <conditionalFormatting sqref="A71:C90 J71:L90">
    <cfRule type="expression" dxfId="2107" priority="112">
      <formula>AND($K71 &gt; 0, ISNUMBER($K71))</formula>
    </cfRule>
    <cfRule type="expression" dxfId="2106" priority="113">
      <formula>AND($K71 = 0 * ISNUMBER($K71))</formula>
    </cfRule>
    <cfRule type="expression" dxfId="2105" priority="114">
      <formula>AND($K71 &lt; 0, ISNUMBER($K71))</formula>
    </cfRule>
  </conditionalFormatting>
  <conditionalFormatting sqref="D69:F70 E91:F91">
    <cfRule type="expression" dxfId="2104" priority="106">
      <formula>$E$91 &gt; 0</formula>
    </cfRule>
    <cfRule type="expression" dxfId="2103" priority="107">
      <formula>$E$91 = 0</formula>
    </cfRule>
    <cfRule type="expression" dxfId="2102" priority="108">
      <formula>$E$91 &lt; 0</formula>
    </cfRule>
  </conditionalFormatting>
  <conditionalFormatting sqref="G69:I70 H91:I91">
    <cfRule type="expression" dxfId="2101" priority="103">
      <formula>$H$91 &gt; 0</formula>
    </cfRule>
    <cfRule type="expression" dxfId="2100" priority="104">
      <formula>$H$91 = 0</formula>
    </cfRule>
    <cfRule type="expression" dxfId="2099" priority="105">
      <formula>$H$91 &lt; 0</formula>
    </cfRule>
  </conditionalFormatting>
  <conditionalFormatting sqref="J69:L70 K91:L91">
    <cfRule type="expression" dxfId="2098" priority="100">
      <formula>$K$91 &gt; 0</formula>
    </cfRule>
    <cfRule type="expression" dxfId="2097" priority="101">
      <formula>$K$91 = 0</formula>
    </cfRule>
    <cfRule type="expression" dxfId="2096" priority="102">
      <formula>$K$91 &lt; 0</formula>
    </cfRule>
  </conditionalFormatting>
  <conditionalFormatting sqref="M69:O70 N91:O91">
    <cfRule type="expression" dxfId="2095" priority="97">
      <formula>$N$91 &gt; 0</formula>
    </cfRule>
    <cfRule type="expression" dxfId="2094" priority="98">
      <formula>$N$91 = 0</formula>
    </cfRule>
    <cfRule type="expression" dxfId="2093" priority="99">
      <formula>$N$91 &lt; 0</formula>
    </cfRule>
  </conditionalFormatting>
  <conditionalFormatting sqref="A98:C117 M98:O117">
    <cfRule type="expression" dxfId="2092" priority="85">
      <formula>AND($N98 &gt; 0, ISNUMBER($N98))</formula>
    </cfRule>
    <cfRule type="expression" dxfId="2091" priority="86">
      <formula>AND($N98 = 0 * ISNUMBER($N98))</formula>
    </cfRule>
    <cfRule type="expression" dxfId="2090" priority="87">
      <formula>AND($N98 &lt; 0, ISNUMBER($N98))</formula>
    </cfRule>
  </conditionalFormatting>
  <conditionalFormatting sqref="A98:F117">
    <cfRule type="expression" dxfId="2089" priority="94">
      <formula>AND($E98 &gt; 0, ISNUMBER($E98))</formula>
    </cfRule>
    <cfRule type="expression" dxfId="2088" priority="95">
      <formula>AND($E98 = 0 * ISNUMBER($E98))</formula>
    </cfRule>
    <cfRule type="expression" dxfId="2087" priority="96">
      <formula>AND($E98 &lt; 0, ISNUMBER($E98))</formula>
    </cfRule>
  </conditionalFormatting>
  <conditionalFormatting sqref="A98:C117 G98:I117">
    <cfRule type="expression" dxfId="2086" priority="91">
      <formula>AND($H98 &gt; 0, ISNUMBER($H98))</formula>
    </cfRule>
    <cfRule type="expression" dxfId="2085" priority="92">
      <formula>AND($H98 = 0 * ISNUMBER($H98))</formula>
    </cfRule>
    <cfRule type="expression" dxfId="2084" priority="93">
      <formula>AND($H98 &lt; 0, ISNUMBER($H98))</formula>
    </cfRule>
  </conditionalFormatting>
  <conditionalFormatting sqref="A98:C117 J98:L117">
    <cfRule type="expression" dxfId="2083" priority="88">
      <formula>AND($K98 &gt; 0, ISNUMBER($K98))</formula>
    </cfRule>
    <cfRule type="expression" dxfId="2082" priority="89">
      <formula>AND($K98 = 0 * ISNUMBER($K98))</formula>
    </cfRule>
    <cfRule type="expression" dxfId="2081" priority="90">
      <formula>AND($K98 &lt; 0, ISNUMBER($K98))</formula>
    </cfRule>
  </conditionalFormatting>
  <conditionalFormatting sqref="D96:F97 E118:F118">
    <cfRule type="expression" dxfId="2080" priority="82">
      <formula>$E$118 &gt; 0</formula>
    </cfRule>
    <cfRule type="expression" dxfId="2079" priority="83">
      <formula>$E$118 = 0</formula>
    </cfRule>
    <cfRule type="expression" dxfId="2078" priority="84">
      <formula>$E$118 &lt; 0</formula>
    </cfRule>
  </conditionalFormatting>
  <conditionalFormatting sqref="G96:I97 H118:I118">
    <cfRule type="expression" dxfId="2077" priority="79">
      <formula>$H$118 &gt; 0</formula>
    </cfRule>
    <cfRule type="expression" dxfId="2076" priority="80">
      <formula>$H$118 = 0</formula>
    </cfRule>
    <cfRule type="expression" dxfId="2075" priority="81">
      <formula>$H$118 &lt; 0</formula>
    </cfRule>
  </conditionalFormatting>
  <conditionalFormatting sqref="J96:L97 K118:L118">
    <cfRule type="expression" dxfId="2074" priority="76">
      <formula>$K$118 &gt; 0</formula>
    </cfRule>
    <cfRule type="expression" dxfId="2073" priority="77">
      <formula>$K$118 = 0</formula>
    </cfRule>
    <cfRule type="expression" dxfId="2072" priority="78">
      <formula>$K$118 &lt; 0</formula>
    </cfRule>
  </conditionalFormatting>
  <conditionalFormatting sqref="M96:O97 N118:O118">
    <cfRule type="expression" dxfId="2071" priority="73">
      <formula>$N$118 &gt; 0</formula>
    </cfRule>
    <cfRule type="expression" dxfId="2070" priority="74">
      <formula>$N$118 = 0</formula>
    </cfRule>
    <cfRule type="expression" dxfId="2069" priority="75">
      <formula>$N$118 &lt; 0</formula>
    </cfRule>
  </conditionalFormatting>
  <conditionalFormatting sqref="A125:C144 M125:O144">
    <cfRule type="expression" dxfId="2068" priority="61">
      <formula>AND($N125 &gt; 0, ISNUMBER($N125))</formula>
    </cfRule>
    <cfRule type="expression" dxfId="2067" priority="62">
      <formula>AND($N125 = 0 * ISNUMBER($N125))</formula>
    </cfRule>
    <cfRule type="expression" dxfId="2066" priority="63">
      <formula>AND($N125 &lt; 0, ISNUMBER($N125))</formula>
    </cfRule>
  </conditionalFormatting>
  <conditionalFormatting sqref="A125:F144">
    <cfRule type="expression" dxfId="2065" priority="70">
      <formula>AND($E125 &gt; 0, ISNUMBER($E125))</formula>
    </cfRule>
    <cfRule type="expression" dxfId="2064" priority="71">
      <formula>AND($E125 = 0 * ISNUMBER($E125))</formula>
    </cfRule>
    <cfRule type="expression" dxfId="2063" priority="72">
      <formula>AND($E125 &lt; 0, ISNUMBER($E125))</formula>
    </cfRule>
  </conditionalFormatting>
  <conditionalFormatting sqref="A125:C144 G125:I144">
    <cfRule type="expression" dxfId="2062" priority="67">
      <formula>AND($H125 &gt; 0, ISNUMBER($H125))</formula>
    </cfRule>
    <cfRule type="expression" dxfId="2061" priority="68">
      <formula>AND($H125 = 0 * ISNUMBER($H125))</formula>
    </cfRule>
    <cfRule type="expression" dxfId="2060" priority="69">
      <formula>AND($H125 &lt; 0, ISNUMBER($H125))</formula>
    </cfRule>
  </conditionalFormatting>
  <conditionalFormatting sqref="A125:C144 J125:L144">
    <cfRule type="expression" dxfId="2059" priority="64">
      <formula>AND($K125 &gt; 0, ISNUMBER($K125))</formula>
    </cfRule>
    <cfRule type="expression" dxfId="2058" priority="65">
      <formula>AND($K125 = 0 * ISNUMBER($K125))</formula>
    </cfRule>
    <cfRule type="expression" dxfId="2057" priority="66">
      <formula>AND($K125 &lt; 0, ISNUMBER($K125))</formula>
    </cfRule>
  </conditionalFormatting>
  <conditionalFormatting sqref="D123:F124 E145:F145">
    <cfRule type="expression" dxfId="2056" priority="58">
      <formula>$E$145 &gt; 0</formula>
    </cfRule>
    <cfRule type="expression" dxfId="2055" priority="59">
      <formula>$E$145 = 0</formula>
    </cfRule>
    <cfRule type="expression" dxfId="2054" priority="60">
      <formula>$E$145 &lt; 0</formula>
    </cfRule>
  </conditionalFormatting>
  <conditionalFormatting sqref="G123:I124 H145:I145">
    <cfRule type="expression" dxfId="2053" priority="55">
      <formula>$H$145 &gt; 0</formula>
    </cfRule>
    <cfRule type="expression" dxfId="2052" priority="56">
      <formula>$H$145 = 0</formula>
    </cfRule>
    <cfRule type="expression" dxfId="2051" priority="57">
      <formula>$H$145 &lt; 0</formula>
    </cfRule>
  </conditionalFormatting>
  <conditionalFormatting sqref="J123:L124 K145:L145">
    <cfRule type="expression" dxfId="2050" priority="52">
      <formula>$K$145 &gt; 0</formula>
    </cfRule>
    <cfRule type="expression" dxfId="2049" priority="53">
      <formula>$K$145 = 0</formula>
    </cfRule>
    <cfRule type="expression" dxfId="2048" priority="54">
      <formula>$K$145 &lt; 0</formula>
    </cfRule>
  </conditionalFormatting>
  <conditionalFormatting sqref="M123:O124 N145:O145">
    <cfRule type="expression" dxfId="2047" priority="49">
      <formula>$N$145 &gt; 0</formula>
    </cfRule>
    <cfRule type="expression" dxfId="2046" priority="50">
      <formula>$N$145 = 0</formula>
    </cfRule>
    <cfRule type="expression" dxfId="2045" priority="51">
      <formula>$N$145 &lt; 0</formula>
    </cfRule>
  </conditionalFormatting>
  <conditionalFormatting sqref="A152:C171 M152:O171">
    <cfRule type="expression" dxfId="2044" priority="37">
      <formula>AND($N152 &gt; 0, ISNUMBER($N152))</formula>
    </cfRule>
    <cfRule type="expression" dxfId="2043" priority="38">
      <formula>AND($N152 = 0 * ISNUMBER($N152))</formula>
    </cfRule>
    <cfRule type="expression" dxfId="2042" priority="39">
      <formula>AND($N152 &lt; 0, ISNUMBER($N152))</formula>
    </cfRule>
  </conditionalFormatting>
  <conditionalFormatting sqref="A152:F171">
    <cfRule type="expression" dxfId="2041" priority="46">
      <formula>AND($E152 &gt; 0, ISNUMBER($E152))</formula>
    </cfRule>
    <cfRule type="expression" dxfId="2040" priority="47">
      <formula>AND($E152 = 0 * ISNUMBER($E152))</formula>
    </cfRule>
    <cfRule type="expression" dxfId="2039" priority="48">
      <formula>AND($E152 &lt; 0, ISNUMBER($E152))</formula>
    </cfRule>
  </conditionalFormatting>
  <conditionalFormatting sqref="A152:C171 G152:I171">
    <cfRule type="expression" dxfId="2038" priority="43">
      <formula>AND($H152 &gt; 0, ISNUMBER($H152))</formula>
    </cfRule>
    <cfRule type="expression" dxfId="2037" priority="44">
      <formula>AND($H152 = 0 * ISNUMBER($H152))</formula>
    </cfRule>
    <cfRule type="expression" dxfId="2036" priority="45">
      <formula>AND($H152 &lt; 0, ISNUMBER($H152))</formula>
    </cfRule>
  </conditionalFormatting>
  <conditionalFormatting sqref="A152:C171 J152:L171">
    <cfRule type="expression" dxfId="2035" priority="40">
      <formula>AND($K152 &gt; 0, ISNUMBER($K152))</formula>
    </cfRule>
    <cfRule type="expression" dxfId="2034" priority="41">
      <formula>AND($K152 = 0 * ISNUMBER($K152))</formula>
    </cfRule>
    <cfRule type="expression" dxfId="2033" priority="42">
      <formula>AND($K152 &lt; 0, ISNUMBER($K152))</formula>
    </cfRule>
  </conditionalFormatting>
  <conditionalFormatting sqref="D150:F151 E172:F172">
    <cfRule type="expression" dxfId="2032" priority="34">
      <formula>$E$172 &gt; 0</formula>
    </cfRule>
    <cfRule type="expression" dxfId="2031" priority="35">
      <formula>$E$172 = 0</formula>
    </cfRule>
    <cfRule type="expression" dxfId="2030" priority="36">
      <formula>$E$172 &lt; 0</formula>
    </cfRule>
  </conditionalFormatting>
  <conditionalFormatting sqref="G150:I151 H172:I172">
    <cfRule type="expression" dxfId="2029" priority="31">
      <formula>$H$172 &gt; 0</formula>
    </cfRule>
    <cfRule type="expression" dxfId="2028" priority="32">
      <formula>$H$172 = 0</formula>
    </cfRule>
    <cfRule type="expression" dxfId="2027" priority="33">
      <formula>$H$172 &lt; 0</formula>
    </cfRule>
  </conditionalFormatting>
  <conditionalFormatting sqref="J150:L151 K172:L172">
    <cfRule type="expression" dxfId="2026" priority="28">
      <formula>$K$172 &gt; 0</formula>
    </cfRule>
    <cfRule type="expression" dxfId="2025" priority="29">
      <formula>$K$172 = 0</formula>
    </cfRule>
    <cfRule type="expression" dxfId="2024" priority="30">
      <formula>$K$172 &lt; 0</formula>
    </cfRule>
  </conditionalFormatting>
  <conditionalFormatting sqref="M150:O151 N172:O172">
    <cfRule type="expression" dxfId="2023" priority="25">
      <formula>$N$172 &gt; 0</formula>
    </cfRule>
    <cfRule type="expression" dxfId="2022" priority="26">
      <formula>$N$172 = 0</formula>
    </cfRule>
    <cfRule type="expression" dxfId="2021" priority="27">
      <formula>$N$172 &lt; 0</formula>
    </cfRule>
  </conditionalFormatting>
  <conditionalFormatting sqref="A179:C198 M179:O198">
    <cfRule type="expression" dxfId="2020" priority="13">
      <formula>AND($N179 &gt; 0, ISNUMBER($N179))</formula>
    </cfRule>
    <cfRule type="expression" dxfId="2019" priority="14">
      <formula>AND($N179 = 0 * ISNUMBER($N179))</formula>
    </cfRule>
    <cfRule type="expression" dxfId="2018" priority="15">
      <formula>AND($N179 &lt; 0, ISNUMBER($N179))</formula>
    </cfRule>
  </conditionalFormatting>
  <conditionalFormatting sqref="A179:F198">
    <cfRule type="expression" dxfId="2017" priority="22">
      <formula>AND($E179 &gt; 0, ISNUMBER($E179))</formula>
    </cfRule>
    <cfRule type="expression" dxfId="2016" priority="23">
      <formula>AND($E179 = 0 * ISNUMBER($E179))</formula>
    </cfRule>
    <cfRule type="expression" dxfId="2015" priority="24">
      <formula>AND($E179 &lt; 0, ISNUMBER($E179))</formula>
    </cfRule>
  </conditionalFormatting>
  <conditionalFormatting sqref="A179:C198 G179:I198">
    <cfRule type="expression" dxfId="2014" priority="19">
      <formula>AND($H179 &gt; 0, ISNUMBER($H179))</formula>
    </cfRule>
    <cfRule type="expression" dxfId="2013" priority="20">
      <formula>AND($H179 = 0 * ISNUMBER($H179))</formula>
    </cfRule>
    <cfRule type="expression" dxfId="2012" priority="21">
      <formula>AND($H179 &lt; 0, ISNUMBER($H179))</formula>
    </cfRule>
  </conditionalFormatting>
  <conditionalFormatting sqref="A179:C198 J179:L198">
    <cfRule type="expression" dxfId="2011" priority="16">
      <formula>AND($K179 &gt; 0, ISNUMBER($K179))</formula>
    </cfRule>
    <cfRule type="expression" dxfId="2010" priority="17">
      <formula>AND($K179 = 0 * ISNUMBER($K179))</formula>
    </cfRule>
    <cfRule type="expression" dxfId="2009" priority="18">
      <formula>AND($K179 &lt; 0, ISNUMBER($K179))</formula>
    </cfRule>
  </conditionalFormatting>
  <conditionalFormatting sqref="D177:F178 E199:F199">
    <cfRule type="expression" dxfId="2008" priority="10">
      <formula>$E$199 &gt; 0</formula>
    </cfRule>
    <cfRule type="expression" dxfId="2007" priority="11">
      <formula>$E$199 = 0</formula>
    </cfRule>
    <cfRule type="expression" dxfId="2006" priority="12">
      <formula>$E$199 &lt; 0</formula>
    </cfRule>
  </conditionalFormatting>
  <conditionalFormatting sqref="G177:I178 H199:I199">
    <cfRule type="expression" dxfId="2005" priority="7">
      <formula>$H$199 &gt; 0</formula>
    </cfRule>
    <cfRule type="expression" dxfId="2004" priority="8">
      <formula>$H$199 = 0</formula>
    </cfRule>
    <cfRule type="expression" dxfId="2003" priority="9">
      <formula>$H$199 &lt; 0</formula>
    </cfRule>
  </conditionalFormatting>
  <conditionalFormatting sqref="J177:L178 K199:L199">
    <cfRule type="expression" dxfId="2002" priority="4">
      <formula>$K$199 &gt; 0</formula>
    </cfRule>
    <cfRule type="expression" dxfId="2001" priority="5">
      <formula>$K$199 = 0</formula>
    </cfRule>
    <cfRule type="expression" dxfId="2000" priority="6">
      <formula>$K$199 &lt; 0</formula>
    </cfRule>
  </conditionalFormatting>
  <conditionalFormatting sqref="M177:O178 N199:O199">
    <cfRule type="expression" dxfId="1999" priority="1">
      <formula>$N$199 &gt; 0</formula>
    </cfRule>
    <cfRule type="expression" dxfId="1998" priority="2">
      <formula>$N$199 = 0</formula>
    </cfRule>
    <cfRule type="expression" dxfId="199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18">
        <v>44412</v>
      </c>
      <c r="H1" s="219"/>
      <c r="I1" s="220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24" t="s">
        <v>46</v>
      </c>
      <c r="H2" s="225"/>
      <c r="I2" s="226"/>
      <c r="J2" s="1" t="s">
        <v>3</v>
      </c>
      <c r="K2" s="221" t="s">
        <v>320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27" t="s">
        <v>328</v>
      </c>
      <c r="C3" s="228"/>
      <c r="D3" s="228"/>
      <c r="E3" s="228"/>
      <c r="F3" s="229"/>
      <c r="G3" s="23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31"/>
      <c r="I3" s="232"/>
      <c r="J3" s="4" t="s">
        <v>7</v>
      </c>
      <c r="K3" s="227" t="s">
        <v>321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7" t="s">
        <v>16</v>
      </c>
      <c r="C4" s="228"/>
      <c r="D4" s="228"/>
      <c r="E4" s="228"/>
      <c r="F4" s="229"/>
      <c r="G4" s="224" t="s">
        <v>44</v>
      </c>
      <c r="H4" s="225"/>
      <c r="I4" s="226"/>
      <c r="J4" s="4" t="s">
        <v>11</v>
      </c>
      <c r="K4" s="227" t="s">
        <v>322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7" t="s">
        <v>319</v>
      </c>
      <c r="C5" s="228"/>
      <c r="D5" s="228"/>
      <c r="E5" s="228"/>
      <c r="F5" s="229"/>
      <c r="G5" s="23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31"/>
      <c r="I5" s="232"/>
      <c r="J5" s="4" t="s">
        <v>15</v>
      </c>
      <c r="K5" s="227" t="s">
        <v>323</v>
      </c>
      <c r="L5" s="228"/>
      <c r="M5" s="228"/>
      <c r="N5" s="228"/>
      <c r="O5" s="229"/>
    </row>
    <row r="6" spans="1:19">
      <c r="A6" s="118" t="s">
        <v>18</v>
      </c>
      <c r="B6" s="227"/>
      <c r="C6" s="228"/>
      <c r="D6" s="228"/>
      <c r="E6" s="228"/>
      <c r="F6" s="229"/>
      <c r="G6" s="224" t="s">
        <v>45</v>
      </c>
      <c r="H6" s="225"/>
      <c r="I6" s="226"/>
      <c r="J6" s="4" t="s">
        <v>18</v>
      </c>
      <c r="K6" s="227" t="s">
        <v>324</v>
      </c>
      <c r="L6" s="228"/>
      <c r="M6" s="228"/>
      <c r="N6" s="228"/>
      <c r="O6" s="229"/>
    </row>
    <row r="7" spans="1:19" ht="17.25" thickBot="1">
      <c r="A7" s="118" t="s">
        <v>21</v>
      </c>
      <c r="B7" s="227"/>
      <c r="C7" s="228"/>
      <c r="D7" s="228"/>
      <c r="E7" s="228"/>
      <c r="F7" s="229"/>
      <c r="G7" s="23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31"/>
      <c r="I7" s="232"/>
      <c r="J7" s="4" t="s">
        <v>21</v>
      </c>
      <c r="K7" s="227" t="s">
        <v>325</v>
      </c>
      <c r="L7" s="228"/>
      <c r="M7" s="228"/>
      <c r="N7" s="228"/>
      <c r="O7" s="229"/>
    </row>
    <row r="8" spans="1:19" ht="17.25" thickBot="1">
      <c r="A8" s="118" t="s">
        <v>24</v>
      </c>
      <c r="B8" s="227"/>
      <c r="C8" s="228"/>
      <c r="D8" s="228"/>
      <c r="E8" s="228"/>
      <c r="F8" s="229"/>
      <c r="G8" s="224" t="s">
        <v>255</v>
      </c>
      <c r="H8" s="225"/>
      <c r="I8" s="226"/>
      <c r="J8" s="4" t="s">
        <v>24</v>
      </c>
      <c r="K8" s="227"/>
      <c r="L8" s="228"/>
      <c r="M8" s="228"/>
      <c r="N8" s="228"/>
      <c r="O8" s="229"/>
      <c r="Q8" s="215" t="s">
        <v>27</v>
      </c>
      <c r="R8" s="217"/>
    </row>
    <row r="9" spans="1:19" ht="17.25" thickBot="1">
      <c r="A9" s="118" t="s">
        <v>28</v>
      </c>
      <c r="B9" s="227"/>
      <c r="C9" s="228"/>
      <c r="D9" s="228"/>
      <c r="E9" s="228"/>
      <c r="F9" s="229"/>
      <c r="G9" s="23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31"/>
      <c r="I9" s="232"/>
      <c r="J9" s="4" t="s">
        <v>28</v>
      </c>
      <c r="K9" s="227"/>
      <c r="L9" s="228"/>
      <c r="M9" s="228"/>
      <c r="N9" s="228"/>
      <c r="O9" s="229"/>
      <c r="Q9" s="2" t="s">
        <v>29</v>
      </c>
      <c r="R9" s="6">
        <v>10</v>
      </c>
    </row>
    <row r="10" spans="1:19">
      <c r="A10" s="118" t="s">
        <v>30</v>
      </c>
      <c r="B10" s="227"/>
      <c r="C10" s="228"/>
      <c r="D10" s="228"/>
      <c r="E10" s="228"/>
      <c r="F10" s="229"/>
      <c r="G10" s="224" t="s">
        <v>47</v>
      </c>
      <c r="H10" s="225"/>
      <c r="I10" s="226"/>
      <c r="J10" s="4" t="s">
        <v>30</v>
      </c>
      <c r="K10" s="227" t="s">
        <v>326</v>
      </c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1"/>
      <c r="I11" s="232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36"/>
      <c r="R13" s="236"/>
      <c r="S13" s="236"/>
    </row>
    <row r="14" spans="1:19" ht="17.25" customHeight="1" thickBot="1">
      <c r="A14" s="169" t="s">
        <v>35</v>
      </c>
      <c r="B14" s="215" t="s">
        <v>36</v>
      </c>
      <c r="C14" s="217"/>
      <c r="D14" s="215" t="s">
        <v>37</v>
      </c>
      <c r="E14" s="216"/>
      <c r="F14" s="217"/>
      <c r="G14" s="242">
        <f>_xlfn.IFNA(VLOOKUP(B14, 현재가테이블!$B$2:$D$200, 2, FALSE), "-")</f>
        <v>53976000</v>
      </c>
      <c r="H14" s="243"/>
      <c r="I14" s="244"/>
      <c r="J14" s="215" t="s">
        <v>38</v>
      </c>
      <c r="K14" s="216"/>
      <c r="L14" s="217"/>
      <c r="M14" s="245">
        <f>_xlfn.IFNA(VLOOKUP(B14, 현재가테이블!$B$2:$D$200, 3, FALSE), "-")</f>
        <v>-2.1216407400000001E-2</v>
      </c>
      <c r="N14" s="246"/>
      <c r="O14" s="247"/>
      <c r="Q14" s="236"/>
      <c r="R14" s="236"/>
      <c r="S14" s="236"/>
    </row>
    <row r="15" spans="1:19" ht="17.25" customHeight="1" thickBot="1">
      <c r="A15" s="280" t="s">
        <v>39</v>
      </c>
      <c r="B15" s="281" t="str">
        <f>TEXT($G$1, "[$-ko-KR]yyyy-mm-dd(ddd) ") &amp; "오전 00:00"</f>
        <v>2021-08-04(수) 오전 00:00</v>
      </c>
      <c r="C15" s="282"/>
      <c r="D15" s="238" t="str">
        <f>TEXT($G$1, "[$-ko-KR]yyyy-mm-dd(ddd) ") &amp; "오후 14:00"</f>
        <v>2021-08-04(수) 오후 14:00</v>
      </c>
      <c r="E15" s="239"/>
      <c r="F15" s="240"/>
      <c r="G15" s="238" t="str">
        <f>TEXT($G$1, "[$-ko-KR]yyyy-mm-dd(ddd) ") &amp; "오후 19:00"</f>
        <v>2021-08-04(수) 오후 19:00</v>
      </c>
      <c r="H15" s="239"/>
      <c r="I15" s="240"/>
      <c r="J15" s="238" t="str">
        <f>TEXT($G$1, "[$-ko-KR]yyyy-mm-dd(ddd) ") &amp; "오후 21:00"</f>
        <v>2021-08-04(수) 오후 21:00</v>
      </c>
      <c r="K15" s="239"/>
      <c r="L15" s="240"/>
      <c r="M15" s="238" t="str">
        <f>TEXT($G$1+1, "[$-ko-KR]yyyy-mm-dd(ddd) ") &amp; "오전 00:00"</f>
        <v>2021-08-05(목) 오전 00:00</v>
      </c>
      <c r="N15" s="239"/>
      <c r="O15" s="240"/>
      <c r="Q15" s="236"/>
      <c r="R15" s="236"/>
      <c r="S15" s="236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1"/>
      <c r="R16" s="241"/>
      <c r="S16" s="24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6"/>
      <c r="R17" s="236"/>
      <c r="S17" s="23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6"/>
      <c r="R18" s="236"/>
      <c r="S18" s="23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1"/>
      <c r="R19" s="241"/>
      <c r="S19" s="24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1"/>
      <c r="R20" s="241"/>
      <c r="S20" s="24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1"/>
      <c r="R21" s="241"/>
      <c r="S21" s="24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1"/>
      <c r="R22" s="241"/>
      <c r="S22" s="24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1"/>
      <c r="R23" s="241"/>
      <c r="S23" s="24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1"/>
      <c r="R24" s="241"/>
      <c r="S24" s="24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0"/>
      <c r="R26" s="251"/>
      <c r="S26" s="25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3"/>
      <c r="R27" s="254"/>
      <c r="S27" s="25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6"/>
      <c r="R28" s="257"/>
      <c r="S28" s="25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1"/>
      <c r="R29" s="241"/>
      <c r="S29" s="24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6"/>
      <c r="R30" s="236"/>
      <c r="S30" s="23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6"/>
      <c r="R31" s="236"/>
      <c r="S31" s="23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1"/>
      <c r="R32" s="241"/>
      <c r="S32" s="24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1"/>
      <c r="R33" s="241"/>
      <c r="S33" s="24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1"/>
      <c r="R34" s="241"/>
      <c r="S34" s="24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3"/>
      <c r="R35" s="264"/>
      <c r="S35" s="26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6"/>
      <c r="R36" s="267"/>
      <c r="S36" s="268"/>
    </row>
    <row r="37" spans="1:19" ht="17.25" customHeight="1" thickBot="1">
      <c r="A37" s="132" t="s">
        <v>42</v>
      </c>
      <c r="B37" s="274">
        <v>100000</v>
      </c>
      <c r="C37" s="27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9"/>
      <c r="R37" s="270"/>
      <c r="S37" s="27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36"/>
      <c r="R40" s="236"/>
      <c r="S40" s="236"/>
    </row>
    <row r="41" spans="1:19" ht="17.25" customHeight="1" thickBot="1">
      <c r="A41" s="169" t="s">
        <v>267</v>
      </c>
      <c r="B41" s="215" t="s">
        <v>49</v>
      </c>
      <c r="C41" s="217"/>
      <c r="D41" s="215" t="s">
        <v>58</v>
      </c>
      <c r="E41" s="216"/>
      <c r="F41" s="217"/>
      <c r="G41" s="242">
        <f>_xlfn.IFNA(VLOOKUP(B41, 현재가테이블!$B$2:$D$200, 2, FALSE), "-")</f>
        <v>53976000</v>
      </c>
      <c r="H41" s="243"/>
      <c r="I41" s="244"/>
      <c r="J41" s="215" t="s">
        <v>59</v>
      </c>
      <c r="K41" s="216"/>
      <c r="L41" s="217"/>
      <c r="M41" s="245">
        <f>_xlfn.IFNA(VLOOKUP(B41, 현재가테이블!$B$2:$D$200, 3, FALSE), "-")</f>
        <v>-2.1216407400000001E-2</v>
      </c>
      <c r="N41" s="246"/>
      <c r="O41" s="247"/>
      <c r="Q41" s="236"/>
      <c r="R41" s="236"/>
      <c r="S41" s="236"/>
    </row>
    <row r="42" spans="1:19" ht="17.25" customHeight="1" thickBot="1">
      <c r="A42" s="276" t="s">
        <v>55</v>
      </c>
      <c r="B42" s="278" t="str">
        <f>TEXT($G$1, "[$-ko-KR]yyyy-mm-dd(ddd) ") &amp; "오전 00:00"</f>
        <v>2021-08-04(수) 오전 00:00</v>
      </c>
      <c r="C42" s="279"/>
      <c r="D42" s="238" t="str">
        <f>TEXT($G$1, "[$-ko-KR]yyyy-mm-dd(ddd) ") &amp; "오후 14:00"</f>
        <v>2021-08-04(수) 오후 14:00</v>
      </c>
      <c r="E42" s="239"/>
      <c r="F42" s="240"/>
      <c r="G42" s="238" t="str">
        <f>TEXT($G$1, "[$-ko-KR]yyyy-mm-dd(ddd) ") &amp; "오후 19:00"</f>
        <v>2021-08-04(수) 오후 19:00</v>
      </c>
      <c r="H42" s="239"/>
      <c r="I42" s="240"/>
      <c r="J42" s="238" t="str">
        <f>TEXT($G$1, "[$-ko-KR]yyyy-mm-dd(ddd) ") &amp; "오후 21:00"</f>
        <v>2021-08-04(수) 오후 21:00</v>
      </c>
      <c r="K42" s="239"/>
      <c r="L42" s="240"/>
      <c r="M42" s="238" t="str">
        <f>TEXT($G$1+1, "[$-ko-KR]yyyy-mm-dd(ddd) ") &amp; "오전 00:00"</f>
        <v>2021-08-05(목) 오전 00:00</v>
      </c>
      <c r="N42" s="239"/>
      <c r="O42" s="240"/>
      <c r="Q42" s="236"/>
      <c r="R42" s="236"/>
      <c r="S42" s="236"/>
    </row>
    <row r="43" spans="1:19" ht="17.25" customHeight="1" thickBot="1">
      <c r="A43" s="27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1"/>
      <c r="R43" s="241"/>
      <c r="S43" s="241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36"/>
      <c r="R44" s="236"/>
      <c r="S44" s="236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36"/>
      <c r="R45" s="236"/>
      <c r="S45" s="236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41"/>
      <c r="R46" s="241"/>
      <c r="S46" s="241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41"/>
      <c r="R47" s="241"/>
      <c r="S47" s="241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41"/>
      <c r="R48" s="241"/>
      <c r="S48" s="241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41"/>
      <c r="R49" s="241"/>
      <c r="S49" s="241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41"/>
      <c r="R50" s="241"/>
      <c r="S50" s="241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41"/>
      <c r="R51" s="241"/>
      <c r="S51" s="241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50"/>
      <c r="R53" s="251"/>
      <c r="S53" s="252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53"/>
      <c r="R54" s="254"/>
      <c r="S54" s="255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56"/>
      <c r="R55" s="257"/>
      <c r="S55" s="258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41"/>
      <c r="R56" s="241"/>
      <c r="S56" s="241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36"/>
      <c r="R57" s="236"/>
      <c r="S57" s="236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36"/>
      <c r="R58" s="236"/>
      <c r="S58" s="236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41"/>
      <c r="R59" s="241"/>
      <c r="S59" s="241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41"/>
      <c r="R60" s="241"/>
      <c r="S60" s="241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41"/>
      <c r="R61" s="241"/>
      <c r="S61" s="241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63"/>
      <c r="R62" s="264"/>
      <c r="S62" s="265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66"/>
      <c r="R63" s="267"/>
      <c r="S63" s="268"/>
    </row>
    <row r="64" spans="1:19" ht="17.25" customHeight="1" thickBot="1">
      <c r="A64" s="132" t="s">
        <v>270</v>
      </c>
      <c r="B64" s="274">
        <f>$B$37</f>
        <v>100000</v>
      </c>
      <c r="C64" s="275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269"/>
      <c r="R64" s="270"/>
      <c r="S64" s="27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36"/>
      <c r="R67" s="236"/>
      <c r="S67" s="236"/>
    </row>
    <row r="68" spans="1:19" ht="17.25" thickBot="1">
      <c r="A68" s="169" t="s">
        <v>267</v>
      </c>
      <c r="B68" s="215" t="s">
        <v>49</v>
      </c>
      <c r="C68" s="217"/>
      <c r="D68" s="215" t="s">
        <v>58</v>
      </c>
      <c r="E68" s="216"/>
      <c r="F68" s="217"/>
      <c r="G68" s="242">
        <f>_xlfn.IFNA(VLOOKUP(B68, 현재가테이블!$B$2:$D$200, 2, FALSE), "-")</f>
        <v>53976000</v>
      </c>
      <c r="H68" s="243"/>
      <c r="I68" s="244"/>
      <c r="J68" s="215" t="s">
        <v>59</v>
      </c>
      <c r="K68" s="216"/>
      <c r="L68" s="217"/>
      <c r="M68" s="245">
        <f>_xlfn.IFNA(VLOOKUP(B68, 현재가테이블!$B$2:$D$200, 3, FALSE), "-")</f>
        <v>-2.1216407400000001E-2</v>
      </c>
      <c r="N68" s="246"/>
      <c r="O68" s="247"/>
      <c r="Q68" s="236"/>
      <c r="R68" s="236"/>
      <c r="S68" s="236"/>
    </row>
    <row r="69" spans="1:19" ht="17.25" thickBot="1">
      <c r="A69" s="276" t="s">
        <v>55</v>
      </c>
      <c r="B69" s="278" t="str">
        <f>TEXT($G$1, "[$-ko-KR]yyyy-mm-dd(ddd) ") &amp; "오전 00:00"</f>
        <v>2021-08-04(수) 오전 00:00</v>
      </c>
      <c r="C69" s="279"/>
      <c r="D69" s="238" t="str">
        <f>TEXT($G$1, "[$-ko-KR]yyyy-mm-dd(ddd) ") &amp; "오후 14:00"</f>
        <v>2021-08-04(수) 오후 14:00</v>
      </c>
      <c r="E69" s="239"/>
      <c r="F69" s="240"/>
      <c r="G69" s="238" t="str">
        <f>TEXT($G$1, "[$-ko-KR]yyyy-mm-dd(ddd) ") &amp; "오후 19:00"</f>
        <v>2021-08-04(수) 오후 19:00</v>
      </c>
      <c r="H69" s="239"/>
      <c r="I69" s="240"/>
      <c r="J69" s="238" t="str">
        <f>TEXT($G$1, "[$-ko-KR]yyyy-mm-dd(ddd) ") &amp; "오후 21:00"</f>
        <v>2021-08-04(수) 오후 21:00</v>
      </c>
      <c r="K69" s="239"/>
      <c r="L69" s="240"/>
      <c r="M69" s="238" t="str">
        <f>TEXT($G$1+1, "[$-ko-KR]yyyy-mm-dd(ddd) ") &amp; "오전 00:00"</f>
        <v>2021-08-05(목) 오전 00:00</v>
      </c>
      <c r="N69" s="239"/>
      <c r="O69" s="240"/>
      <c r="Q69" s="236"/>
      <c r="R69" s="236"/>
      <c r="S69" s="236"/>
    </row>
    <row r="70" spans="1:19" ht="17.25" thickBot="1">
      <c r="A70" s="27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1"/>
      <c r="R70" s="241"/>
      <c r="S70" s="241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36"/>
      <c r="R71" s="236"/>
      <c r="S71" s="236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36"/>
      <c r="R72" s="236"/>
      <c r="S72" s="236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41"/>
      <c r="R73" s="241"/>
      <c r="S73" s="241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41"/>
      <c r="R74" s="241"/>
      <c r="S74" s="241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41"/>
      <c r="R75" s="241"/>
      <c r="S75" s="241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41"/>
      <c r="R76" s="241"/>
      <c r="S76" s="241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41"/>
      <c r="R77" s="241"/>
      <c r="S77" s="241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41"/>
      <c r="R78" s="241"/>
      <c r="S78" s="241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50"/>
      <c r="R80" s="251"/>
      <c r="S80" s="252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53"/>
      <c r="R81" s="254"/>
      <c r="S81" s="255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56"/>
      <c r="R82" s="257"/>
      <c r="S82" s="258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41"/>
      <c r="R83" s="241"/>
      <c r="S83" s="241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36"/>
      <c r="R84" s="236"/>
      <c r="S84" s="236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36"/>
      <c r="R85" s="236"/>
      <c r="S85" s="236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41"/>
      <c r="R86" s="241"/>
      <c r="S86" s="241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41"/>
      <c r="R87" s="241"/>
      <c r="S87" s="241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41"/>
      <c r="R88" s="241"/>
      <c r="S88" s="241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63"/>
      <c r="R89" s="264"/>
      <c r="S89" s="265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66"/>
      <c r="R90" s="267"/>
      <c r="S90" s="268"/>
    </row>
    <row r="91" spans="1:19" ht="17.25" thickBot="1">
      <c r="A91" s="132" t="s">
        <v>270</v>
      </c>
      <c r="B91" s="274">
        <f>$B$37</f>
        <v>100000</v>
      </c>
      <c r="C91" s="275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269"/>
      <c r="R91" s="270"/>
      <c r="S91" s="27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36"/>
      <c r="R94" s="236"/>
      <c r="S94" s="236"/>
    </row>
    <row r="95" spans="1:19" ht="17.25" thickBot="1">
      <c r="A95" s="169" t="s">
        <v>267</v>
      </c>
      <c r="B95" s="215" t="s">
        <v>49</v>
      </c>
      <c r="C95" s="217"/>
      <c r="D95" s="215" t="s">
        <v>58</v>
      </c>
      <c r="E95" s="216"/>
      <c r="F95" s="217"/>
      <c r="G95" s="242">
        <f>_xlfn.IFNA(VLOOKUP(B95, 현재가테이블!$B$2:$D$200, 2, FALSE), "-")</f>
        <v>53976000</v>
      </c>
      <c r="H95" s="243"/>
      <c r="I95" s="244"/>
      <c r="J95" s="215" t="s">
        <v>59</v>
      </c>
      <c r="K95" s="216"/>
      <c r="L95" s="217"/>
      <c r="M95" s="245">
        <f>_xlfn.IFNA(VLOOKUP(B95, 현재가테이블!$B$2:$D$200, 3, FALSE), "-")</f>
        <v>-2.1216407400000001E-2</v>
      </c>
      <c r="N95" s="246"/>
      <c r="O95" s="247"/>
      <c r="Q95" s="236"/>
      <c r="R95" s="236"/>
      <c r="S95" s="236"/>
    </row>
    <row r="96" spans="1:19" ht="17.25" thickBot="1">
      <c r="A96" s="276" t="s">
        <v>55</v>
      </c>
      <c r="B96" s="278" t="str">
        <f>TEXT($G$1, "[$-ko-KR]yyyy-mm-dd(ddd) ") &amp; "오전 00:00"</f>
        <v>2021-08-04(수) 오전 00:00</v>
      </c>
      <c r="C96" s="279"/>
      <c r="D96" s="238" t="str">
        <f>TEXT($G$1, "[$-ko-KR]yyyy-mm-dd(ddd) ") &amp; "오후 14:00"</f>
        <v>2021-08-04(수) 오후 14:00</v>
      </c>
      <c r="E96" s="239"/>
      <c r="F96" s="240"/>
      <c r="G96" s="238" t="str">
        <f>TEXT($G$1, "[$-ko-KR]yyyy-mm-dd(ddd) ") &amp; "오후 19:00"</f>
        <v>2021-08-04(수) 오후 19:00</v>
      </c>
      <c r="H96" s="239"/>
      <c r="I96" s="240"/>
      <c r="J96" s="238" t="str">
        <f>TEXT($G$1, "[$-ko-KR]yyyy-mm-dd(ddd) ") &amp; "오후 21:00"</f>
        <v>2021-08-04(수) 오후 21:00</v>
      </c>
      <c r="K96" s="239"/>
      <c r="L96" s="240"/>
      <c r="M96" s="238" t="str">
        <f>TEXT($G$1+1, "[$-ko-KR]yyyy-mm-dd(ddd) ") &amp; "오전 00:00"</f>
        <v>2021-08-05(목) 오전 00:00</v>
      </c>
      <c r="N96" s="239"/>
      <c r="O96" s="240"/>
      <c r="Q96" s="236"/>
      <c r="R96" s="236"/>
      <c r="S96" s="236"/>
    </row>
    <row r="97" spans="1:19" ht="17.25" thickBot="1">
      <c r="A97" s="27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1"/>
      <c r="R97" s="241"/>
      <c r="S97" s="241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36"/>
      <c r="R98" s="236"/>
      <c r="S98" s="236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36"/>
      <c r="R99" s="236"/>
      <c r="S99" s="236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41"/>
      <c r="R100" s="241"/>
      <c r="S100" s="241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41"/>
      <c r="R101" s="241"/>
      <c r="S101" s="241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41"/>
      <c r="R102" s="241"/>
      <c r="S102" s="241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41"/>
      <c r="R103" s="241"/>
      <c r="S103" s="241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41"/>
      <c r="R104" s="241"/>
      <c r="S104" s="241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41"/>
      <c r="R105" s="241"/>
      <c r="S105" s="241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50"/>
      <c r="R107" s="251"/>
      <c r="S107" s="252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53"/>
      <c r="R108" s="254"/>
      <c r="S108" s="255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56"/>
      <c r="R109" s="257"/>
      <c r="S109" s="258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41"/>
      <c r="R110" s="241"/>
      <c r="S110" s="241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36"/>
      <c r="R111" s="236"/>
      <c r="S111" s="236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36"/>
      <c r="R112" s="236"/>
      <c r="S112" s="236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41"/>
      <c r="R113" s="241"/>
      <c r="S113" s="241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41"/>
      <c r="R114" s="241"/>
      <c r="S114" s="241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41"/>
      <c r="R115" s="241"/>
      <c r="S115" s="241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63"/>
      <c r="R116" s="264"/>
      <c r="S116" s="265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66"/>
      <c r="R117" s="267"/>
      <c r="S117" s="268"/>
    </row>
    <row r="118" spans="1:19" ht="17.25" thickBot="1">
      <c r="A118" s="132" t="s">
        <v>270</v>
      </c>
      <c r="B118" s="274">
        <f>$B$37</f>
        <v>100000</v>
      </c>
      <c r="C118" s="275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269"/>
      <c r="R118" s="270"/>
      <c r="S118" s="27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36"/>
      <c r="R121" s="236"/>
      <c r="S121" s="236"/>
    </row>
    <row r="122" spans="1:19" ht="17.25" thickBot="1">
      <c r="A122" s="169" t="s">
        <v>267</v>
      </c>
      <c r="B122" s="215" t="s">
        <v>49</v>
      </c>
      <c r="C122" s="217"/>
      <c r="D122" s="215" t="s">
        <v>58</v>
      </c>
      <c r="E122" s="216"/>
      <c r="F122" s="217"/>
      <c r="G122" s="242">
        <f>_xlfn.IFNA(VLOOKUP(B122, 현재가테이블!$B$2:$D$200, 2, FALSE), "-")</f>
        <v>53976000</v>
      </c>
      <c r="H122" s="243"/>
      <c r="I122" s="244"/>
      <c r="J122" s="215" t="s">
        <v>59</v>
      </c>
      <c r="K122" s="216"/>
      <c r="L122" s="217"/>
      <c r="M122" s="245">
        <f>_xlfn.IFNA(VLOOKUP(B122, 현재가테이블!$B$2:$D$200, 3, FALSE), "-")</f>
        <v>-2.1216407400000001E-2</v>
      </c>
      <c r="N122" s="246"/>
      <c r="O122" s="247"/>
      <c r="Q122" s="236"/>
      <c r="R122" s="236"/>
      <c r="S122" s="236"/>
    </row>
    <row r="123" spans="1:19" ht="17.25" thickBot="1">
      <c r="A123" s="276" t="s">
        <v>55</v>
      </c>
      <c r="B123" s="278" t="str">
        <f>TEXT($G$1, "[$-ko-KR]yyyy-mm-dd(ddd) ") &amp; "오전 00:00"</f>
        <v>2021-08-04(수) 오전 00:00</v>
      </c>
      <c r="C123" s="279"/>
      <c r="D123" s="238" t="str">
        <f>TEXT($G$1, "[$-ko-KR]yyyy-mm-dd(ddd) ") &amp; "오후 14:00"</f>
        <v>2021-08-04(수) 오후 14:00</v>
      </c>
      <c r="E123" s="239"/>
      <c r="F123" s="240"/>
      <c r="G123" s="238" t="str">
        <f>TEXT($G$1, "[$-ko-KR]yyyy-mm-dd(ddd) ") &amp; "오후 19:00"</f>
        <v>2021-08-04(수) 오후 19:00</v>
      </c>
      <c r="H123" s="239"/>
      <c r="I123" s="240"/>
      <c r="J123" s="238" t="str">
        <f>TEXT($G$1, "[$-ko-KR]yyyy-mm-dd(ddd) ") &amp; "오후 21:00"</f>
        <v>2021-08-04(수) 오후 21:00</v>
      </c>
      <c r="K123" s="239"/>
      <c r="L123" s="240"/>
      <c r="M123" s="238" t="str">
        <f>TEXT($G$1+1, "[$-ko-KR]yyyy-mm-dd(ddd) ") &amp; "오전 00:00"</f>
        <v>2021-08-05(목) 오전 00:00</v>
      </c>
      <c r="N123" s="239"/>
      <c r="O123" s="240"/>
      <c r="Q123" s="236"/>
      <c r="R123" s="236"/>
      <c r="S123" s="236"/>
    </row>
    <row r="124" spans="1:19" ht="17.25" thickBot="1">
      <c r="A124" s="27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1"/>
      <c r="R124" s="241"/>
      <c r="S124" s="241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36"/>
      <c r="R125" s="236"/>
      <c r="S125" s="236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36"/>
      <c r="R126" s="236"/>
      <c r="S126" s="236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41"/>
      <c r="R127" s="241"/>
      <c r="S127" s="241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41"/>
      <c r="R128" s="241"/>
      <c r="S128" s="241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41"/>
      <c r="R129" s="241"/>
      <c r="S129" s="241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41"/>
      <c r="R130" s="241"/>
      <c r="S130" s="241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41"/>
      <c r="R131" s="241"/>
      <c r="S131" s="241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41"/>
      <c r="R132" s="241"/>
      <c r="S132" s="241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50"/>
      <c r="R134" s="251"/>
      <c r="S134" s="252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53"/>
      <c r="R135" s="254"/>
      <c r="S135" s="255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56"/>
      <c r="R136" s="257"/>
      <c r="S136" s="258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41"/>
      <c r="R137" s="241"/>
      <c r="S137" s="241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36"/>
      <c r="R138" s="236"/>
      <c r="S138" s="236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36"/>
      <c r="R139" s="236"/>
      <c r="S139" s="236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41"/>
      <c r="R140" s="241"/>
      <c r="S140" s="241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41"/>
      <c r="R141" s="241"/>
      <c r="S141" s="241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41"/>
      <c r="R142" s="241"/>
      <c r="S142" s="241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63"/>
      <c r="R143" s="264"/>
      <c r="S143" s="265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66"/>
      <c r="R144" s="267"/>
      <c r="S144" s="268"/>
    </row>
    <row r="145" spans="1:19" ht="17.25" thickBot="1">
      <c r="A145" s="132" t="s">
        <v>270</v>
      </c>
      <c r="B145" s="274">
        <f>$B$37</f>
        <v>100000</v>
      </c>
      <c r="C145" s="275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269"/>
      <c r="R145" s="270"/>
      <c r="S145" s="27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36"/>
      <c r="R148" s="236"/>
      <c r="S148" s="236"/>
    </row>
    <row r="149" spans="1:19" ht="17.25" thickBot="1">
      <c r="A149" s="169" t="s">
        <v>267</v>
      </c>
      <c r="B149" s="215" t="s">
        <v>49</v>
      </c>
      <c r="C149" s="217"/>
      <c r="D149" s="215" t="s">
        <v>58</v>
      </c>
      <c r="E149" s="216"/>
      <c r="F149" s="217"/>
      <c r="G149" s="242">
        <f>_xlfn.IFNA(VLOOKUP(B149, 현재가테이블!$B$2:$D$200, 2, FALSE), "-")</f>
        <v>53976000</v>
      </c>
      <c r="H149" s="243"/>
      <c r="I149" s="244"/>
      <c r="J149" s="215" t="s">
        <v>59</v>
      </c>
      <c r="K149" s="216"/>
      <c r="L149" s="217"/>
      <c r="M149" s="245">
        <f>_xlfn.IFNA(VLOOKUP(B149, 현재가테이블!$B$2:$D$200, 3, FALSE), "-")</f>
        <v>-2.1216407400000001E-2</v>
      </c>
      <c r="N149" s="246"/>
      <c r="O149" s="247"/>
      <c r="Q149" s="236"/>
      <c r="R149" s="236"/>
      <c r="S149" s="236"/>
    </row>
    <row r="150" spans="1:19" ht="17.25" thickBot="1">
      <c r="A150" s="276" t="s">
        <v>55</v>
      </c>
      <c r="B150" s="278" t="str">
        <f>TEXT($G$1, "[$-ko-KR]yyyy-mm-dd(ddd) ") &amp; "오전 00:00"</f>
        <v>2021-08-04(수) 오전 00:00</v>
      </c>
      <c r="C150" s="279"/>
      <c r="D150" s="238" t="str">
        <f>TEXT($G$1, "[$-ko-KR]yyyy-mm-dd(ddd) ") &amp; "오후 14:00"</f>
        <v>2021-08-04(수) 오후 14:00</v>
      </c>
      <c r="E150" s="239"/>
      <c r="F150" s="240"/>
      <c r="G150" s="238" t="str">
        <f>TEXT($G$1, "[$-ko-KR]yyyy-mm-dd(ddd) ") &amp; "오후 19:00"</f>
        <v>2021-08-04(수) 오후 19:00</v>
      </c>
      <c r="H150" s="239"/>
      <c r="I150" s="240"/>
      <c r="J150" s="238" t="str">
        <f>TEXT($G$1, "[$-ko-KR]yyyy-mm-dd(ddd) ") &amp; "오후 21:00"</f>
        <v>2021-08-04(수) 오후 21:00</v>
      </c>
      <c r="K150" s="239"/>
      <c r="L150" s="240"/>
      <c r="M150" s="238" t="str">
        <f>TEXT($G$1+1, "[$-ko-KR]yyyy-mm-dd(ddd) ") &amp; "오전 00:00"</f>
        <v>2021-08-05(목) 오전 00:00</v>
      </c>
      <c r="N150" s="239"/>
      <c r="O150" s="240"/>
      <c r="Q150" s="236"/>
      <c r="R150" s="236"/>
      <c r="S150" s="236"/>
    </row>
    <row r="151" spans="1:19" ht="17.25" thickBot="1">
      <c r="A151" s="27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1"/>
      <c r="R151" s="241"/>
      <c r="S151" s="241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36"/>
      <c r="R152" s="236"/>
      <c r="S152" s="236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36"/>
      <c r="R153" s="236"/>
      <c r="S153" s="236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41"/>
      <c r="R154" s="241"/>
      <c r="S154" s="241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41"/>
      <c r="R155" s="241"/>
      <c r="S155" s="241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41"/>
      <c r="R156" s="241"/>
      <c r="S156" s="241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41"/>
      <c r="R157" s="241"/>
      <c r="S157" s="241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41"/>
      <c r="R158" s="241"/>
      <c r="S158" s="241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41"/>
      <c r="R159" s="241"/>
      <c r="S159" s="241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50"/>
      <c r="R161" s="251"/>
      <c r="S161" s="252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53"/>
      <c r="R162" s="254"/>
      <c r="S162" s="255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56"/>
      <c r="R163" s="257"/>
      <c r="S163" s="258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41"/>
      <c r="R164" s="241"/>
      <c r="S164" s="241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36"/>
      <c r="R165" s="236"/>
      <c r="S165" s="236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36"/>
      <c r="R166" s="236"/>
      <c r="S166" s="236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41"/>
      <c r="R167" s="241"/>
      <c r="S167" s="241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41"/>
      <c r="R168" s="241"/>
      <c r="S168" s="241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41"/>
      <c r="R169" s="241"/>
      <c r="S169" s="241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63"/>
      <c r="R170" s="264"/>
      <c r="S170" s="265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66"/>
      <c r="R171" s="267"/>
      <c r="S171" s="268"/>
    </row>
    <row r="172" spans="1:19" ht="17.25" thickBot="1">
      <c r="A172" s="132" t="s">
        <v>270</v>
      </c>
      <c r="B172" s="274">
        <f>$B$37</f>
        <v>100000</v>
      </c>
      <c r="C172" s="275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269"/>
      <c r="R172" s="270"/>
      <c r="S172" s="27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36"/>
      <c r="R175" s="236"/>
      <c r="S175" s="236"/>
    </row>
    <row r="176" spans="1:19" ht="17.25" thickBot="1">
      <c r="A176" s="169" t="s">
        <v>267</v>
      </c>
      <c r="B176" s="215" t="s">
        <v>49</v>
      </c>
      <c r="C176" s="217"/>
      <c r="D176" s="215" t="s">
        <v>58</v>
      </c>
      <c r="E176" s="216"/>
      <c r="F176" s="217"/>
      <c r="G176" s="242">
        <f>_xlfn.IFNA(VLOOKUP(B176, 현재가테이블!$B$2:$D$200, 2, FALSE), "-")</f>
        <v>53976000</v>
      </c>
      <c r="H176" s="243"/>
      <c r="I176" s="244"/>
      <c r="J176" s="215" t="s">
        <v>59</v>
      </c>
      <c r="K176" s="216"/>
      <c r="L176" s="217"/>
      <c r="M176" s="245">
        <f>_xlfn.IFNA(VLOOKUP(B176, 현재가테이블!$B$2:$D$200, 3, FALSE), "-")</f>
        <v>-2.1216407400000001E-2</v>
      </c>
      <c r="N176" s="246"/>
      <c r="O176" s="247"/>
      <c r="Q176" s="236"/>
      <c r="R176" s="236"/>
      <c r="S176" s="236"/>
    </row>
    <row r="177" spans="1:19" ht="17.25" thickBot="1">
      <c r="A177" s="276" t="s">
        <v>55</v>
      </c>
      <c r="B177" s="278" t="str">
        <f>TEXT($G$1, "[$-ko-KR]yyyy-mm-dd(ddd) ") &amp; "오전 00:00"</f>
        <v>2021-08-04(수) 오전 00:00</v>
      </c>
      <c r="C177" s="279"/>
      <c r="D177" s="238" t="str">
        <f>TEXT($G$1, "[$-ko-KR]yyyy-mm-dd(ddd) ") &amp; "오후 14:00"</f>
        <v>2021-08-04(수) 오후 14:00</v>
      </c>
      <c r="E177" s="239"/>
      <c r="F177" s="240"/>
      <c r="G177" s="238" t="str">
        <f>TEXT($G$1, "[$-ko-KR]yyyy-mm-dd(ddd) ") &amp; "오후 19:00"</f>
        <v>2021-08-04(수) 오후 19:00</v>
      </c>
      <c r="H177" s="239"/>
      <c r="I177" s="240"/>
      <c r="J177" s="238" t="str">
        <f>TEXT($G$1, "[$-ko-KR]yyyy-mm-dd(ddd) ") &amp; "오후 21:00"</f>
        <v>2021-08-04(수) 오후 21:00</v>
      </c>
      <c r="K177" s="239"/>
      <c r="L177" s="240"/>
      <c r="M177" s="238" t="str">
        <f>TEXT($G$1+1, "[$-ko-KR]yyyy-mm-dd(ddd) ") &amp; "오전 00:00"</f>
        <v>2021-08-05(목) 오전 00:00</v>
      </c>
      <c r="N177" s="239"/>
      <c r="O177" s="240"/>
      <c r="Q177" s="236"/>
      <c r="R177" s="236"/>
      <c r="S177" s="236"/>
    </row>
    <row r="178" spans="1:19" ht="17.25" thickBot="1">
      <c r="A178" s="27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1"/>
      <c r="R178" s="241"/>
      <c r="S178" s="241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36"/>
      <c r="R179" s="236"/>
      <c r="S179" s="236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36"/>
      <c r="R180" s="236"/>
      <c r="S180" s="236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41"/>
      <c r="R181" s="241"/>
      <c r="S181" s="241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41"/>
      <c r="R182" s="241"/>
      <c r="S182" s="241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41"/>
      <c r="R183" s="241"/>
      <c r="S183" s="241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41"/>
      <c r="R184" s="241"/>
      <c r="S184" s="241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41"/>
      <c r="R185" s="241"/>
      <c r="S185" s="241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41"/>
      <c r="R186" s="241"/>
      <c r="S186" s="241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50"/>
      <c r="R188" s="251"/>
      <c r="S188" s="252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53"/>
      <c r="R189" s="254"/>
      <c r="S189" s="255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56"/>
      <c r="R190" s="257"/>
      <c r="S190" s="258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41"/>
      <c r="R191" s="241"/>
      <c r="S191" s="241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36"/>
      <c r="R192" s="236"/>
      <c r="S192" s="236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36"/>
      <c r="R193" s="236"/>
      <c r="S193" s="236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41"/>
      <c r="R194" s="241"/>
      <c r="S194" s="241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41"/>
      <c r="R195" s="241"/>
      <c r="S195" s="241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41"/>
      <c r="R196" s="241"/>
      <c r="S196" s="241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63"/>
      <c r="R197" s="264"/>
      <c r="S197" s="265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66"/>
      <c r="R198" s="267"/>
      <c r="S198" s="268"/>
    </row>
    <row r="199" spans="1:19" ht="17.25" thickBot="1">
      <c r="A199" s="132" t="s">
        <v>270</v>
      </c>
      <c r="B199" s="274">
        <f>$B$37</f>
        <v>100000</v>
      </c>
      <c r="C199" s="275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269"/>
      <c r="R199" s="270"/>
      <c r="S199" s="27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9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9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9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9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9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9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9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8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8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8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86" priority="157">
      <formula>AND($N17 &gt; 0, ISNUMBER($N17))</formula>
    </cfRule>
    <cfRule type="expression" dxfId="1985" priority="158">
      <formula>AND($N17 = 0 * ISNUMBER($N17))</formula>
    </cfRule>
    <cfRule type="expression" dxfId="1984" priority="159">
      <formula>AND($N17 &lt; 0, ISNUMBER($N17))</formula>
    </cfRule>
  </conditionalFormatting>
  <conditionalFormatting sqref="A17:F36">
    <cfRule type="expression" dxfId="1983" priority="166">
      <formula>AND($E17 &gt; 0, ISNUMBER($E17))</formula>
    </cfRule>
    <cfRule type="expression" dxfId="1982" priority="167">
      <formula>AND($E17 = 0 * ISNUMBER($E17))</formula>
    </cfRule>
    <cfRule type="expression" dxfId="1981" priority="168">
      <formula>AND($E17 &lt; 0, ISNUMBER($E17))</formula>
    </cfRule>
  </conditionalFormatting>
  <conditionalFormatting sqref="A17:C36 G17:I36">
    <cfRule type="expression" dxfId="1980" priority="163">
      <formula>AND($H17 &gt; 0, ISNUMBER($H17))</formula>
    </cfRule>
    <cfRule type="expression" dxfId="1979" priority="164">
      <formula>AND($H17 = 0 * ISNUMBER($H17))</formula>
    </cfRule>
    <cfRule type="expression" dxfId="1978" priority="165">
      <formula>AND($H17 &lt; 0, ISNUMBER($H17))</formula>
    </cfRule>
  </conditionalFormatting>
  <conditionalFormatting sqref="A17:C36 J17:L36">
    <cfRule type="expression" dxfId="1977" priority="160">
      <formula>AND($K17 &gt; 0, ISNUMBER($K17))</formula>
    </cfRule>
    <cfRule type="expression" dxfId="1976" priority="161">
      <formula>AND($K17 = 0 * ISNUMBER($K17))</formula>
    </cfRule>
    <cfRule type="expression" dxfId="1975" priority="162">
      <formula>AND($K17 &lt; 0, ISNUMBER($K17))</formula>
    </cfRule>
  </conditionalFormatting>
  <conditionalFormatting sqref="D15:F16 E37:F37">
    <cfRule type="expression" dxfId="1974" priority="154">
      <formula>$E$37 &gt; 0</formula>
    </cfRule>
    <cfRule type="expression" dxfId="1973" priority="155">
      <formula>$E$37 = 0</formula>
    </cfRule>
    <cfRule type="expression" dxfId="1972" priority="156">
      <formula>$E$37 &lt; 0</formula>
    </cfRule>
  </conditionalFormatting>
  <conditionalFormatting sqref="G15:I16 H37:I37">
    <cfRule type="expression" dxfId="1971" priority="151">
      <formula>$H$37 &gt; 0</formula>
    </cfRule>
    <cfRule type="expression" dxfId="1970" priority="152">
      <formula>$H$37 = 0</formula>
    </cfRule>
    <cfRule type="expression" dxfId="1969" priority="153">
      <formula>$H$37 &lt; 0</formula>
    </cfRule>
  </conditionalFormatting>
  <conditionalFormatting sqref="J15:L16 K37:L37">
    <cfRule type="expression" dxfId="1968" priority="148">
      <formula>$K$37 &gt; 0</formula>
    </cfRule>
    <cfRule type="expression" dxfId="1967" priority="149">
      <formula>$K$37 = 0</formula>
    </cfRule>
    <cfRule type="expression" dxfId="1966" priority="150">
      <formula>$K$37 &lt; 0</formula>
    </cfRule>
  </conditionalFormatting>
  <conditionalFormatting sqref="M15:O16 N37:O37">
    <cfRule type="expression" dxfId="1965" priority="145">
      <formula>$N$37 &gt; 0</formula>
    </cfRule>
    <cfRule type="expression" dxfId="1964" priority="146">
      <formula>$N$37 = 0</formula>
    </cfRule>
    <cfRule type="expression" dxfId="1963" priority="147">
      <formula>$N$37 &lt; 0</formula>
    </cfRule>
  </conditionalFormatting>
  <conditionalFormatting sqref="A44:C63 M44:O63">
    <cfRule type="expression" dxfId="1962" priority="133">
      <formula>AND($N44 &gt; 0, ISNUMBER($N44))</formula>
    </cfRule>
    <cfRule type="expression" dxfId="1961" priority="134">
      <formula>AND($N44 = 0 * ISNUMBER($N44))</formula>
    </cfRule>
    <cfRule type="expression" dxfId="1960" priority="135">
      <formula>AND($N44 &lt; 0, ISNUMBER($N44))</formula>
    </cfRule>
  </conditionalFormatting>
  <conditionalFormatting sqref="A44:F63">
    <cfRule type="expression" dxfId="1959" priority="142">
      <formula>AND($E44 &gt; 0, ISNUMBER($E44))</formula>
    </cfRule>
    <cfRule type="expression" dxfId="1958" priority="143">
      <formula>AND($E44 = 0 * ISNUMBER($E44))</formula>
    </cfRule>
    <cfRule type="expression" dxfId="1957" priority="144">
      <formula>AND($E44 &lt; 0, ISNUMBER($E44))</formula>
    </cfRule>
  </conditionalFormatting>
  <conditionalFormatting sqref="A44:C63 G44:I63">
    <cfRule type="expression" dxfId="1956" priority="139">
      <formula>AND($H44 &gt; 0, ISNUMBER($H44))</formula>
    </cfRule>
    <cfRule type="expression" dxfId="1955" priority="140">
      <formula>AND($H44 = 0 * ISNUMBER($H44))</formula>
    </cfRule>
    <cfRule type="expression" dxfId="1954" priority="141">
      <formula>AND($H44 &lt; 0, ISNUMBER($H44))</formula>
    </cfRule>
  </conditionalFormatting>
  <conditionalFormatting sqref="A44:C63 J44:L63">
    <cfRule type="expression" dxfId="1953" priority="136">
      <formula>AND($K44 &gt; 0, ISNUMBER($K44))</formula>
    </cfRule>
    <cfRule type="expression" dxfId="1952" priority="137">
      <formula>AND($K44 = 0 * ISNUMBER($K44))</formula>
    </cfRule>
    <cfRule type="expression" dxfId="1951" priority="138">
      <formula>AND($K44 &lt; 0, ISNUMBER($K44))</formula>
    </cfRule>
  </conditionalFormatting>
  <conditionalFormatting sqref="D42:F43 E64:F64">
    <cfRule type="expression" dxfId="1950" priority="130">
      <formula>$E$64 &gt; 0</formula>
    </cfRule>
    <cfRule type="expression" dxfId="1949" priority="131">
      <formula>$E$64 = 0</formula>
    </cfRule>
    <cfRule type="expression" dxfId="1948" priority="132">
      <formula>$E$64 &lt; 0</formula>
    </cfRule>
  </conditionalFormatting>
  <conditionalFormatting sqref="G42:I43 H64:I64">
    <cfRule type="expression" dxfId="1947" priority="127">
      <formula>$H$64 &gt; 0</formula>
    </cfRule>
    <cfRule type="expression" dxfId="1946" priority="128">
      <formula>$H$64 = 0</formula>
    </cfRule>
    <cfRule type="expression" dxfId="1945" priority="129">
      <formula>$H$64 &lt; 0</formula>
    </cfRule>
  </conditionalFormatting>
  <conditionalFormatting sqref="J42:L43 K64:L64">
    <cfRule type="expression" dxfId="1944" priority="124">
      <formula>$K$64 &gt; 0</formula>
    </cfRule>
    <cfRule type="expression" dxfId="1943" priority="125">
      <formula>$K$64 = 0</formula>
    </cfRule>
    <cfRule type="expression" dxfId="1942" priority="126">
      <formula>$K$64 &lt; 0</formula>
    </cfRule>
  </conditionalFormatting>
  <conditionalFormatting sqref="M42:O43 N64:O64">
    <cfRule type="expression" dxfId="1941" priority="121">
      <formula>$N$64 &gt; 0</formula>
    </cfRule>
    <cfRule type="expression" dxfId="1940" priority="122">
      <formula>$N$64 = 0</formula>
    </cfRule>
    <cfRule type="expression" dxfId="1939" priority="123">
      <formula>$N$64 &lt; 0</formula>
    </cfRule>
  </conditionalFormatting>
  <conditionalFormatting sqref="A71:C90 M71:O90">
    <cfRule type="expression" dxfId="1938" priority="109">
      <formula>AND($N71 &gt; 0, ISNUMBER($N71))</formula>
    </cfRule>
    <cfRule type="expression" dxfId="1937" priority="110">
      <formula>AND($N71 = 0 * ISNUMBER($N71))</formula>
    </cfRule>
    <cfRule type="expression" dxfId="1936" priority="111">
      <formula>AND($N71 &lt; 0, ISNUMBER($N71))</formula>
    </cfRule>
  </conditionalFormatting>
  <conditionalFormatting sqref="A71:F90">
    <cfRule type="expression" dxfId="1935" priority="118">
      <formula>AND($E71 &gt; 0, ISNUMBER($E71))</formula>
    </cfRule>
    <cfRule type="expression" dxfId="1934" priority="119">
      <formula>AND($E71 = 0 * ISNUMBER($E71))</formula>
    </cfRule>
    <cfRule type="expression" dxfId="1933" priority="120">
      <formula>AND($E71 &lt; 0, ISNUMBER($E71))</formula>
    </cfRule>
  </conditionalFormatting>
  <conditionalFormatting sqref="A71:C90 G71:I90">
    <cfRule type="expression" dxfId="1932" priority="115">
      <formula>AND($H71 &gt; 0, ISNUMBER($H71))</formula>
    </cfRule>
    <cfRule type="expression" dxfId="1931" priority="116">
      <formula>AND($H71 = 0 * ISNUMBER($H71))</formula>
    </cfRule>
    <cfRule type="expression" dxfId="1930" priority="117">
      <formula>AND($H71 &lt; 0, ISNUMBER($H71))</formula>
    </cfRule>
  </conditionalFormatting>
  <conditionalFormatting sqref="A71:C90 J71:L90">
    <cfRule type="expression" dxfId="1929" priority="112">
      <formula>AND($K71 &gt; 0, ISNUMBER($K71))</formula>
    </cfRule>
    <cfRule type="expression" dxfId="1928" priority="113">
      <formula>AND($K71 = 0 * ISNUMBER($K71))</formula>
    </cfRule>
    <cfRule type="expression" dxfId="1927" priority="114">
      <formula>AND($K71 &lt; 0, ISNUMBER($K71))</formula>
    </cfRule>
  </conditionalFormatting>
  <conditionalFormatting sqref="D69:F70 E91:F91">
    <cfRule type="expression" dxfId="1926" priority="106">
      <formula>$E$91 &gt; 0</formula>
    </cfRule>
    <cfRule type="expression" dxfId="1925" priority="107">
      <formula>$E$91 = 0</formula>
    </cfRule>
    <cfRule type="expression" dxfId="1924" priority="108">
      <formula>$E$91 &lt; 0</formula>
    </cfRule>
  </conditionalFormatting>
  <conditionalFormatting sqref="G69:I70 H91:I91">
    <cfRule type="expression" dxfId="1923" priority="103">
      <formula>$H$91 &gt; 0</formula>
    </cfRule>
    <cfRule type="expression" dxfId="1922" priority="104">
      <formula>$H$91 = 0</formula>
    </cfRule>
    <cfRule type="expression" dxfId="1921" priority="105">
      <formula>$H$91 &lt; 0</formula>
    </cfRule>
  </conditionalFormatting>
  <conditionalFormatting sqref="J69:L70 K91:L91">
    <cfRule type="expression" dxfId="1920" priority="100">
      <formula>$K$91 &gt; 0</formula>
    </cfRule>
    <cfRule type="expression" dxfId="1919" priority="101">
      <formula>$K$91 = 0</formula>
    </cfRule>
    <cfRule type="expression" dxfId="1918" priority="102">
      <formula>$K$91 &lt; 0</formula>
    </cfRule>
  </conditionalFormatting>
  <conditionalFormatting sqref="M69:O70 N91:O91">
    <cfRule type="expression" dxfId="1917" priority="97">
      <formula>$N$91 &gt; 0</formula>
    </cfRule>
    <cfRule type="expression" dxfId="1916" priority="98">
      <formula>$N$91 = 0</formula>
    </cfRule>
    <cfRule type="expression" dxfId="1915" priority="99">
      <formula>$N$91 &lt; 0</formula>
    </cfRule>
  </conditionalFormatting>
  <conditionalFormatting sqref="A98:C117 M98:O117">
    <cfRule type="expression" dxfId="1914" priority="85">
      <formula>AND($N98 &gt; 0, ISNUMBER($N98))</formula>
    </cfRule>
    <cfRule type="expression" dxfId="1913" priority="86">
      <formula>AND($N98 = 0 * ISNUMBER($N98))</formula>
    </cfRule>
    <cfRule type="expression" dxfId="1912" priority="87">
      <formula>AND($N98 &lt; 0, ISNUMBER($N98))</formula>
    </cfRule>
  </conditionalFormatting>
  <conditionalFormatting sqref="A98:F117">
    <cfRule type="expression" dxfId="1911" priority="94">
      <formula>AND($E98 &gt; 0, ISNUMBER($E98))</formula>
    </cfRule>
    <cfRule type="expression" dxfId="1910" priority="95">
      <formula>AND($E98 = 0 * ISNUMBER($E98))</formula>
    </cfRule>
    <cfRule type="expression" dxfId="1909" priority="96">
      <formula>AND($E98 &lt; 0, ISNUMBER($E98))</formula>
    </cfRule>
  </conditionalFormatting>
  <conditionalFormatting sqref="A98:C117 G98:I117">
    <cfRule type="expression" dxfId="1908" priority="91">
      <formula>AND($H98 &gt; 0, ISNUMBER($H98))</formula>
    </cfRule>
    <cfRule type="expression" dxfId="1907" priority="92">
      <formula>AND($H98 = 0 * ISNUMBER($H98))</formula>
    </cfRule>
    <cfRule type="expression" dxfId="1906" priority="93">
      <formula>AND($H98 &lt; 0, ISNUMBER($H98))</formula>
    </cfRule>
  </conditionalFormatting>
  <conditionalFormatting sqref="A98:C117 J98:L117">
    <cfRule type="expression" dxfId="1905" priority="88">
      <formula>AND($K98 &gt; 0, ISNUMBER($K98))</formula>
    </cfRule>
    <cfRule type="expression" dxfId="1904" priority="89">
      <formula>AND($K98 = 0 * ISNUMBER($K98))</formula>
    </cfRule>
    <cfRule type="expression" dxfId="1903" priority="90">
      <formula>AND($K98 &lt; 0, ISNUMBER($K98))</formula>
    </cfRule>
  </conditionalFormatting>
  <conditionalFormatting sqref="D96:F97 E118:F118">
    <cfRule type="expression" dxfId="1902" priority="82">
      <formula>$E$118 &gt; 0</formula>
    </cfRule>
    <cfRule type="expression" dxfId="1901" priority="83">
      <formula>$E$118 = 0</formula>
    </cfRule>
    <cfRule type="expression" dxfId="1900" priority="84">
      <formula>$E$118 &lt; 0</formula>
    </cfRule>
  </conditionalFormatting>
  <conditionalFormatting sqref="G96:I97 H118:I118">
    <cfRule type="expression" dxfId="1899" priority="79">
      <formula>$H$118 &gt; 0</formula>
    </cfRule>
    <cfRule type="expression" dxfId="1898" priority="80">
      <formula>$H$118 = 0</formula>
    </cfRule>
    <cfRule type="expression" dxfId="1897" priority="81">
      <formula>$H$118 &lt; 0</formula>
    </cfRule>
  </conditionalFormatting>
  <conditionalFormatting sqref="J96:L97 K118:L118">
    <cfRule type="expression" dxfId="1896" priority="76">
      <formula>$K$118 &gt; 0</formula>
    </cfRule>
    <cfRule type="expression" dxfId="1895" priority="77">
      <formula>$K$118 = 0</formula>
    </cfRule>
    <cfRule type="expression" dxfId="1894" priority="78">
      <formula>$K$118 &lt; 0</formula>
    </cfRule>
  </conditionalFormatting>
  <conditionalFormatting sqref="M96:O97 N118:O118">
    <cfRule type="expression" dxfId="1893" priority="73">
      <formula>$N$118 &gt; 0</formula>
    </cfRule>
    <cfRule type="expression" dxfId="1892" priority="74">
      <formula>$N$118 = 0</formula>
    </cfRule>
    <cfRule type="expression" dxfId="1891" priority="75">
      <formula>$N$118 &lt; 0</formula>
    </cfRule>
  </conditionalFormatting>
  <conditionalFormatting sqref="A125:C144 M125:O144">
    <cfRule type="expression" dxfId="1890" priority="61">
      <formula>AND($N125 &gt; 0, ISNUMBER($N125))</formula>
    </cfRule>
    <cfRule type="expression" dxfId="1889" priority="62">
      <formula>AND($N125 = 0 * ISNUMBER($N125))</formula>
    </cfRule>
    <cfRule type="expression" dxfId="1888" priority="63">
      <formula>AND($N125 &lt; 0, ISNUMBER($N125))</formula>
    </cfRule>
  </conditionalFormatting>
  <conditionalFormatting sqref="A125:F144">
    <cfRule type="expression" dxfId="1887" priority="70">
      <formula>AND($E125 &gt; 0, ISNUMBER($E125))</formula>
    </cfRule>
    <cfRule type="expression" dxfId="1886" priority="71">
      <formula>AND($E125 = 0 * ISNUMBER($E125))</formula>
    </cfRule>
    <cfRule type="expression" dxfId="1885" priority="72">
      <formula>AND($E125 &lt; 0, ISNUMBER($E125))</formula>
    </cfRule>
  </conditionalFormatting>
  <conditionalFormatting sqref="A125:C144 G125:I144">
    <cfRule type="expression" dxfId="1884" priority="67">
      <formula>AND($H125 &gt; 0, ISNUMBER($H125))</formula>
    </cfRule>
    <cfRule type="expression" dxfId="1883" priority="68">
      <formula>AND($H125 = 0 * ISNUMBER($H125))</formula>
    </cfRule>
    <cfRule type="expression" dxfId="1882" priority="69">
      <formula>AND($H125 &lt; 0, ISNUMBER($H125))</formula>
    </cfRule>
  </conditionalFormatting>
  <conditionalFormatting sqref="A125:C144 J125:L144">
    <cfRule type="expression" dxfId="1881" priority="64">
      <formula>AND($K125 &gt; 0, ISNUMBER($K125))</formula>
    </cfRule>
    <cfRule type="expression" dxfId="1880" priority="65">
      <formula>AND($K125 = 0 * ISNUMBER($K125))</formula>
    </cfRule>
    <cfRule type="expression" dxfId="1879" priority="66">
      <formula>AND($K125 &lt; 0, ISNUMBER($K125))</formula>
    </cfRule>
  </conditionalFormatting>
  <conditionalFormatting sqref="D123:F124 E145:F145">
    <cfRule type="expression" dxfId="1878" priority="58">
      <formula>$E$145 &gt; 0</formula>
    </cfRule>
    <cfRule type="expression" dxfId="1877" priority="59">
      <formula>$E$145 = 0</formula>
    </cfRule>
    <cfRule type="expression" dxfId="1876" priority="60">
      <formula>$E$145 &lt; 0</formula>
    </cfRule>
  </conditionalFormatting>
  <conditionalFormatting sqref="G123:I124 H145:I145">
    <cfRule type="expression" dxfId="1875" priority="55">
      <formula>$H$145 &gt; 0</formula>
    </cfRule>
    <cfRule type="expression" dxfId="1874" priority="56">
      <formula>$H$145 = 0</formula>
    </cfRule>
    <cfRule type="expression" dxfId="1873" priority="57">
      <formula>$H$145 &lt; 0</formula>
    </cfRule>
  </conditionalFormatting>
  <conditionalFormatting sqref="J123:L124 K145:L145">
    <cfRule type="expression" dxfId="1872" priority="52">
      <formula>$K$145 &gt; 0</formula>
    </cfRule>
    <cfRule type="expression" dxfId="1871" priority="53">
      <formula>$K$145 = 0</formula>
    </cfRule>
    <cfRule type="expression" dxfId="1870" priority="54">
      <formula>$K$145 &lt; 0</formula>
    </cfRule>
  </conditionalFormatting>
  <conditionalFormatting sqref="M123:O124 N145:O145">
    <cfRule type="expression" dxfId="1869" priority="49">
      <formula>$N$145 &gt; 0</formula>
    </cfRule>
    <cfRule type="expression" dxfId="1868" priority="50">
      <formula>$N$145 = 0</formula>
    </cfRule>
    <cfRule type="expression" dxfId="1867" priority="51">
      <formula>$N$145 &lt; 0</formula>
    </cfRule>
  </conditionalFormatting>
  <conditionalFormatting sqref="A152:C171 M152:O171">
    <cfRule type="expression" dxfId="1866" priority="37">
      <formula>AND($N152 &gt; 0, ISNUMBER($N152))</formula>
    </cfRule>
    <cfRule type="expression" dxfId="1865" priority="38">
      <formula>AND($N152 = 0 * ISNUMBER($N152))</formula>
    </cfRule>
    <cfRule type="expression" dxfId="1864" priority="39">
      <formula>AND($N152 &lt; 0, ISNUMBER($N152))</formula>
    </cfRule>
  </conditionalFormatting>
  <conditionalFormatting sqref="A152:F171">
    <cfRule type="expression" dxfId="1863" priority="46">
      <formula>AND($E152 &gt; 0, ISNUMBER($E152))</formula>
    </cfRule>
    <cfRule type="expression" dxfId="1862" priority="47">
      <formula>AND($E152 = 0 * ISNUMBER($E152))</formula>
    </cfRule>
    <cfRule type="expression" dxfId="1861" priority="48">
      <formula>AND($E152 &lt; 0, ISNUMBER($E152))</formula>
    </cfRule>
  </conditionalFormatting>
  <conditionalFormatting sqref="A152:C171 G152:I171">
    <cfRule type="expression" dxfId="1860" priority="43">
      <formula>AND($H152 &gt; 0, ISNUMBER($H152))</formula>
    </cfRule>
    <cfRule type="expression" dxfId="1859" priority="44">
      <formula>AND($H152 = 0 * ISNUMBER($H152))</formula>
    </cfRule>
    <cfRule type="expression" dxfId="1858" priority="45">
      <formula>AND($H152 &lt; 0, ISNUMBER($H152))</formula>
    </cfRule>
  </conditionalFormatting>
  <conditionalFormatting sqref="A152:C171 J152:L171">
    <cfRule type="expression" dxfId="1857" priority="40">
      <formula>AND($K152 &gt; 0, ISNUMBER($K152))</formula>
    </cfRule>
    <cfRule type="expression" dxfId="1856" priority="41">
      <formula>AND($K152 = 0 * ISNUMBER($K152))</formula>
    </cfRule>
    <cfRule type="expression" dxfId="1855" priority="42">
      <formula>AND($K152 &lt; 0, ISNUMBER($K152))</formula>
    </cfRule>
  </conditionalFormatting>
  <conditionalFormatting sqref="D150:F151 E172:F172">
    <cfRule type="expression" dxfId="1854" priority="34">
      <formula>$E$172 &gt; 0</formula>
    </cfRule>
    <cfRule type="expression" dxfId="1853" priority="35">
      <formula>$E$172 = 0</formula>
    </cfRule>
    <cfRule type="expression" dxfId="1852" priority="36">
      <formula>$E$172 &lt; 0</formula>
    </cfRule>
  </conditionalFormatting>
  <conditionalFormatting sqref="G150:I151 H172:I172">
    <cfRule type="expression" dxfId="1851" priority="31">
      <formula>$H$172 &gt; 0</formula>
    </cfRule>
    <cfRule type="expression" dxfId="1850" priority="32">
      <formula>$H$172 = 0</formula>
    </cfRule>
    <cfRule type="expression" dxfId="1849" priority="33">
      <formula>$H$172 &lt; 0</formula>
    </cfRule>
  </conditionalFormatting>
  <conditionalFormatting sqref="J150:L151 K172:L172">
    <cfRule type="expression" dxfId="1848" priority="28">
      <formula>$K$172 &gt; 0</formula>
    </cfRule>
    <cfRule type="expression" dxfId="1847" priority="29">
      <formula>$K$172 = 0</formula>
    </cfRule>
    <cfRule type="expression" dxfId="1846" priority="30">
      <formula>$K$172 &lt; 0</formula>
    </cfRule>
  </conditionalFormatting>
  <conditionalFormatting sqref="M150:O151 N172:O172">
    <cfRule type="expression" dxfId="1845" priority="25">
      <formula>$N$172 &gt; 0</formula>
    </cfRule>
    <cfRule type="expression" dxfId="1844" priority="26">
      <formula>$N$172 = 0</formula>
    </cfRule>
    <cfRule type="expression" dxfId="1843" priority="27">
      <formula>$N$172 &lt; 0</formula>
    </cfRule>
  </conditionalFormatting>
  <conditionalFormatting sqref="A179:C198 M179:O198">
    <cfRule type="expression" dxfId="1842" priority="13">
      <formula>AND($N179 &gt; 0, ISNUMBER($N179))</formula>
    </cfRule>
    <cfRule type="expression" dxfId="1841" priority="14">
      <formula>AND($N179 = 0 * ISNUMBER($N179))</formula>
    </cfRule>
    <cfRule type="expression" dxfId="1840" priority="15">
      <formula>AND($N179 &lt; 0, ISNUMBER($N179))</formula>
    </cfRule>
  </conditionalFormatting>
  <conditionalFormatting sqref="A179:F198">
    <cfRule type="expression" dxfId="1839" priority="22">
      <formula>AND($E179 &gt; 0, ISNUMBER($E179))</formula>
    </cfRule>
    <cfRule type="expression" dxfId="1838" priority="23">
      <formula>AND($E179 = 0 * ISNUMBER($E179))</formula>
    </cfRule>
    <cfRule type="expression" dxfId="1837" priority="24">
      <formula>AND($E179 &lt; 0, ISNUMBER($E179))</formula>
    </cfRule>
  </conditionalFormatting>
  <conditionalFormatting sqref="A179:C198 G179:I198">
    <cfRule type="expression" dxfId="1836" priority="19">
      <formula>AND($H179 &gt; 0, ISNUMBER($H179))</formula>
    </cfRule>
    <cfRule type="expression" dxfId="1835" priority="20">
      <formula>AND($H179 = 0 * ISNUMBER($H179))</formula>
    </cfRule>
    <cfRule type="expression" dxfId="1834" priority="21">
      <formula>AND($H179 &lt; 0, ISNUMBER($H179))</formula>
    </cfRule>
  </conditionalFormatting>
  <conditionalFormatting sqref="A179:C198 J179:L198">
    <cfRule type="expression" dxfId="1833" priority="16">
      <formula>AND($K179 &gt; 0, ISNUMBER($K179))</formula>
    </cfRule>
    <cfRule type="expression" dxfId="1832" priority="17">
      <formula>AND($K179 = 0 * ISNUMBER($K179))</formula>
    </cfRule>
    <cfRule type="expression" dxfId="1831" priority="18">
      <formula>AND($K179 &lt; 0, ISNUMBER($K179))</formula>
    </cfRule>
  </conditionalFormatting>
  <conditionalFormatting sqref="D177:F178 E199:F199">
    <cfRule type="expression" dxfId="1830" priority="10">
      <formula>$E$199 &gt; 0</formula>
    </cfRule>
    <cfRule type="expression" dxfId="1829" priority="11">
      <formula>$E$199 = 0</formula>
    </cfRule>
    <cfRule type="expression" dxfId="1828" priority="12">
      <formula>$E$199 &lt; 0</formula>
    </cfRule>
  </conditionalFormatting>
  <conditionalFormatting sqref="G177:I178 H199:I199">
    <cfRule type="expression" dxfId="1827" priority="7">
      <formula>$H$199 &gt; 0</formula>
    </cfRule>
    <cfRule type="expression" dxfId="1826" priority="8">
      <formula>$H$199 = 0</formula>
    </cfRule>
    <cfRule type="expression" dxfId="1825" priority="9">
      <formula>$H$199 &lt; 0</formula>
    </cfRule>
  </conditionalFormatting>
  <conditionalFormatting sqref="J177:L178 K199:L199">
    <cfRule type="expression" dxfId="1824" priority="4">
      <formula>$K$199 &gt; 0</formula>
    </cfRule>
    <cfRule type="expression" dxfId="1823" priority="5">
      <formula>$K$199 = 0</formula>
    </cfRule>
    <cfRule type="expression" dxfId="1822" priority="6">
      <formula>$K$199 &lt; 0</formula>
    </cfRule>
  </conditionalFormatting>
  <conditionalFormatting sqref="M177:O178 N199:O199">
    <cfRule type="expression" dxfId="1821" priority="1">
      <formula>$N$199 &gt; 0</formula>
    </cfRule>
    <cfRule type="expression" dxfId="1820" priority="2">
      <formula>$N$199 = 0</formula>
    </cfRule>
    <cfRule type="expression" dxfId="181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18">
        <v>44413</v>
      </c>
      <c r="H1" s="219"/>
      <c r="I1" s="220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24" t="s">
        <v>46</v>
      </c>
      <c r="H2" s="225"/>
      <c r="I2" s="226"/>
      <c r="J2" s="1" t="s">
        <v>3</v>
      </c>
      <c r="K2" s="221" t="s">
        <v>320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27" t="s">
        <v>328</v>
      </c>
      <c r="C3" s="228"/>
      <c r="D3" s="228"/>
      <c r="E3" s="228"/>
      <c r="F3" s="229"/>
      <c r="G3" s="23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31"/>
      <c r="I3" s="232"/>
      <c r="J3" s="4" t="s">
        <v>7</v>
      </c>
      <c r="K3" s="227" t="s">
        <v>321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7" t="s">
        <v>16</v>
      </c>
      <c r="C4" s="228"/>
      <c r="D4" s="228"/>
      <c r="E4" s="228"/>
      <c r="F4" s="229"/>
      <c r="G4" s="224" t="s">
        <v>44</v>
      </c>
      <c r="H4" s="225"/>
      <c r="I4" s="226"/>
      <c r="J4" s="4" t="s">
        <v>11</v>
      </c>
      <c r="K4" s="227" t="s">
        <v>322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7" t="s">
        <v>319</v>
      </c>
      <c r="C5" s="228"/>
      <c r="D5" s="228"/>
      <c r="E5" s="228"/>
      <c r="F5" s="229"/>
      <c r="G5" s="23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31"/>
      <c r="I5" s="232"/>
      <c r="J5" s="4" t="s">
        <v>15</v>
      </c>
      <c r="K5" s="227" t="s">
        <v>323</v>
      </c>
      <c r="L5" s="228"/>
      <c r="M5" s="228"/>
      <c r="N5" s="228"/>
      <c r="O5" s="229"/>
    </row>
    <row r="6" spans="1:19">
      <c r="A6" s="118" t="s">
        <v>18</v>
      </c>
      <c r="B6" s="227"/>
      <c r="C6" s="228"/>
      <c r="D6" s="228"/>
      <c r="E6" s="228"/>
      <c r="F6" s="229"/>
      <c r="G6" s="224" t="s">
        <v>45</v>
      </c>
      <c r="H6" s="225"/>
      <c r="I6" s="226"/>
      <c r="J6" s="4" t="s">
        <v>18</v>
      </c>
      <c r="K6" s="227" t="s">
        <v>324</v>
      </c>
      <c r="L6" s="228"/>
      <c r="M6" s="228"/>
      <c r="N6" s="228"/>
      <c r="O6" s="229"/>
    </row>
    <row r="7" spans="1:19" ht="17.25" thickBot="1">
      <c r="A7" s="118" t="s">
        <v>21</v>
      </c>
      <c r="B7" s="227"/>
      <c r="C7" s="228"/>
      <c r="D7" s="228"/>
      <c r="E7" s="228"/>
      <c r="F7" s="229"/>
      <c r="G7" s="23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31"/>
      <c r="I7" s="232"/>
      <c r="J7" s="4" t="s">
        <v>21</v>
      </c>
      <c r="K7" s="227" t="s">
        <v>325</v>
      </c>
      <c r="L7" s="228"/>
      <c r="M7" s="228"/>
      <c r="N7" s="228"/>
      <c r="O7" s="229"/>
    </row>
    <row r="8" spans="1:19" ht="17.25" thickBot="1">
      <c r="A8" s="118" t="s">
        <v>24</v>
      </c>
      <c r="B8" s="227"/>
      <c r="C8" s="228"/>
      <c r="D8" s="228"/>
      <c r="E8" s="228"/>
      <c r="F8" s="229"/>
      <c r="G8" s="224" t="s">
        <v>255</v>
      </c>
      <c r="H8" s="225"/>
      <c r="I8" s="226"/>
      <c r="J8" s="4" t="s">
        <v>24</v>
      </c>
      <c r="K8" s="227"/>
      <c r="L8" s="228"/>
      <c r="M8" s="228"/>
      <c r="N8" s="228"/>
      <c r="O8" s="229"/>
      <c r="Q8" s="215" t="s">
        <v>27</v>
      </c>
      <c r="R8" s="217"/>
    </row>
    <row r="9" spans="1:19" ht="17.25" thickBot="1">
      <c r="A9" s="118" t="s">
        <v>28</v>
      </c>
      <c r="B9" s="227"/>
      <c r="C9" s="228"/>
      <c r="D9" s="228"/>
      <c r="E9" s="228"/>
      <c r="F9" s="229"/>
      <c r="G9" s="23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31"/>
      <c r="I9" s="232"/>
      <c r="J9" s="4" t="s">
        <v>28</v>
      </c>
      <c r="K9" s="227"/>
      <c r="L9" s="228"/>
      <c r="M9" s="228"/>
      <c r="N9" s="228"/>
      <c r="O9" s="229"/>
      <c r="Q9" s="2" t="s">
        <v>29</v>
      </c>
      <c r="R9" s="6">
        <v>10</v>
      </c>
    </row>
    <row r="10" spans="1:19">
      <c r="A10" s="118" t="s">
        <v>30</v>
      </c>
      <c r="B10" s="227"/>
      <c r="C10" s="228"/>
      <c r="D10" s="228"/>
      <c r="E10" s="228"/>
      <c r="F10" s="229"/>
      <c r="G10" s="224" t="s">
        <v>47</v>
      </c>
      <c r="H10" s="225"/>
      <c r="I10" s="226"/>
      <c r="J10" s="4" t="s">
        <v>30</v>
      </c>
      <c r="K10" s="227" t="s">
        <v>326</v>
      </c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1"/>
      <c r="I11" s="232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36"/>
      <c r="R13" s="236"/>
      <c r="S13" s="236"/>
    </row>
    <row r="14" spans="1:19" ht="17.25" customHeight="1" thickBot="1">
      <c r="A14" s="173" t="s">
        <v>35</v>
      </c>
      <c r="B14" s="215" t="s">
        <v>36</v>
      </c>
      <c r="C14" s="217"/>
      <c r="D14" s="215" t="s">
        <v>37</v>
      </c>
      <c r="E14" s="216"/>
      <c r="F14" s="217"/>
      <c r="G14" s="242">
        <f>_xlfn.IFNA(VLOOKUP(B14, 현재가테이블!$B$2:$D$200, 2, FALSE), "-")</f>
        <v>53976000</v>
      </c>
      <c r="H14" s="243"/>
      <c r="I14" s="244"/>
      <c r="J14" s="215" t="s">
        <v>38</v>
      </c>
      <c r="K14" s="216"/>
      <c r="L14" s="217"/>
      <c r="M14" s="245">
        <f>_xlfn.IFNA(VLOOKUP(B14, 현재가테이블!$B$2:$D$200, 3, FALSE), "-")</f>
        <v>-2.1216407400000001E-2</v>
      </c>
      <c r="N14" s="246"/>
      <c r="O14" s="247"/>
      <c r="Q14" s="236"/>
      <c r="R14" s="236"/>
      <c r="S14" s="236"/>
    </row>
    <row r="15" spans="1:19" ht="17.25" customHeight="1" thickBot="1">
      <c r="A15" s="280" t="s">
        <v>39</v>
      </c>
      <c r="B15" s="281" t="str">
        <f>TEXT($G$1, "[$-ko-KR]yyyy-mm-dd(ddd) ") &amp; "오전 00:00"</f>
        <v>2021-08-05(목) 오전 00:00</v>
      </c>
      <c r="C15" s="282"/>
      <c r="D15" s="238" t="str">
        <f>TEXT($G$1, "[$-ko-KR]yyyy-mm-dd(ddd) ") &amp; "오후 14:00"</f>
        <v>2021-08-05(목) 오후 14:00</v>
      </c>
      <c r="E15" s="239"/>
      <c r="F15" s="240"/>
      <c r="G15" s="238" t="str">
        <f>TEXT($G$1, "[$-ko-KR]yyyy-mm-dd(ddd) ") &amp; "오후 19:00"</f>
        <v>2021-08-05(목) 오후 19:00</v>
      </c>
      <c r="H15" s="239"/>
      <c r="I15" s="240"/>
      <c r="J15" s="238" t="str">
        <f>TEXT($G$1, "[$-ko-KR]yyyy-mm-dd(ddd) ") &amp; "오후 21:00"</f>
        <v>2021-08-05(목) 오후 21:00</v>
      </c>
      <c r="K15" s="239"/>
      <c r="L15" s="240"/>
      <c r="M15" s="238" t="str">
        <f>TEXT($G$1+1, "[$-ko-KR]yyyy-mm-dd(ddd) ") &amp; "오전 00:00"</f>
        <v>2021-08-06(금) 오전 00:00</v>
      </c>
      <c r="N15" s="239"/>
      <c r="O15" s="240"/>
      <c r="Q15" s="236"/>
      <c r="R15" s="236"/>
      <c r="S15" s="236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1"/>
      <c r="R16" s="241"/>
      <c r="S16" s="24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6"/>
      <c r="R17" s="236"/>
      <c r="S17" s="23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6"/>
      <c r="R18" s="236"/>
      <c r="S18" s="23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1"/>
      <c r="R19" s="241"/>
      <c r="S19" s="24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1"/>
      <c r="R20" s="241"/>
      <c r="S20" s="24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1"/>
      <c r="R21" s="241"/>
      <c r="S21" s="24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1"/>
      <c r="R22" s="241"/>
      <c r="S22" s="24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1"/>
      <c r="R23" s="241"/>
      <c r="S23" s="24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1"/>
      <c r="R24" s="241"/>
      <c r="S24" s="24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0"/>
      <c r="R26" s="251"/>
      <c r="S26" s="25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3"/>
      <c r="R27" s="254"/>
      <c r="S27" s="25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6"/>
      <c r="R28" s="257"/>
      <c r="S28" s="25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1"/>
      <c r="R29" s="241"/>
      <c r="S29" s="24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6"/>
      <c r="R30" s="236"/>
      <c r="S30" s="23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6"/>
      <c r="R31" s="236"/>
      <c r="S31" s="23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1"/>
      <c r="R32" s="241"/>
      <c r="S32" s="24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1"/>
      <c r="R33" s="241"/>
      <c r="S33" s="24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1"/>
      <c r="R34" s="241"/>
      <c r="S34" s="24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3"/>
      <c r="R35" s="264"/>
      <c r="S35" s="26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6"/>
      <c r="R36" s="267"/>
      <c r="S36" s="268"/>
    </row>
    <row r="37" spans="1:19" ht="17.25" customHeight="1" thickBot="1">
      <c r="A37" s="132" t="s">
        <v>42</v>
      </c>
      <c r="B37" s="274">
        <v>100000</v>
      </c>
      <c r="C37" s="27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9"/>
      <c r="R37" s="270"/>
      <c r="S37" s="27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36"/>
      <c r="R40" s="236"/>
      <c r="S40" s="236"/>
    </row>
    <row r="41" spans="1:19" ht="17.25" customHeight="1" thickBot="1">
      <c r="A41" s="173" t="s">
        <v>267</v>
      </c>
      <c r="B41" s="215" t="s">
        <v>49</v>
      </c>
      <c r="C41" s="217"/>
      <c r="D41" s="215" t="s">
        <v>58</v>
      </c>
      <c r="E41" s="216"/>
      <c r="F41" s="217"/>
      <c r="G41" s="242">
        <f>_xlfn.IFNA(VLOOKUP(B41, 현재가테이블!$B$2:$D$200, 2, FALSE), "-")</f>
        <v>53976000</v>
      </c>
      <c r="H41" s="243"/>
      <c r="I41" s="244"/>
      <c r="J41" s="215" t="s">
        <v>59</v>
      </c>
      <c r="K41" s="216"/>
      <c r="L41" s="217"/>
      <c r="M41" s="245">
        <f>_xlfn.IFNA(VLOOKUP(B41, 현재가테이블!$B$2:$D$200, 3, FALSE), "-")</f>
        <v>-2.1216407400000001E-2</v>
      </c>
      <c r="N41" s="246"/>
      <c r="O41" s="247"/>
      <c r="Q41" s="236"/>
      <c r="R41" s="236"/>
      <c r="S41" s="236"/>
    </row>
    <row r="42" spans="1:19" ht="17.25" customHeight="1" thickBot="1">
      <c r="A42" s="276" t="s">
        <v>55</v>
      </c>
      <c r="B42" s="278" t="str">
        <f>TEXT($G$1, "[$-ko-KR]yyyy-mm-dd(ddd) ") &amp; "오전 00:00"</f>
        <v>2021-08-05(목) 오전 00:00</v>
      </c>
      <c r="C42" s="279"/>
      <c r="D42" s="238" t="str">
        <f>TEXT($G$1, "[$-ko-KR]yyyy-mm-dd(ddd) ") &amp; "오후 14:00"</f>
        <v>2021-08-05(목) 오후 14:00</v>
      </c>
      <c r="E42" s="239"/>
      <c r="F42" s="240"/>
      <c r="G42" s="238" t="str">
        <f>TEXT($G$1, "[$-ko-KR]yyyy-mm-dd(ddd) ") &amp; "오후 19:00"</f>
        <v>2021-08-05(목) 오후 19:00</v>
      </c>
      <c r="H42" s="239"/>
      <c r="I42" s="240"/>
      <c r="J42" s="238" t="str">
        <f>TEXT($G$1, "[$-ko-KR]yyyy-mm-dd(ddd) ") &amp; "오후 21:00"</f>
        <v>2021-08-05(목) 오후 21:00</v>
      </c>
      <c r="K42" s="239"/>
      <c r="L42" s="240"/>
      <c r="M42" s="238" t="str">
        <f>TEXT($G$1+1, "[$-ko-KR]yyyy-mm-dd(ddd) ") &amp; "오전 00:00"</f>
        <v>2021-08-06(금) 오전 00:00</v>
      </c>
      <c r="N42" s="239"/>
      <c r="O42" s="240"/>
      <c r="Q42" s="236"/>
      <c r="R42" s="236"/>
      <c r="S42" s="236"/>
    </row>
    <row r="43" spans="1:19" ht="17.25" customHeight="1" thickBot="1">
      <c r="A43" s="27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1"/>
      <c r="R43" s="241"/>
      <c r="S43" s="241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36"/>
      <c r="R44" s="236"/>
      <c r="S44" s="236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36"/>
      <c r="R45" s="236"/>
      <c r="S45" s="236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41"/>
      <c r="R46" s="241"/>
      <c r="S46" s="241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41"/>
      <c r="R47" s="241"/>
      <c r="S47" s="241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41"/>
      <c r="R48" s="241"/>
      <c r="S48" s="241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41"/>
      <c r="R49" s="241"/>
      <c r="S49" s="241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41"/>
      <c r="R50" s="241"/>
      <c r="S50" s="241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41"/>
      <c r="R51" s="241"/>
      <c r="S51" s="241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50"/>
      <c r="R53" s="251"/>
      <c r="S53" s="252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53"/>
      <c r="R54" s="254"/>
      <c r="S54" s="255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56"/>
      <c r="R55" s="257"/>
      <c r="S55" s="258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41"/>
      <c r="R56" s="241"/>
      <c r="S56" s="241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36"/>
      <c r="R57" s="236"/>
      <c r="S57" s="236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36"/>
      <c r="R58" s="236"/>
      <c r="S58" s="236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41"/>
      <c r="R59" s="241"/>
      <c r="S59" s="241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41"/>
      <c r="R60" s="241"/>
      <c r="S60" s="241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41"/>
      <c r="R61" s="241"/>
      <c r="S61" s="241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63"/>
      <c r="R62" s="264"/>
      <c r="S62" s="265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266"/>
      <c r="R63" s="267"/>
      <c r="S63" s="268"/>
    </row>
    <row r="64" spans="1:19" ht="17.25" customHeight="1" thickBot="1">
      <c r="A64" s="132" t="s">
        <v>270</v>
      </c>
      <c r="B64" s="274">
        <f>$B$37</f>
        <v>100000</v>
      </c>
      <c r="C64" s="275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269"/>
      <c r="R64" s="270"/>
      <c r="S64" s="27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36"/>
      <c r="R67" s="236"/>
      <c r="S67" s="236"/>
    </row>
    <row r="68" spans="1:19" ht="17.25" thickBot="1">
      <c r="A68" s="173" t="s">
        <v>267</v>
      </c>
      <c r="B68" s="215" t="s">
        <v>49</v>
      </c>
      <c r="C68" s="217"/>
      <c r="D68" s="215" t="s">
        <v>58</v>
      </c>
      <c r="E68" s="216"/>
      <c r="F68" s="217"/>
      <c r="G68" s="242">
        <f>_xlfn.IFNA(VLOOKUP(B68, 현재가테이블!$B$2:$D$200, 2, FALSE), "-")</f>
        <v>53976000</v>
      </c>
      <c r="H68" s="243"/>
      <c r="I68" s="244"/>
      <c r="J68" s="215" t="s">
        <v>59</v>
      </c>
      <c r="K68" s="216"/>
      <c r="L68" s="217"/>
      <c r="M68" s="245">
        <f>_xlfn.IFNA(VLOOKUP(B68, 현재가테이블!$B$2:$D$200, 3, FALSE), "-")</f>
        <v>-2.1216407400000001E-2</v>
      </c>
      <c r="N68" s="246"/>
      <c r="O68" s="247"/>
      <c r="Q68" s="236"/>
      <c r="R68" s="236"/>
      <c r="S68" s="236"/>
    </row>
    <row r="69" spans="1:19" ht="17.25" thickBot="1">
      <c r="A69" s="276" t="s">
        <v>55</v>
      </c>
      <c r="B69" s="278" t="str">
        <f>TEXT($G$1, "[$-ko-KR]yyyy-mm-dd(ddd) ") &amp; "오전 00:00"</f>
        <v>2021-08-05(목) 오전 00:00</v>
      </c>
      <c r="C69" s="279"/>
      <c r="D69" s="238" t="str">
        <f>TEXT($G$1, "[$-ko-KR]yyyy-mm-dd(ddd) ") &amp; "오후 14:00"</f>
        <v>2021-08-05(목) 오후 14:00</v>
      </c>
      <c r="E69" s="239"/>
      <c r="F69" s="240"/>
      <c r="G69" s="238" t="str">
        <f>TEXT($G$1, "[$-ko-KR]yyyy-mm-dd(ddd) ") &amp; "오후 19:00"</f>
        <v>2021-08-05(목) 오후 19:00</v>
      </c>
      <c r="H69" s="239"/>
      <c r="I69" s="240"/>
      <c r="J69" s="238" t="str">
        <f>TEXT($G$1, "[$-ko-KR]yyyy-mm-dd(ddd) ") &amp; "오후 21:00"</f>
        <v>2021-08-05(목) 오후 21:00</v>
      </c>
      <c r="K69" s="239"/>
      <c r="L69" s="240"/>
      <c r="M69" s="238" t="str">
        <f>TEXT($G$1+1, "[$-ko-KR]yyyy-mm-dd(ddd) ") &amp; "오전 00:00"</f>
        <v>2021-08-06(금) 오전 00:00</v>
      </c>
      <c r="N69" s="239"/>
      <c r="O69" s="240"/>
      <c r="Q69" s="236"/>
      <c r="R69" s="236"/>
      <c r="S69" s="236"/>
    </row>
    <row r="70" spans="1:19" ht="17.25" thickBot="1">
      <c r="A70" s="27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1"/>
      <c r="R70" s="241"/>
      <c r="S70" s="241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36"/>
      <c r="R71" s="236"/>
      <c r="S71" s="236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36"/>
      <c r="R72" s="236"/>
      <c r="S72" s="236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41"/>
      <c r="R73" s="241"/>
      <c r="S73" s="241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41"/>
      <c r="R74" s="241"/>
      <c r="S74" s="241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41"/>
      <c r="R75" s="241"/>
      <c r="S75" s="241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41"/>
      <c r="R76" s="241"/>
      <c r="S76" s="241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41"/>
      <c r="R77" s="241"/>
      <c r="S77" s="241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41"/>
      <c r="R78" s="241"/>
      <c r="S78" s="241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50"/>
      <c r="R80" s="251"/>
      <c r="S80" s="252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53"/>
      <c r="R81" s="254"/>
      <c r="S81" s="255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56"/>
      <c r="R82" s="257"/>
      <c r="S82" s="258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41"/>
      <c r="R83" s="241"/>
      <c r="S83" s="241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36"/>
      <c r="R84" s="236"/>
      <c r="S84" s="236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36"/>
      <c r="R85" s="236"/>
      <c r="S85" s="236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41"/>
      <c r="R86" s="241"/>
      <c r="S86" s="241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41"/>
      <c r="R87" s="241"/>
      <c r="S87" s="241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41"/>
      <c r="R88" s="241"/>
      <c r="S88" s="241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63"/>
      <c r="R89" s="264"/>
      <c r="S89" s="265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266"/>
      <c r="R90" s="267"/>
      <c r="S90" s="268"/>
    </row>
    <row r="91" spans="1:19" ht="17.25" thickBot="1">
      <c r="A91" s="132" t="s">
        <v>270</v>
      </c>
      <c r="B91" s="274">
        <f>$B$37</f>
        <v>100000</v>
      </c>
      <c r="C91" s="275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269"/>
      <c r="R91" s="270"/>
      <c r="S91" s="27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36"/>
      <c r="R94" s="236"/>
      <c r="S94" s="236"/>
    </row>
    <row r="95" spans="1:19" ht="17.25" thickBot="1">
      <c r="A95" s="173" t="s">
        <v>267</v>
      </c>
      <c r="B95" s="215" t="s">
        <v>49</v>
      </c>
      <c r="C95" s="217"/>
      <c r="D95" s="215" t="s">
        <v>58</v>
      </c>
      <c r="E95" s="216"/>
      <c r="F95" s="217"/>
      <c r="G95" s="242">
        <f>_xlfn.IFNA(VLOOKUP(B95, 현재가테이블!$B$2:$D$200, 2, FALSE), "-")</f>
        <v>53976000</v>
      </c>
      <c r="H95" s="243"/>
      <c r="I95" s="244"/>
      <c r="J95" s="215" t="s">
        <v>59</v>
      </c>
      <c r="K95" s="216"/>
      <c r="L95" s="217"/>
      <c r="M95" s="245">
        <f>_xlfn.IFNA(VLOOKUP(B95, 현재가테이블!$B$2:$D$200, 3, FALSE), "-")</f>
        <v>-2.1216407400000001E-2</v>
      </c>
      <c r="N95" s="246"/>
      <c r="O95" s="247"/>
      <c r="Q95" s="236"/>
      <c r="R95" s="236"/>
      <c r="S95" s="236"/>
    </row>
    <row r="96" spans="1:19" ht="17.25" thickBot="1">
      <c r="A96" s="276" t="s">
        <v>55</v>
      </c>
      <c r="B96" s="278" t="str">
        <f>TEXT($G$1, "[$-ko-KR]yyyy-mm-dd(ddd) ") &amp; "오전 00:00"</f>
        <v>2021-08-05(목) 오전 00:00</v>
      </c>
      <c r="C96" s="279"/>
      <c r="D96" s="238" t="str">
        <f>TEXT($G$1, "[$-ko-KR]yyyy-mm-dd(ddd) ") &amp; "오후 14:00"</f>
        <v>2021-08-05(목) 오후 14:00</v>
      </c>
      <c r="E96" s="239"/>
      <c r="F96" s="240"/>
      <c r="G96" s="238" t="str">
        <f>TEXT($G$1, "[$-ko-KR]yyyy-mm-dd(ddd) ") &amp; "오후 19:00"</f>
        <v>2021-08-05(목) 오후 19:00</v>
      </c>
      <c r="H96" s="239"/>
      <c r="I96" s="240"/>
      <c r="J96" s="238" t="str">
        <f>TEXT($G$1, "[$-ko-KR]yyyy-mm-dd(ddd) ") &amp; "오후 21:00"</f>
        <v>2021-08-05(목) 오후 21:00</v>
      </c>
      <c r="K96" s="239"/>
      <c r="L96" s="240"/>
      <c r="M96" s="238" t="str">
        <f>TEXT($G$1+1, "[$-ko-KR]yyyy-mm-dd(ddd) ") &amp; "오전 00:00"</f>
        <v>2021-08-06(금) 오전 00:00</v>
      </c>
      <c r="N96" s="239"/>
      <c r="O96" s="240"/>
      <c r="Q96" s="236"/>
      <c r="R96" s="236"/>
      <c r="S96" s="236"/>
    </row>
    <row r="97" spans="1:19" ht="17.25" thickBot="1">
      <c r="A97" s="27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1"/>
      <c r="R97" s="241"/>
      <c r="S97" s="241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36"/>
      <c r="R98" s="236"/>
      <c r="S98" s="236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36"/>
      <c r="R99" s="236"/>
      <c r="S99" s="236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41"/>
      <c r="R100" s="241"/>
      <c r="S100" s="241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41"/>
      <c r="R101" s="241"/>
      <c r="S101" s="241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41"/>
      <c r="R102" s="241"/>
      <c r="S102" s="241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41"/>
      <c r="R103" s="241"/>
      <c r="S103" s="241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41"/>
      <c r="R104" s="241"/>
      <c r="S104" s="241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41"/>
      <c r="R105" s="241"/>
      <c r="S105" s="241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50"/>
      <c r="R107" s="251"/>
      <c r="S107" s="252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53"/>
      <c r="R108" s="254"/>
      <c r="S108" s="255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56"/>
      <c r="R109" s="257"/>
      <c r="S109" s="258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41"/>
      <c r="R110" s="241"/>
      <c r="S110" s="241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36"/>
      <c r="R111" s="236"/>
      <c r="S111" s="236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36"/>
      <c r="R112" s="236"/>
      <c r="S112" s="236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41"/>
      <c r="R113" s="241"/>
      <c r="S113" s="241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41"/>
      <c r="R114" s="241"/>
      <c r="S114" s="241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41"/>
      <c r="R115" s="241"/>
      <c r="S115" s="241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63"/>
      <c r="R116" s="264"/>
      <c r="S116" s="265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266"/>
      <c r="R117" s="267"/>
      <c r="S117" s="268"/>
    </row>
    <row r="118" spans="1:19" ht="17.25" thickBot="1">
      <c r="A118" s="132" t="s">
        <v>270</v>
      </c>
      <c r="B118" s="274">
        <f>$B$37</f>
        <v>100000</v>
      </c>
      <c r="C118" s="275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269"/>
      <c r="R118" s="270"/>
      <c r="S118" s="27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36"/>
      <c r="R121" s="236"/>
      <c r="S121" s="236"/>
    </row>
    <row r="122" spans="1:19" ht="17.25" thickBot="1">
      <c r="A122" s="173" t="s">
        <v>267</v>
      </c>
      <c r="B122" s="215" t="s">
        <v>49</v>
      </c>
      <c r="C122" s="217"/>
      <c r="D122" s="215" t="s">
        <v>58</v>
      </c>
      <c r="E122" s="216"/>
      <c r="F122" s="217"/>
      <c r="G122" s="242">
        <f>_xlfn.IFNA(VLOOKUP(B122, 현재가테이블!$B$2:$D$200, 2, FALSE), "-")</f>
        <v>53976000</v>
      </c>
      <c r="H122" s="243"/>
      <c r="I122" s="244"/>
      <c r="J122" s="215" t="s">
        <v>59</v>
      </c>
      <c r="K122" s="216"/>
      <c r="L122" s="217"/>
      <c r="M122" s="245">
        <f>_xlfn.IFNA(VLOOKUP(B122, 현재가테이블!$B$2:$D$200, 3, FALSE), "-")</f>
        <v>-2.1216407400000001E-2</v>
      </c>
      <c r="N122" s="246"/>
      <c r="O122" s="247"/>
      <c r="Q122" s="236"/>
      <c r="R122" s="236"/>
      <c r="S122" s="236"/>
    </row>
    <row r="123" spans="1:19" ht="17.25" thickBot="1">
      <c r="A123" s="276" t="s">
        <v>55</v>
      </c>
      <c r="B123" s="278" t="str">
        <f>TEXT($G$1, "[$-ko-KR]yyyy-mm-dd(ddd) ") &amp; "오전 00:00"</f>
        <v>2021-08-05(목) 오전 00:00</v>
      </c>
      <c r="C123" s="279"/>
      <c r="D123" s="238" t="str">
        <f>TEXT($G$1, "[$-ko-KR]yyyy-mm-dd(ddd) ") &amp; "오후 14:00"</f>
        <v>2021-08-05(목) 오후 14:00</v>
      </c>
      <c r="E123" s="239"/>
      <c r="F123" s="240"/>
      <c r="G123" s="238" t="str">
        <f>TEXT($G$1, "[$-ko-KR]yyyy-mm-dd(ddd) ") &amp; "오후 19:00"</f>
        <v>2021-08-05(목) 오후 19:00</v>
      </c>
      <c r="H123" s="239"/>
      <c r="I123" s="240"/>
      <c r="J123" s="238" t="str">
        <f>TEXT($G$1, "[$-ko-KR]yyyy-mm-dd(ddd) ") &amp; "오후 21:00"</f>
        <v>2021-08-05(목) 오후 21:00</v>
      </c>
      <c r="K123" s="239"/>
      <c r="L123" s="240"/>
      <c r="M123" s="238" t="str">
        <f>TEXT($G$1+1, "[$-ko-KR]yyyy-mm-dd(ddd) ") &amp; "오전 00:00"</f>
        <v>2021-08-06(금) 오전 00:00</v>
      </c>
      <c r="N123" s="239"/>
      <c r="O123" s="240"/>
      <c r="Q123" s="236"/>
      <c r="R123" s="236"/>
      <c r="S123" s="236"/>
    </row>
    <row r="124" spans="1:19" ht="17.25" thickBot="1">
      <c r="A124" s="27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1"/>
      <c r="R124" s="241"/>
      <c r="S124" s="241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36"/>
      <c r="R125" s="236"/>
      <c r="S125" s="236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36"/>
      <c r="R126" s="236"/>
      <c r="S126" s="236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41"/>
      <c r="R127" s="241"/>
      <c r="S127" s="241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41"/>
      <c r="R128" s="241"/>
      <c r="S128" s="241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41"/>
      <c r="R129" s="241"/>
      <c r="S129" s="241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41"/>
      <c r="R130" s="241"/>
      <c r="S130" s="241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41"/>
      <c r="R131" s="241"/>
      <c r="S131" s="241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41"/>
      <c r="R132" s="241"/>
      <c r="S132" s="241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50"/>
      <c r="R134" s="251"/>
      <c r="S134" s="252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53"/>
      <c r="R135" s="254"/>
      <c r="S135" s="255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56"/>
      <c r="R136" s="257"/>
      <c r="S136" s="258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41"/>
      <c r="R137" s="241"/>
      <c r="S137" s="241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36"/>
      <c r="R138" s="236"/>
      <c r="S138" s="236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36"/>
      <c r="R139" s="236"/>
      <c r="S139" s="236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41"/>
      <c r="R140" s="241"/>
      <c r="S140" s="241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41"/>
      <c r="R141" s="241"/>
      <c r="S141" s="241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41"/>
      <c r="R142" s="241"/>
      <c r="S142" s="241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63"/>
      <c r="R143" s="264"/>
      <c r="S143" s="265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266"/>
      <c r="R144" s="267"/>
      <c r="S144" s="268"/>
    </row>
    <row r="145" spans="1:19" ht="17.25" thickBot="1">
      <c r="A145" s="132" t="s">
        <v>270</v>
      </c>
      <c r="B145" s="274">
        <f>$B$37</f>
        <v>100000</v>
      </c>
      <c r="C145" s="275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269"/>
      <c r="R145" s="270"/>
      <c r="S145" s="27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36"/>
      <c r="R148" s="236"/>
      <c r="S148" s="236"/>
    </row>
    <row r="149" spans="1:19" ht="17.25" thickBot="1">
      <c r="A149" s="173" t="s">
        <v>267</v>
      </c>
      <c r="B149" s="215" t="s">
        <v>49</v>
      </c>
      <c r="C149" s="217"/>
      <c r="D149" s="215" t="s">
        <v>58</v>
      </c>
      <c r="E149" s="216"/>
      <c r="F149" s="217"/>
      <c r="G149" s="242">
        <f>_xlfn.IFNA(VLOOKUP(B149, 현재가테이블!$B$2:$D$200, 2, FALSE), "-")</f>
        <v>53976000</v>
      </c>
      <c r="H149" s="243"/>
      <c r="I149" s="244"/>
      <c r="J149" s="215" t="s">
        <v>59</v>
      </c>
      <c r="K149" s="216"/>
      <c r="L149" s="217"/>
      <c r="M149" s="245">
        <f>_xlfn.IFNA(VLOOKUP(B149, 현재가테이블!$B$2:$D$200, 3, FALSE), "-")</f>
        <v>-2.1216407400000001E-2</v>
      </c>
      <c r="N149" s="246"/>
      <c r="O149" s="247"/>
      <c r="Q149" s="236"/>
      <c r="R149" s="236"/>
      <c r="S149" s="236"/>
    </row>
    <row r="150" spans="1:19" ht="17.25" thickBot="1">
      <c r="A150" s="276" t="s">
        <v>55</v>
      </c>
      <c r="B150" s="278" t="str">
        <f>TEXT($G$1, "[$-ko-KR]yyyy-mm-dd(ddd) ") &amp; "오전 00:00"</f>
        <v>2021-08-05(목) 오전 00:00</v>
      </c>
      <c r="C150" s="279"/>
      <c r="D150" s="238" t="str">
        <f>TEXT($G$1, "[$-ko-KR]yyyy-mm-dd(ddd) ") &amp; "오후 14:00"</f>
        <v>2021-08-05(목) 오후 14:00</v>
      </c>
      <c r="E150" s="239"/>
      <c r="F150" s="240"/>
      <c r="G150" s="238" t="str">
        <f>TEXT($G$1, "[$-ko-KR]yyyy-mm-dd(ddd) ") &amp; "오후 19:00"</f>
        <v>2021-08-05(목) 오후 19:00</v>
      </c>
      <c r="H150" s="239"/>
      <c r="I150" s="240"/>
      <c r="J150" s="238" t="str">
        <f>TEXT($G$1, "[$-ko-KR]yyyy-mm-dd(ddd) ") &amp; "오후 21:00"</f>
        <v>2021-08-05(목) 오후 21:00</v>
      </c>
      <c r="K150" s="239"/>
      <c r="L150" s="240"/>
      <c r="M150" s="238" t="str">
        <f>TEXT($G$1+1, "[$-ko-KR]yyyy-mm-dd(ddd) ") &amp; "오전 00:00"</f>
        <v>2021-08-06(금) 오전 00:00</v>
      </c>
      <c r="N150" s="239"/>
      <c r="O150" s="240"/>
      <c r="Q150" s="236"/>
      <c r="R150" s="236"/>
      <c r="S150" s="236"/>
    </row>
    <row r="151" spans="1:19" ht="17.25" thickBot="1">
      <c r="A151" s="27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1"/>
      <c r="R151" s="241"/>
      <c r="S151" s="241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36"/>
      <c r="R152" s="236"/>
      <c r="S152" s="236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36"/>
      <c r="R153" s="236"/>
      <c r="S153" s="236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41"/>
      <c r="R154" s="241"/>
      <c r="S154" s="241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41"/>
      <c r="R155" s="241"/>
      <c r="S155" s="241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41"/>
      <c r="R156" s="241"/>
      <c r="S156" s="241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41"/>
      <c r="R157" s="241"/>
      <c r="S157" s="241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41"/>
      <c r="R158" s="241"/>
      <c r="S158" s="241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41"/>
      <c r="R159" s="241"/>
      <c r="S159" s="241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50"/>
      <c r="R161" s="251"/>
      <c r="S161" s="252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53"/>
      <c r="R162" s="254"/>
      <c r="S162" s="255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56"/>
      <c r="R163" s="257"/>
      <c r="S163" s="258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41"/>
      <c r="R164" s="241"/>
      <c r="S164" s="241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36"/>
      <c r="R165" s="236"/>
      <c r="S165" s="236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36"/>
      <c r="R166" s="236"/>
      <c r="S166" s="236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41"/>
      <c r="R167" s="241"/>
      <c r="S167" s="241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41"/>
      <c r="R168" s="241"/>
      <c r="S168" s="241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41"/>
      <c r="R169" s="241"/>
      <c r="S169" s="241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63"/>
      <c r="R170" s="264"/>
      <c r="S170" s="265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266"/>
      <c r="R171" s="267"/>
      <c r="S171" s="268"/>
    </row>
    <row r="172" spans="1:19" ht="17.25" thickBot="1">
      <c r="A172" s="132" t="s">
        <v>270</v>
      </c>
      <c r="B172" s="274">
        <f>$B$37</f>
        <v>100000</v>
      </c>
      <c r="C172" s="275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269"/>
      <c r="R172" s="270"/>
      <c r="S172" s="27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36"/>
      <c r="R175" s="236"/>
      <c r="S175" s="236"/>
    </row>
    <row r="176" spans="1:19" ht="17.25" thickBot="1">
      <c r="A176" s="173" t="s">
        <v>267</v>
      </c>
      <c r="B176" s="215" t="s">
        <v>49</v>
      </c>
      <c r="C176" s="217"/>
      <c r="D176" s="215" t="s">
        <v>58</v>
      </c>
      <c r="E176" s="216"/>
      <c r="F176" s="217"/>
      <c r="G176" s="242">
        <f>_xlfn.IFNA(VLOOKUP(B176, 현재가테이블!$B$2:$D$200, 2, FALSE), "-")</f>
        <v>53976000</v>
      </c>
      <c r="H176" s="243"/>
      <c r="I176" s="244"/>
      <c r="J176" s="215" t="s">
        <v>59</v>
      </c>
      <c r="K176" s="216"/>
      <c r="L176" s="217"/>
      <c r="M176" s="245">
        <f>_xlfn.IFNA(VLOOKUP(B176, 현재가테이블!$B$2:$D$200, 3, FALSE), "-")</f>
        <v>-2.1216407400000001E-2</v>
      </c>
      <c r="N176" s="246"/>
      <c r="O176" s="247"/>
      <c r="Q176" s="236"/>
      <c r="R176" s="236"/>
      <c r="S176" s="236"/>
    </row>
    <row r="177" spans="1:19" ht="17.25" thickBot="1">
      <c r="A177" s="276" t="s">
        <v>55</v>
      </c>
      <c r="B177" s="278" t="str">
        <f>TEXT($G$1, "[$-ko-KR]yyyy-mm-dd(ddd) ") &amp; "오전 00:00"</f>
        <v>2021-08-05(목) 오전 00:00</v>
      </c>
      <c r="C177" s="279"/>
      <c r="D177" s="238" t="str">
        <f>TEXT($G$1, "[$-ko-KR]yyyy-mm-dd(ddd) ") &amp; "오후 14:00"</f>
        <v>2021-08-05(목) 오후 14:00</v>
      </c>
      <c r="E177" s="239"/>
      <c r="F177" s="240"/>
      <c r="G177" s="238" t="str">
        <f>TEXT($G$1, "[$-ko-KR]yyyy-mm-dd(ddd) ") &amp; "오후 19:00"</f>
        <v>2021-08-05(목) 오후 19:00</v>
      </c>
      <c r="H177" s="239"/>
      <c r="I177" s="240"/>
      <c r="J177" s="238" t="str">
        <f>TEXT($G$1, "[$-ko-KR]yyyy-mm-dd(ddd) ") &amp; "오후 21:00"</f>
        <v>2021-08-05(목) 오후 21:00</v>
      </c>
      <c r="K177" s="239"/>
      <c r="L177" s="240"/>
      <c r="M177" s="238" t="str">
        <f>TEXT($G$1+1, "[$-ko-KR]yyyy-mm-dd(ddd) ") &amp; "오전 00:00"</f>
        <v>2021-08-06(금) 오전 00:00</v>
      </c>
      <c r="N177" s="239"/>
      <c r="O177" s="240"/>
      <c r="Q177" s="236"/>
      <c r="R177" s="236"/>
      <c r="S177" s="236"/>
    </row>
    <row r="178" spans="1:19" ht="17.25" thickBot="1">
      <c r="A178" s="27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1"/>
      <c r="R178" s="241"/>
      <c r="S178" s="241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36"/>
      <c r="R179" s="236"/>
      <c r="S179" s="236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36"/>
      <c r="R180" s="236"/>
      <c r="S180" s="236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41"/>
      <c r="R181" s="241"/>
      <c r="S181" s="241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41"/>
      <c r="R182" s="241"/>
      <c r="S182" s="241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41"/>
      <c r="R183" s="241"/>
      <c r="S183" s="241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41"/>
      <c r="R184" s="241"/>
      <c r="S184" s="241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41"/>
      <c r="R185" s="241"/>
      <c r="S185" s="241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41"/>
      <c r="R186" s="241"/>
      <c r="S186" s="241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50"/>
      <c r="R188" s="251"/>
      <c r="S188" s="252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53"/>
      <c r="R189" s="254"/>
      <c r="S189" s="255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56"/>
      <c r="R190" s="257"/>
      <c r="S190" s="258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41"/>
      <c r="R191" s="241"/>
      <c r="S191" s="241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36"/>
      <c r="R192" s="236"/>
      <c r="S192" s="236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36"/>
      <c r="R193" s="236"/>
      <c r="S193" s="236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41"/>
      <c r="R194" s="241"/>
      <c r="S194" s="241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41"/>
      <c r="R195" s="241"/>
      <c r="S195" s="241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41"/>
      <c r="R196" s="241"/>
      <c r="S196" s="241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63"/>
      <c r="R197" s="264"/>
      <c r="S197" s="265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266"/>
      <c r="R198" s="267"/>
      <c r="S198" s="268"/>
    </row>
    <row r="199" spans="1:19" ht="17.25" thickBot="1">
      <c r="A199" s="132" t="s">
        <v>270</v>
      </c>
      <c r="B199" s="274">
        <f>$B$37</f>
        <v>100000</v>
      </c>
      <c r="C199" s="275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269"/>
      <c r="R199" s="270"/>
      <c r="S199" s="27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81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1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1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1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1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1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1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1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08" priority="157">
      <formula>AND($N17 &gt; 0, ISNUMBER($N17))</formula>
    </cfRule>
    <cfRule type="expression" dxfId="1807" priority="158">
      <formula>AND($N17 = 0 * ISNUMBER($N17))</formula>
    </cfRule>
    <cfRule type="expression" dxfId="1806" priority="159">
      <formula>AND($N17 &lt; 0, ISNUMBER($N17))</formula>
    </cfRule>
  </conditionalFormatting>
  <conditionalFormatting sqref="A17:F36">
    <cfRule type="expression" dxfId="1805" priority="166">
      <formula>AND($E17 &gt; 0, ISNUMBER($E17))</formula>
    </cfRule>
    <cfRule type="expression" dxfId="1804" priority="167">
      <formula>AND($E17 = 0 * ISNUMBER($E17))</formula>
    </cfRule>
    <cfRule type="expression" dxfId="1803" priority="168">
      <formula>AND($E17 &lt; 0, ISNUMBER($E17))</formula>
    </cfRule>
  </conditionalFormatting>
  <conditionalFormatting sqref="A17:C36 G17:I36">
    <cfRule type="expression" dxfId="1802" priority="163">
      <formula>AND($H17 &gt; 0, ISNUMBER($H17))</formula>
    </cfRule>
    <cfRule type="expression" dxfId="1801" priority="164">
      <formula>AND($H17 = 0 * ISNUMBER($H17))</formula>
    </cfRule>
    <cfRule type="expression" dxfId="1800" priority="165">
      <formula>AND($H17 &lt; 0, ISNUMBER($H17))</formula>
    </cfRule>
  </conditionalFormatting>
  <conditionalFormatting sqref="A17:C36 J17:L36">
    <cfRule type="expression" dxfId="1799" priority="160">
      <formula>AND($K17 &gt; 0, ISNUMBER($K17))</formula>
    </cfRule>
    <cfRule type="expression" dxfId="1798" priority="161">
      <formula>AND($K17 = 0 * ISNUMBER($K17))</formula>
    </cfRule>
    <cfRule type="expression" dxfId="1797" priority="162">
      <formula>AND($K17 &lt; 0, ISNUMBER($K17))</formula>
    </cfRule>
  </conditionalFormatting>
  <conditionalFormatting sqref="D15:F16 E37:F37">
    <cfRule type="expression" dxfId="1796" priority="154">
      <formula>$E$37 &gt; 0</formula>
    </cfRule>
    <cfRule type="expression" dxfId="1795" priority="155">
      <formula>$E$37 = 0</formula>
    </cfRule>
    <cfRule type="expression" dxfId="1794" priority="156">
      <formula>$E$37 &lt; 0</formula>
    </cfRule>
  </conditionalFormatting>
  <conditionalFormatting sqref="G15:I16 H37:I37">
    <cfRule type="expression" dxfId="1793" priority="151">
      <formula>$H$37 &gt; 0</formula>
    </cfRule>
    <cfRule type="expression" dxfId="1792" priority="152">
      <formula>$H$37 = 0</formula>
    </cfRule>
    <cfRule type="expression" dxfId="1791" priority="153">
      <formula>$H$37 &lt; 0</formula>
    </cfRule>
  </conditionalFormatting>
  <conditionalFormatting sqref="J15:L16 K37:L37">
    <cfRule type="expression" dxfId="1790" priority="148">
      <formula>$K$37 &gt; 0</formula>
    </cfRule>
    <cfRule type="expression" dxfId="1789" priority="149">
      <formula>$K$37 = 0</formula>
    </cfRule>
    <cfRule type="expression" dxfId="1788" priority="150">
      <formula>$K$37 &lt; 0</formula>
    </cfRule>
  </conditionalFormatting>
  <conditionalFormatting sqref="M15:O16 N37:O37">
    <cfRule type="expression" dxfId="1787" priority="145">
      <formula>$N$37 &gt; 0</formula>
    </cfRule>
    <cfRule type="expression" dxfId="1786" priority="146">
      <formula>$N$37 = 0</formula>
    </cfRule>
    <cfRule type="expression" dxfId="1785" priority="147">
      <formula>$N$37 &lt; 0</formula>
    </cfRule>
  </conditionalFormatting>
  <conditionalFormatting sqref="A44:C63 M44:O63">
    <cfRule type="expression" dxfId="1784" priority="133">
      <formula>AND($N44 &gt; 0, ISNUMBER($N44))</formula>
    </cfRule>
    <cfRule type="expression" dxfId="1783" priority="134">
      <formula>AND($N44 = 0 * ISNUMBER($N44))</formula>
    </cfRule>
    <cfRule type="expression" dxfId="1782" priority="135">
      <formula>AND($N44 &lt; 0, ISNUMBER($N44))</formula>
    </cfRule>
  </conditionalFormatting>
  <conditionalFormatting sqref="A44:F63">
    <cfRule type="expression" dxfId="1781" priority="142">
      <formula>AND($E44 &gt; 0, ISNUMBER($E44))</formula>
    </cfRule>
    <cfRule type="expression" dxfId="1780" priority="143">
      <formula>AND($E44 = 0 * ISNUMBER($E44))</formula>
    </cfRule>
    <cfRule type="expression" dxfId="1779" priority="144">
      <formula>AND($E44 &lt; 0, ISNUMBER($E44))</formula>
    </cfRule>
  </conditionalFormatting>
  <conditionalFormatting sqref="A44:C63 G44:I63">
    <cfRule type="expression" dxfId="1778" priority="139">
      <formula>AND($H44 &gt; 0, ISNUMBER($H44))</formula>
    </cfRule>
    <cfRule type="expression" dxfId="1777" priority="140">
      <formula>AND($H44 = 0 * ISNUMBER($H44))</formula>
    </cfRule>
    <cfRule type="expression" dxfId="1776" priority="141">
      <formula>AND($H44 &lt; 0, ISNUMBER($H44))</formula>
    </cfRule>
  </conditionalFormatting>
  <conditionalFormatting sqref="A44:C63 J44:L63">
    <cfRule type="expression" dxfId="1775" priority="136">
      <formula>AND($K44 &gt; 0, ISNUMBER($K44))</formula>
    </cfRule>
    <cfRule type="expression" dxfId="1774" priority="137">
      <formula>AND($K44 = 0 * ISNUMBER($K44))</formula>
    </cfRule>
    <cfRule type="expression" dxfId="1773" priority="138">
      <formula>AND($K44 &lt; 0, ISNUMBER($K44))</formula>
    </cfRule>
  </conditionalFormatting>
  <conditionalFormatting sqref="D42:F43 E64:F64">
    <cfRule type="expression" dxfId="1772" priority="130">
      <formula>$E$64 &gt; 0</formula>
    </cfRule>
    <cfRule type="expression" dxfId="1771" priority="131">
      <formula>$E$64 = 0</formula>
    </cfRule>
    <cfRule type="expression" dxfId="1770" priority="132">
      <formula>$E$64 &lt; 0</formula>
    </cfRule>
  </conditionalFormatting>
  <conditionalFormatting sqref="G42:I43 H64:I64">
    <cfRule type="expression" dxfId="1769" priority="127">
      <formula>$H$64 &gt; 0</formula>
    </cfRule>
    <cfRule type="expression" dxfId="1768" priority="128">
      <formula>$H$64 = 0</formula>
    </cfRule>
    <cfRule type="expression" dxfId="1767" priority="129">
      <formula>$H$64 &lt; 0</formula>
    </cfRule>
  </conditionalFormatting>
  <conditionalFormatting sqref="J42:L43 K64:L64">
    <cfRule type="expression" dxfId="1766" priority="124">
      <formula>$K$64 &gt; 0</formula>
    </cfRule>
    <cfRule type="expression" dxfId="1765" priority="125">
      <formula>$K$64 = 0</formula>
    </cfRule>
    <cfRule type="expression" dxfId="1764" priority="126">
      <formula>$K$64 &lt; 0</formula>
    </cfRule>
  </conditionalFormatting>
  <conditionalFormatting sqref="M42:O43 N64:O64">
    <cfRule type="expression" dxfId="1763" priority="121">
      <formula>$N$64 &gt; 0</formula>
    </cfRule>
    <cfRule type="expression" dxfId="1762" priority="122">
      <formula>$N$64 = 0</formula>
    </cfRule>
    <cfRule type="expression" dxfId="1761" priority="123">
      <formula>$N$64 &lt; 0</formula>
    </cfRule>
  </conditionalFormatting>
  <conditionalFormatting sqref="A71:C90 M71:O90">
    <cfRule type="expression" dxfId="1760" priority="109">
      <formula>AND($N71 &gt; 0, ISNUMBER($N71))</formula>
    </cfRule>
    <cfRule type="expression" dxfId="1759" priority="110">
      <formula>AND($N71 = 0 * ISNUMBER($N71))</formula>
    </cfRule>
    <cfRule type="expression" dxfId="1758" priority="111">
      <formula>AND($N71 &lt; 0, ISNUMBER($N71))</formula>
    </cfRule>
  </conditionalFormatting>
  <conditionalFormatting sqref="A71:F90">
    <cfRule type="expression" dxfId="1757" priority="118">
      <formula>AND($E71 &gt; 0, ISNUMBER($E71))</formula>
    </cfRule>
    <cfRule type="expression" dxfId="1756" priority="119">
      <formula>AND($E71 = 0 * ISNUMBER($E71))</formula>
    </cfRule>
    <cfRule type="expression" dxfId="1755" priority="120">
      <formula>AND($E71 &lt; 0, ISNUMBER($E71))</formula>
    </cfRule>
  </conditionalFormatting>
  <conditionalFormatting sqref="A71:C90 G71:I90">
    <cfRule type="expression" dxfId="1754" priority="115">
      <formula>AND($H71 &gt; 0, ISNUMBER($H71))</formula>
    </cfRule>
    <cfRule type="expression" dxfId="1753" priority="116">
      <formula>AND($H71 = 0 * ISNUMBER($H71))</formula>
    </cfRule>
    <cfRule type="expression" dxfId="1752" priority="117">
      <formula>AND($H71 &lt; 0, ISNUMBER($H71))</formula>
    </cfRule>
  </conditionalFormatting>
  <conditionalFormatting sqref="A71:C90 J71:L90">
    <cfRule type="expression" dxfId="1751" priority="112">
      <formula>AND($K71 &gt; 0, ISNUMBER($K71))</formula>
    </cfRule>
    <cfRule type="expression" dxfId="1750" priority="113">
      <formula>AND($K71 = 0 * ISNUMBER($K71))</formula>
    </cfRule>
    <cfRule type="expression" dxfId="1749" priority="114">
      <formula>AND($K71 &lt; 0, ISNUMBER($K71))</formula>
    </cfRule>
  </conditionalFormatting>
  <conditionalFormatting sqref="D69:F70 E91:F91">
    <cfRule type="expression" dxfId="1748" priority="106">
      <formula>$E$91 &gt; 0</formula>
    </cfRule>
    <cfRule type="expression" dxfId="1747" priority="107">
      <formula>$E$91 = 0</formula>
    </cfRule>
    <cfRule type="expression" dxfId="1746" priority="108">
      <formula>$E$91 &lt; 0</formula>
    </cfRule>
  </conditionalFormatting>
  <conditionalFormatting sqref="G69:I70 H91:I91">
    <cfRule type="expression" dxfId="1745" priority="103">
      <formula>$H$91 &gt; 0</formula>
    </cfRule>
    <cfRule type="expression" dxfId="1744" priority="104">
      <formula>$H$91 = 0</formula>
    </cfRule>
    <cfRule type="expression" dxfId="1743" priority="105">
      <formula>$H$91 &lt; 0</formula>
    </cfRule>
  </conditionalFormatting>
  <conditionalFormatting sqref="J69:L70 K91:L91">
    <cfRule type="expression" dxfId="1742" priority="100">
      <formula>$K$91 &gt; 0</formula>
    </cfRule>
    <cfRule type="expression" dxfId="1741" priority="101">
      <formula>$K$91 = 0</formula>
    </cfRule>
    <cfRule type="expression" dxfId="1740" priority="102">
      <formula>$K$91 &lt; 0</formula>
    </cfRule>
  </conditionalFormatting>
  <conditionalFormatting sqref="M69:O70 N91:O91">
    <cfRule type="expression" dxfId="1739" priority="97">
      <formula>$N$91 &gt; 0</formula>
    </cfRule>
    <cfRule type="expression" dxfId="1738" priority="98">
      <formula>$N$91 = 0</formula>
    </cfRule>
    <cfRule type="expression" dxfId="1737" priority="99">
      <formula>$N$91 &lt; 0</formula>
    </cfRule>
  </conditionalFormatting>
  <conditionalFormatting sqref="A98:C117 M98:O117">
    <cfRule type="expression" dxfId="1736" priority="85">
      <formula>AND($N98 &gt; 0, ISNUMBER($N98))</formula>
    </cfRule>
    <cfRule type="expression" dxfId="1735" priority="86">
      <formula>AND($N98 = 0 * ISNUMBER($N98))</formula>
    </cfRule>
    <cfRule type="expression" dxfId="1734" priority="87">
      <formula>AND($N98 &lt; 0, ISNUMBER($N98))</formula>
    </cfRule>
  </conditionalFormatting>
  <conditionalFormatting sqref="A98:F117">
    <cfRule type="expression" dxfId="1733" priority="94">
      <formula>AND($E98 &gt; 0, ISNUMBER($E98))</formula>
    </cfRule>
    <cfRule type="expression" dxfId="1732" priority="95">
      <formula>AND($E98 = 0 * ISNUMBER($E98))</formula>
    </cfRule>
    <cfRule type="expression" dxfId="1731" priority="96">
      <formula>AND($E98 &lt; 0, ISNUMBER($E98))</formula>
    </cfRule>
  </conditionalFormatting>
  <conditionalFormatting sqref="A98:C117 G98:I117">
    <cfRule type="expression" dxfId="1730" priority="91">
      <formula>AND($H98 &gt; 0, ISNUMBER($H98))</formula>
    </cfRule>
    <cfRule type="expression" dxfId="1729" priority="92">
      <formula>AND($H98 = 0 * ISNUMBER($H98))</formula>
    </cfRule>
    <cfRule type="expression" dxfId="1728" priority="93">
      <formula>AND($H98 &lt; 0, ISNUMBER($H98))</formula>
    </cfRule>
  </conditionalFormatting>
  <conditionalFormatting sqref="A98:C117 J98:L117">
    <cfRule type="expression" dxfId="1727" priority="88">
      <formula>AND($K98 &gt; 0, ISNUMBER($K98))</formula>
    </cfRule>
    <cfRule type="expression" dxfId="1726" priority="89">
      <formula>AND($K98 = 0 * ISNUMBER($K98))</formula>
    </cfRule>
    <cfRule type="expression" dxfId="1725" priority="90">
      <formula>AND($K98 &lt; 0, ISNUMBER($K98))</formula>
    </cfRule>
  </conditionalFormatting>
  <conditionalFormatting sqref="D96:F97 E118:F118">
    <cfRule type="expression" dxfId="1724" priority="82">
      <formula>$E$118 &gt; 0</formula>
    </cfRule>
    <cfRule type="expression" dxfId="1723" priority="83">
      <formula>$E$118 = 0</formula>
    </cfRule>
    <cfRule type="expression" dxfId="1722" priority="84">
      <formula>$E$118 &lt; 0</formula>
    </cfRule>
  </conditionalFormatting>
  <conditionalFormatting sqref="G96:I97 H118:I118">
    <cfRule type="expression" dxfId="1721" priority="79">
      <formula>$H$118 &gt; 0</formula>
    </cfRule>
    <cfRule type="expression" dxfId="1720" priority="80">
      <formula>$H$118 = 0</formula>
    </cfRule>
    <cfRule type="expression" dxfId="1719" priority="81">
      <formula>$H$118 &lt; 0</formula>
    </cfRule>
  </conditionalFormatting>
  <conditionalFormatting sqref="J96:L97 K118:L118">
    <cfRule type="expression" dxfId="1718" priority="76">
      <formula>$K$118 &gt; 0</formula>
    </cfRule>
    <cfRule type="expression" dxfId="1717" priority="77">
      <formula>$K$118 = 0</formula>
    </cfRule>
    <cfRule type="expression" dxfId="1716" priority="78">
      <formula>$K$118 &lt; 0</formula>
    </cfRule>
  </conditionalFormatting>
  <conditionalFormatting sqref="M96:O97 N118:O118">
    <cfRule type="expression" dxfId="1715" priority="73">
      <formula>$N$118 &gt; 0</formula>
    </cfRule>
    <cfRule type="expression" dxfId="1714" priority="74">
      <formula>$N$118 = 0</formula>
    </cfRule>
    <cfRule type="expression" dxfId="1713" priority="75">
      <formula>$N$118 &lt; 0</formula>
    </cfRule>
  </conditionalFormatting>
  <conditionalFormatting sqref="A125:C144 M125:O144">
    <cfRule type="expression" dxfId="1712" priority="61">
      <formula>AND($N125 &gt; 0, ISNUMBER($N125))</formula>
    </cfRule>
    <cfRule type="expression" dxfId="1711" priority="62">
      <formula>AND($N125 = 0 * ISNUMBER($N125))</formula>
    </cfRule>
    <cfRule type="expression" dxfId="1710" priority="63">
      <formula>AND($N125 &lt; 0, ISNUMBER($N125))</formula>
    </cfRule>
  </conditionalFormatting>
  <conditionalFormatting sqref="A125:F144">
    <cfRule type="expression" dxfId="1709" priority="70">
      <formula>AND($E125 &gt; 0, ISNUMBER($E125))</formula>
    </cfRule>
    <cfRule type="expression" dxfId="1708" priority="71">
      <formula>AND($E125 = 0 * ISNUMBER($E125))</formula>
    </cfRule>
    <cfRule type="expression" dxfId="1707" priority="72">
      <formula>AND($E125 &lt; 0, ISNUMBER($E125))</formula>
    </cfRule>
  </conditionalFormatting>
  <conditionalFormatting sqref="A125:C144 G125:I144">
    <cfRule type="expression" dxfId="1706" priority="67">
      <formula>AND($H125 &gt; 0, ISNUMBER($H125))</formula>
    </cfRule>
    <cfRule type="expression" dxfId="1705" priority="68">
      <formula>AND($H125 = 0 * ISNUMBER($H125))</formula>
    </cfRule>
    <cfRule type="expression" dxfId="1704" priority="69">
      <formula>AND($H125 &lt; 0, ISNUMBER($H125))</formula>
    </cfRule>
  </conditionalFormatting>
  <conditionalFormatting sqref="A125:C144 J125:L144">
    <cfRule type="expression" dxfId="1703" priority="64">
      <formula>AND($K125 &gt; 0, ISNUMBER($K125))</formula>
    </cfRule>
    <cfRule type="expression" dxfId="1702" priority="65">
      <formula>AND($K125 = 0 * ISNUMBER($K125))</formula>
    </cfRule>
    <cfRule type="expression" dxfId="1701" priority="66">
      <formula>AND($K125 &lt; 0, ISNUMBER($K125))</formula>
    </cfRule>
  </conditionalFormatting>
  <conditionalFormatting sqref="D123:F124 E145:F145">
    <cfRule type="expression" dxfId="1700" priority="58">
      <formula>$E$145 &gt; 0</formula>
    </cfRule>
    <cfRule type="expression" dxfId="1699" priority="59">
      <formula>$E$145 = 0</formula>
    </cfRule>
    <cfRule type="expression" dxfId="1698" priority="60">
      <formula>$E$145 &lt; 0</formula>
    </cfRule>
  </conditionalFormatting>
  <conditionalFormatting sqref="G123:I124 H145:I145">
    <cfRule type="expression" dxfId="1697" priority="55">
      <formula>$H$145 &gt; 0</formula>
    </cfRule>
    <cfRule type="expression" dxfId="1696" priority="56">
      <formula>$H$145 = 0</formula>
    </cfRule>
    <cfRule type="expression" dxfId="1695" priority="57">
      <formula>$H$145 &lt; 0</formula>
    </cfRule>
  </conditionalFormatting>
  <conditionalFormatting sqref="J123:L124 K145:L145">
    <cfRule type="expression" dxfId="1694" priority="52">
      <formula>$K$145 &gt; 0</formula>
    </cfRule>
    <cfRule type="expression" dxfId="1693" priority="53">
      <formula>$K$145 = 0</formula>
    </cfRule>
    <cfRule type="expression" dxfId="1692" priority="54">
      <formula>$K$145 &lt; 0</formula>
    </cfRule>
  </conditionalFormatting>
  <conditionalFormatting sqref="M123:O124 N145:O145">
    <cfRule type="expression" dxfId="1691" priority="49">
      <formula>$N$145 &gt; 0</formula>
    </cfRule>
    <cfRule type="expression" dxfId="1690" priority="50">
      <formula>$N$145 = 0</formula>
    </cfRule>
    <cfRule type="expression" dxfId="1689" priority="51">
      <formula>$N$145 &lt; 0</formula>
    </cfRule>
  </conditionalFormatting>
  <conditionalFormatting sqref="A152:C171 M152:O171">
    <cfRule type="expression" dxfId="1688" priority="37">
      <formula>AND($N152 &gt; 0, ISNUMBER($N152))</formula>
    </cfRule>
    <cfRule type="expression" dxfId="1687" priority="38">
      <formula>AND($N152 = 0 * ISNUMBER($N152))</formula>
    </cfRule>
    <cfRule type="expression" dxfId="1686" priority="39">
      <formula>AND($N152 &lt; 0, ISNUMBER($N152))</formula>
    </cfRule>
  </conditionalFormatting>
  <conditionalFormatting sqref="A152:F171">
    <cfRule type="expression" dxfId="1685" priority="46">
      <formula>AND($E152 &gt; 0, ISNUMBER($E152))</formula>
    </cfRule>
    <cfRule type="expression" dxfId="1684" priority="47">
      <formula>AND($E152 = 0 * ISNUMBER($E152))</formula>
    </cfRule>
    <cfRule type="expression" dxfId="1683" priority="48">
      <formula>AND($E152 &lt; 0, ISNUMBER($E152))</formula>
    </cfRule>
  </conditionalFormatting>
  <conditionalFormatting sqref="A152:C171 G152:I171">
    <cfRule type="expression" dxfId="1682" priority="43">
      <formula>AND($H152 &gt; 0, ISNUMBER($H152))</formula>
    </cfRule>
    <cfRule type="expression" dxfId="1681" priority="44">
      <formula>AND($H152 = 0 * ISNUMBER($H152))</formula>
    </cfRule>
    <cfRule type="expression" dxfId="1680" priority="45">
      <formula>AND($H152 &lt; 0, ISNUMBER($H152))</formula>
    </cfRule>
  </conditionalFormatting>
  <conditionalFormatting sqref="A152:C171 J152:L171">
    <cfRule type="expression" dxfId="1679" priority="40">
      <formula>AND($K152 &gt; 0, ISNUMBER($K152))</formula>
    </cfRule>
    <cfRule type="expression" dxfId="1678" priority="41">
      <formula>AND($K152 = 0 * ISNUMBER($K152))</formula>
    </cfRule>
    <cfRule type="expression" dxfId="1677" priority="42">
      <formula>AND($K152 &lt; 0, ISNUMBER($K152))</formula>
    </cfRule>
  </conditionalFormatting>
  <conditionalFormatting sqref="D150:F151 E172:F172">
    <cfRule type="expression" dxfId="1676" priority="34">
      <formula>$E$172 &gt; 0</formula>
    </cfRule>
    <cfRule type="expression" dxfId="1675" priority="35">
      <formula>$E$172 = 0</formula>
    </cfRule>
    <cfRule type="expression" dxfId="1674" priority="36">
      <formula>$E$172 &lt; 0</formula>
    </cfRule>
  </conditionalFormatting>
  <conditionalFormatting sqref="G150:I151 H172:I172">
    <cfRule type="expression" dxfId="1673" priority="31">
      <formula>$H$172 &gt; 0</formula>
    </cfRule>
    <cfRule type="expression" dxfId="1672" priority="32">
      <formula>$H$172 = 0</formula>
    </cfRule>
    <cfRule type="expression" dxfId="1671" priority="33">
      <formula>$H$172 &lt; 0</formula>
    </cfRule>
  </conditionalFormatting>
  <conditionalFormatting sqref="J150:L151 K172:L172">
    <cfRule type="expression" dxfId="1670" priority="28">
      <formula>$K$172 &gt; 0</formula>
    </cfRule>
    <cfRule type="expression" dxfId="1669" priority="29">
      <formula>$K$172 = 0</formula>
    </cfRule>
    <cfRule type="expression" dxfId="1668" priority="30">
      <formula>$K$172 &lt; 0</formula>
    </cfRule>
  </conditionalFormatting>
  <conditionalFormatting sqref="M150:O151 N172:O172">
    <cfRule type="expression" dxfId="1667" priority="25">
      <formula>$N$172 &gt; 0</formula>
    </cfRule>
    <cfRule type="expression" dxfId="1666" priority="26">
      <formula>$N$172 = 0</formula>
    </cfRule>
    <cfRule type="expression" dxfId="1665" priority="27">
      <formula>$N$172 &lt; 0</formula>
    </cfRule>
  </conditionalFormatting>
  <conditionalFormatting sqref="A179:C198 M179:O198">
    <cfRule type="expression" dxfId="1664" priority="13">
      <formula>AND($N179 &gt; 0, ISNUMBER($N179))</formula>
    </cfRule>
    <cfRule type="expression" dxfId="1663" priority="14">
      <formula>AND($N179 = 0 * ISNUMBER($N179))</formula>
    </cfRule>
    <cfRule type="expression" dxfId="1662" priority="15">
      <formula>AND($N179 &lt; 0, ISNUMBER($N179))</formula>
    </cfRule>
  </conditionalFormatting>
  <conditionalFormatting sqref="A179:F198">
    <cfRule type="expression" dxfId="1661" priority="22">
      <formula>AND($E179 &gt; 0, ISNUMBER($E179))</formula>
    </cfRule>
    <cfRule type="expression" dxfId="1660" priority="23">
      <formula>AND($E179 = 0 * ISNUMBER($E179))</formula>
    </cfRule>
    <cfRule type="expression" dxfId="1659" priority="24">
      <formula>AND($E179 &lt; 0, ISNUMBER($E179))</formula>
    </cfRule>
  </conditionalFormatting>
  <conditionalFormatting sqref="A179:C198 G179:I198">
    <cfRule type="expression" dxfId="1658" priority="19">
      <formula>AND($H179 &gt; 0, ISNUMBER($H179))</formula>
    </cfRule>
    <cfRule type="expression" dxfId="1657" priority="20">
      <formula>AND($H179 = 0 * ISNUMBER($H179))</formula>
    </cfRule>
    <cfRule type="expression" dxfId="1656" priority="21">
      <formula>AND($H179 &lt; 0, ISNUMBER($H179))</formula>
    </cfRule>
  </conditionalFormatting>
  <conditionalFormatting sqref="A179:C198 J179:L198">
    <cfRule type="expression" dxfId="1655" priority="16">
      <formula>AND($K179 &gt; 0, ISNUMBER($K179))</formula>
    </cfRule>
    <cfRule type="expression" dxfId="1654" priority="17">
      <formula>AND($K179 = 0 * ISNUMBER($K179))</formula>
    </cfRule>
    <cfRule type="expression" dxfId="1653" priority="18">
      <formula>AND($K179 &lt; 0, ISNUMBER($K179))</formula>
    </cfRule>
  </conditionalFormatting>
  <conditionalFormatting sqref="D177:F178 E199:F199">
    <cfRule type="expression" dxfId="1652" priority="10">
      <formula>$E$199 &gt; 0</formula>
    </cfRule>
    <cfRule type="expression" dxfId="1651" priority="11">
      <formula>$E$199 = 0</formula>
    </cfRule>
    <cfRule type="expression" dxfId="1650" priority="12">
      <formula>$E$199 &lt; 0</formula>
    </cfRule>
  </conditionalFormatting>
  <conditionalFormatting sqref="G177:I178 H199:I199">
    <cfRule type="expression" dxfId="1649" priority="7">
      <formula>$H$199 &gt; 0</formula>
    </cfRule>
    <cfRule type="expression" dxfId="1648" priority="8">
      <formula>$H$199 = 0</formula>
    </cfRule>
    <cfRule type="expression" dxfId="1647" priority="9">
      <formula>$H$199 &lt; 0</formula>
    </cfRule>
  </conditionalFormatting>
  <conditionalFormatting sqref="J177:L178 K199:L199">
    <cfRule type="expression" dxfId="1646" priority="4">
      <formula>$K$199 &gt; 0</formula>
    </cfRule>
    <cfRule type="expression" dxfId="1645" priority="5">
      <formula>$K$199 = 0</formula>
    </cfRule>
    <cfRule type="expression" dxfId="1644" priority="6">
      <formula>$K$199 &lt; 0</formula>
    </cfRule>
  </conditionalFormatting>
  <conditionalFormatting sqref="M177:O178 N199:O199">
    <cfRule type="expression" dxfId="1643" priority="1">
      <formula>$N$199 &gt; 0</formula>
    </cfRule>
    <cfRule type="expression" dxfId="1642" priority="2">
      <formula>$N$199 = 0</formula>
    </cfRule>
    <cfRule type="expression" dxfId="164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18">
        <v>44414</v>
      </c>
      <c r="H1" s="219"/>
      <c r="I1" s="220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24" t="s">
        <v>46</v>
      </c>
      <c r="H2" s="225"/>
      <c r="I2" s="226"/>
      <c r="J2" s="1" t="s">
        <v>3</v>
      </c>
      <c r="K2" s="221" t="s">
        <v>320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27" t="s">
        <v>328</v>
      </c>
      <c r="C3" s="228"/>
      <c r="D3" s="228"/>
      <c r="E3" s="228"/>
      <c r="F3" s="229"/>
      <c r="G3" s="23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31"/>
      <c r="I3" s="232"/>
      <c r="J3" s="4" t="s">
        <v>7</v>
      </c>
      <c r="K3" s="227" t="s">
        <v>321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7" t="s">
        <v>16</v>
      </c>
      <c r="C4" s="228"/>
      <c r="D4" s="228"/>
      <c r="E4" s="228"/>
      <c r="F4" s="229"/>
      <c r="G4" s="224" t="s">
        <v>44</v>
      </c>
      <c r="H4" s="225"/>
      <c r="I4" s="226"/>
      <c r="J4" s="4" t="s">
        <v>11</v>
      </c>
      <c r="K4" s="227" t="s">
        <v>322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7" t="s">
        <v>319</v>
      </c>
      <c r="C5" s="228"/>
      <c r="D5" s="228"/>
      <c r="E5" s="228"/>
      <c r="F5" s="229"/>
      <c r="G5" s="23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31"/>
      <c r="I5" s="232"/>
      <c r="J5" s="4" t="s">
        <v>15</v>
      </c>
      <c r="K5" s="227" t="s">
        <v>323</v>
      </c>
      <c r="L5" s="228"/>
      <c r="M5" s="228"/>
      <c r="N5" s="228"/>
      <c r="O5" s="229"/>
    </row>
    <row r="6" spans="1:19">
      <c r="A6" s="118" t="s">
        <v>18</v>
      </c>
      <c r="B6" s="227"/>
      <c r="C6" s="228"/>
      <c r="D6" s="228"/>
      <c r="E6" s="228"/>
      <c r="F6" s="229"/>
      <c r="G6" s="224" t="s">
        <v>45</v>
      </c>
      <c r="H6" s="225"/>
      <c r="I6" s="226"/>
      <c r="J6" s="4" t="s">
        <v>18</v>
      </c>
      <c r="K6" s="227" t="s">
        <v>324</v>
      </c>
      <c r="L6" s="228"/>
      <c r="M6" s="228"/>
      <c r="N6" s="228"/>
      <c r="O6" s="229"/>
    </row>
    <row r="7" spans="1:19" ht="17.25" thickBot="1">
      <c r="A7" s="118" t="s">
        <v>21</v>
      </c>
      <c r="B7" s="227"/>
      <c r="C7" s="228"/>
      <c r="D7" s="228"/>
      <c r="E7" s="228"/>
      <c r="F7" s="229"/>
      <c r="G7" s="23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31"/>
      <c r="I7" s="232"/>
      <c r="J7" s="4" t="s">
        <v>21</v>
      </c>
      <c r="K7" s="227" t="s">
        <v>325</v>
      </c>
      <c r="L7" s="228"/>
      <c r="M7" s="228"/>
      <c r="N7" s="228"/>
      <c r="O7" s="229"/>
    </row>
    <row r="8" spans="1:19" ht="17.25" thickBot="1">
      <c r="A8" s="118" t="s">
        <v>24</v>
      </c>
      <c r="B8" s="227"/>
      <c r="C8" s="228"/>
      <c r="D8" s="228"/>
      <c r="E8" s="228"/>
      <c r="F8" s="229"/>
      <c r="G8" s="224" t="s">
        <v>255</v>
      </c>
      <c r="H8" s="225"/>
      <c r="I8" s="226"/>
      <c r="J8" s="4" t="s">
        <v>24</v>
      </c>
      <c r="K8" s="227"/>
      <c r="L8" s="228"/>
      <c r="M8" s="228"/>
      <c r="N8" s="228"/>
      <c r="O8" s="229"/>
      <c r="Q8" s="215" t="s">
        <v>27</v>
      </c>
      <c r="R8" s="217"/>
    </row>
    <row r="9" spans="1:19" ht="17.25" thickBot="1">
      <c r="A9" s="118" t="s">
        <v>28</v>
      </c>
      <c r="B9" s="227"/>
      <c r="C9" s="228"/>
      <c r="D9" s="228"/>
      <c r="E9" s="228"/>
      <c r="F9" s="229"/>
      <c r="G9" s="23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31"/>
      <c r="I9" s="232"/>
      <c r="J9" s="4" t="s">
        <v>28</v>
      </c>
      <c r="K9" s="227"/>
      <c r="L9" s="228"/>
      <c r="M9" s="228"/>
      <c r="N9" s="228"/>
      <c r="O9" s="229"/>
      <c r="Q9" s="2" t="s">
        <v>29</v>
      </c>
      <c r="R9" s="6">
        <v>10</v>
      </c>
    </row>
    <row r="10" spans="1:19">
      <c r="A10" s="118" t="s">
        <v>30</v>
      </c>
      <c r="B10" s="227"/>
      <c r="C10" s="228"/>
      <c r="D10" s="228"/>
      <c r="E10" s="228"/>
      <c r="F10" s="229"/>
      <c r="G10" s="224" t="s">
        <v>47</v>
      </c>
      <c r="H10" s="225"/>
      <c r="I10" s="226"/>
      <c r="J10" s="4" t="s">
        <v>30</v>
      </c>
      <c r="K10" s="227" t="s">
        <v>326</v>
      </c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1"/>
      <c r="I11" s="232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36"/>
      <c r="R13" s="236"/>
      <c r="S13" s="236"/>
    </row>
    <row r="14" spans="1:19" ht="17.25" customHeight="1" thickBot="1">
      <c r="A14" s="177" t="s">
        <v>35</v>
      </c>
      <c r="B14" s="215" t="s">
        <v>36</v>
      </c>
      <c r="C14" s="217"/>
      <c r="D14" s="215" t="s">
        <v>37</v>
      </c>
      <c r="E14" s="216"/>
      <c r="F14" s="217"/>
      <c r="G14" s="242">
        <f>_xlfn.IFNA(VLOOKUP(B14, 현재가테이블!$B$2:$D$200, 2, FALSE), "-")</f>
        <v>53976000</v>
      </c>
      <c r="H14" s="243"/>
      <c r="I14" s="244"/>
      <c r="J14" s="215" t="s">
        <v>38</v>
      </c>
      <c r="K14" s="216"/>
      <c r="L14" s="217"/>
      <c r="M14" s="245">
        <f>_xlfn.IFNA(VLOOKUP(B14, 현재가테이블!$B$2:$D$200, 3, FALSE), "-")</f>
        <v>-2.1216407400000001E-2</v>
      </c>
      <c r="N14" s="246"/>
      <c r="O14" s="247"/>
      <c r="Q14" s="236"/>
      <c r="R14" s="236"/>
      <c r="S14" s="236"/>
    </row>
    <row r="15" spans="1:19" ht="17.25" customHeight="1" thickBot="1">
      <c r="A15" s="280" t="s">
        <v>39</v>
      </c>
      <c r="B15" s="281" t="str">
        <f>TEXT($G$1, "[$-ko-KR]yyyy-mm-dd(ddd) ") &amp; "오전 00:00"</f>
        <v>2021-08-06(금) 오전 00:00</v>
      </c>
      <c r="C15" s="282"/>
      <c r="D15" s="238" t="str">
        <f>TEXT($G$1, "[$-ko-KR]yyyy-mm-dd(ddd) ") &amp; "오후 14:00"</f>
        <v>2021-08-06(금) 오후 14:00</v>
      </c>
      <c r="E15" s="239"/>
      <c r="F15" s="240"/>
      <c r="G15" s="238" t="str">
        <f>TEXT($G$1, "[$-ko-KR]yyyy-mm-dd(ddd) ") &amp; "오후 19:00"</f>
        <v>2021-08-06(금) 오후 19:00</v>
      </c>
      <c r="H15" s="239"/>
      <c r="I15" s="240"/>
      <c r="J15" s="238" t="str">
        <f>TEXT($G$1, "[$-ko-KR]yyyy-mm-dd(ddd) ") &amp; "오후 21:00"</f>
        <v>2021-08-06(금) 오후 21:00</v>
      </c>
      <c r="K15" s="239"/>
      <c r="L15" s="240"/>
      <c r="M15" s="238" t="str">
        <f>TEXT($G$1+1, "[$-ko-KR]yyyy-mm-dd(ddd) ") &amp; "오전 00:00"</f>
        <v>2021-08-07(토) 오전 00:00</v>
      </c>
      <c r="N15" s="239"/>
      <c r="O15" s="240"/>
      <c r="Q15" s="236"/>
      <c r="R15" s="236"/>
      <c r="S15" s="236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1"/>
      <c r="R16" s="241"/>
      <c r="S16" s="24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6"/>
      <c r="R17" s="236"/>
      <c r="S17" s="23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6"/>
      <c r="R18" s="236"/>
      <c r="S18" s="23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1"/>
      <c r="R19" s="241"/>
      <c r="S19" s="24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1"/>
      <c r="R20" s="241"/>
      <c r="S20" s="24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1"/>
      <c r="R21" s="241"/>
      <c r="S21" s="24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1"/>
      <c r="R22" s="241"/>
      <c r="S22" s="24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1"/>
      <c r="R23" s="241"/>
      <c r="S23" s="24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1"/>
      <c r="R24" s="241"/>
      <c r="S24" s="24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0"/>
      <c r="R26" s="251"/>
      <c r="S26" s="25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3"/>
      <c r="R27" s="254"/>
      <c r="S27" s="25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6"/>
      <c r="R28" s="257"/>
      <c r="S28" s="25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1"/>
      <c r="R29" s="241"/>
      <c r="S29" s="24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6"/>
      <c r="R30" s="236"/>
      <c r="S30" s="23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6"/>
      <c r="R31" s="236"/>
      <c r="S31" s="23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1"/>
      <c r="R32" s="241"/>
      <c r="S32" s="24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1"/>
      <c r="R33" s="241"/>
      <c r="S33" s="24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1"/>
      <c r="R34" s="241"/>
      <c r="S34" s="24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3"/>
      <c r="R35" s="264"/>
      <c r="S35" s="26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6"/>
      <c r="R36" s="267"/>
      <c r="S36" s="268"/>
    </row>
    <row r="37" spans="1:19" ht="17.25" customHeight="1" thickBot="1">
      <c r="A37" s="132" t="s">
        <v>42</v>
      </c>
      <c r="B37" s="274">
        <v>100000</v>
      </c>
      <c r="C37" s="27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9"/>
      <c r="R37" s="270"/>
      <c r="S37" s="27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36"/>
      <c r="R40" s="236"/>
      <c r="S40" s="236"/>
    </row>
    <row r="41" spans="1:19" ht="17.25" customHeight="1" thickBot="1">
      <c r="A41" s="177" t="s">
        <v>267</v>
      </c>
      <c r="B41" s="215" t="s">
        <v>49</v>
      </c>
      <c r="C41" s="217"/>
      <c r="D41" s="215" t="s">
        <v>58</v>
      </c>
      <c r="E41" s="216"/>
      <c r="F41" s="217"/>
      <c r="G41" s="242">
        <f>_xlfn.IFNA(VLOOKUP(B41, 현재가테이블!$B$2:$D$200, 2, FALSE), "-")</f>
        <v>53976000</v>
      </c>
      <c r="H41" s="243"/>
      <c r="I41" s="244"/>
      <c r="J41" s="215" t="s">
        <v>59</v>
      </c>
      <c r="K41" s="216"/>
      <c r="L41" s="217"/>
      <c r="M41" s="245">
        <f>_xlfn.IFNA(VLOOKUP(B41, 현재가테이블!$B$2:$D$200, 3, FALSE), "-")</f>
        <v>-2.1216407400000001E-2</v>
      </c>
      <c r="N41" s="246"/>
      <c r="O41" s="247"/>
      <c r="Q41" s="236"/>
      <c r="R41" s="236"/>
      <c r="S41" s="236"/>
    </row>
    <row r="42" spans="1:19" ht="17.25" customHeight="1" thickBot="1">
      <c r="A42" s="276" t="s">
        <v>55</v>
      </c>
      <c r="B42" s="278" t="str">
        <f>TEXT($G$1, "[$-ko-KR]yyyy-mm-dd(ddd) ") &amp; "오전 00:00"</f>
        <v>2021-08-06(금) 오전 00:00</v>
      </c>
      <c r="C42" s="279"/>
      <c r="D42" s="238" t="str">
        <f>TEXT($G$1, "[$-ko-KR]yyyy-mm-dd(ddd) ") &amp; "오후 14:00"</f>
        <v>2021-08-06(금) 오후 14:00</v>
      </c>
      <c r="E42" s="239"/>
      <c r="F42" s="240"/>
      <c r="G42" s="238" t="str">
        <f>TEXT($G$1, "[$-ko-KR]yyyy-mm-dd(ddd) ") &amp; "오후 19:00"</f>
        <v>2021-08-06(금) 오후 19:00</v>
      </c>
      <c r="H42" s="239"/>
      <c r="I42" s="240"/>
      <c r="J42" s="238" t="str">
        <f>TEXT($G$1, "[$-ko-KR]yyyy-mm-dd(ddd) ") &amp; "오후 21:00"</f>
        <v>2021-08-06(금) 오후 21:00</v>
      </c>
      <c r="K42" s="239"/>
      <c r="L42" s="240"/>
      <c r="M42" s="238" t="str">
        <f>TEXT($G$1+1, "[$-ko-KR]yyyy-mm-dd(ddd) ") &amp; "오전 00:00"</f>
        <v>2021-08-07(토) 오전 00:00</v>
      </c>
      <c r="N42" s="239"/>
      <c r="O42" s="240"/>
      <c r="Q42" s="236"/>
      <c r="R42" s="236"/>
      <c r="S42" s="236"/>
    </row>
    <row r="43" spans="1:19" ht="17.25" customHeight="1" thickBot="1">
      <c r="A43" s="27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1"/>
      <c r="R43" s="241"/>
      <c r="S43" s="241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36"/>
      <c r="R44" s="236"/>
      <c r="S44" s="236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36"/>
      <c r="R45" s="236"/>
      <c r="S45" s="236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41"/>
      <c r="R46" s="241"/>
      <c r="S46" s="241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41"/>
      <c r="R47" s="241"/>
      <c r="S47" s="241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41"/>
      <c r="R48" s="241"/>
      <c r="S48" s="241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41"/>
      <c r="R49" s="241"/>
      <c r="S49" s="241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41"/>
      <c r="R50" s="241"/>
      <c r="S50" s="241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41"/>
      <c r="R51" s="241"/>
      <c r="S51" s="241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50"/>
      <c r="R53" s="251"/>
      <c r="S53" s="252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53"/>
      <c r="R54" s="254"/>
      <c r="S54" s="255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56"/>
      <c r="R55" s="257"/>
      <c r="S55" s="258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41"/>
      <c r="R56" s="241"/>
      <c r="S56" s="241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36"/>
      <c r="R57" s="236"/>
      <c r="S57" s="236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36"/>
      <c r="R58" s="236"/>
      <c r="S58" s="236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41"/>
      <c r="R59" s="241"/>
      <c r="S59" s="241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41"/>
      <c r="R60" s="241"/>
      <c r="S60" s="241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41"/>
      <c r="R61" s="241"/>
      <c r="S61" s="241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263"/>
      <c r="R62" s="264"/>
      <c r="S62" s="265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266"/>
      <c r="R63" s="267"/>
      <c r="S63" s="268"/>
    </row>
    <row r="64" spans="1:19" ht="17.25" customHeight="1" thickBot="1">
      <c r="A64" s="132" t="s">
        <v>270</v>
      </c>
      <c r="B64" s="274">
        <f>$B$37</f>
        <v>100000</v>
      </c>
      <c r="C64" s="275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269"/>
      <c r="R64" s="270"/>
      <c r="S64" s="27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36"/>
      <c r="R67" s="236"/>
      <c r="S67" s="236"/>
    </row>
    <row r="68" spans="1:19" ht="17.25" thickBot="1">
      <c r="A68" s="177" t="s">
        <v>267</v>
      </c>
      <c r="B68" s="215" t="s">
        <v>49</v>
      </c>
      <c r="C68" s="217"/>
      <c r="D68" s="215" t="s">
        <v>58</v>
      </c>
      <c r="E68" s="216"/>
      <c r="F68" s="217"/>
      <c r="G68" s="242">
        <f>_xlfn.IFNA(VLOOKUP(B68, 현재가테이블!$B$2:$D$200, 2, FALSE), "-")</f>
        <v>53976000</v>
      </c>
      <c r="H68" s="243"/>
      <c r="I68" s="244"/>
      <c r="J68" s="215" t="s">
        <v>59</v>
      </c>
      <c r="K68" s="216"/>
      <c r="L68" s="217"/>
      <c r="M68" s="245">
        <f>_xlfn.IFNA(VLOOKUP(B68, 현재가테이블!$B$2:$D$200, 3, FALSE), "-")</f>
        <v>-2.1216407400000001E-2</v>
      </c>
      <c r="N68" s="246"/>
      <c r="O68" s="247"/>
      <c r="Q68" s="236"/>
      <c r="R68" s="236"/>
      <c r="S68" s="236"/>
    </row>
    <row r="69" spans="1:19" ht="17.25" thickBot="1">
      <c r="A69" s="276" t="s">
        <v>55</v>
      </c>
      <c r="B69" s="278" t="str">
        <f>TEXT($G$1, "[$-ko-KR]yyyy-mm-dd(ddd) ") &amp; "오전 00:00"</f>
        <v>2021-08-06(금) 오전 00:00</v>
      </c>
      <c r="C69" s="279"/>
      <c r="D69" s="238" t="str">
        <f>TEXT($G$1, "[$-ko-KR]yyyy-mm-dd(ddd) ") &amp; "오후 14:00"</f>
        <v>2021-08-06(금) 오후 14:00</v>
      </c>
      <c r="E69" s="239"/>
      <c r="F69" s="240"/>
      <c r="G69" s="238" t="str">
        <f>TEXT($G$1, "[$-ko-KR]yyyy-mm-dd(ddd) ") &amp; "오후 19:00"</f>
        <v>2021-08-06(금) 오후 19:00</v>
      </c>
      <c r="H69" s="239"/>
      <c r="I69" s="240"/>
      <c r="J69" s="238" t="str">
        <f>TEXT($G$1, "[$-ko-KR]yyyy-mm-dd(ddd) ") &amp; "오후 21:00"</f>
        <v>2021-08-06(금) 오후 21:00</v>
      </c>
      <c r="K69" s="239"/>
      <c r="L69" s="240"/>
      <c r="M69" s="238" t="str">
        <f>TEXT($G$1+1, "[$-ko-KR]yyyy-mm-dd(ddd) ") &amp; "오전 00:00"</f>
        <v>2021-08-07(토) 오전 00:00</v>
      </c>
      <c r="N69" s="239"/>
      <c r="O69" s="240"/>
      <c r="Q69" s="236"/>
      <c r="R69" s="236"/>
      <c r="S69" s="236"/>
    </row>
    <row r="70" spans="1:19" ht="17.25" thickBot="1">
      <c r="A70" s="27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1"/>
      <c r="R70" s="241"/>
      <c r="S70" s="241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36"/>
      <c r="R71" s="236"/>
      <c r="S71" s="236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36"/>
      <c r="R72" s="236"/>
      <c r="S72" s="236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41"/>
      <c r="R73" s="241"/>
      <c r="S73" s="241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41"/>
      <c r="R74" s="241"/>
      <c r="S74" s="241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41"/>
      <c r="R75" s="241"/>
      <c r="S75" s="241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41"/>
      <c r="R76" s="241"/>
      <c r="S76" s="241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41"/>
      <c r="R77" s="241"/>
      <c r="S77" s="241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41"/>
      <c r="R78" s="241"/>
      <c r="S78" s="241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50"/>
      <c r="R80" s="251"/>
      <c r="S80" s="252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53"/>
      <c r="R81" s="254"/>
      <c r="S81" s="255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56"/>
      <c r="R82" s="257"/>
      <c r="S82" s="258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41"/>
      <c r="R83" s="241"/>
      <c r="S83" s="241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36"/>
      <c r="R84" s="236"/>
      <c r="S84" s="236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36"/>
      <c r="R85" s="236"/>
      <c r="S85" s="236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41"/>
      <c r="R86" s="241"/>
      <c r="S86" s="241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41"/>
      <c r="R87" s="241"/>
      <c r="S87" s="241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41"/>
      <c r="R88" s="241"/>
      <c r="S88" s="241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263"/>
      <c r="R89" s="264"/>
      <c r="S89" s="265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266"/>
      <c r="R90" s="267"/>
      <c r="S90" s="268"/>
    </row>
    <row r="91" spans="1:19" ht="17.25" thickBot="1">
      <c r="A91" s="132" t="s">
        <v>270</v>
      </c>
      <c r="B91" s="274">
        <f>$B$37</f>
        <v>100000</v>
      </c>
      <c r="C91" s="275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269"/>
      <c r="R91" s="270"/>
      <c r="S91" s="27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36"/>
      <c r="R94" s="236"/>
      <c r="S94" s="236"/>
    </row>
    <row r="95" spans="1:19" ht="17.25" thickBot="1">
      <c r="A95" s="177" t="s">
        <v>267</v>
      </c>
      <c r="B95" s="215" t="s">
        <v>49</v>
      </c>
      <c r="C95" s="217"/>
      <c r="D95" s="215" t="s">
        <v>58</v>
      </c>
      <c r="E95" s="216"/>
      <c r="F95" s="217"/>
      <c r="G95" s="242">
        <f>_xlfn.IFNA(VLOOKUP(B95, 현재가테이블!$B$2:$D$200, 2, FALSE), "-")</f>
        <v>53976000</v>
      </c>
      <c r="H95" s="243"/>
      <c r="I95" s="244"/>
      <c r="J95" s="215" t="s">
        <v>59</v>
      </c>
      <c r="K95" s="216"/>
      <c r="L95" s="217"/>
      <c r="M95" s="245">
        <f>_xlfn.IFNA(VLOOKUP(B95, 현재가테이블!$B$2:$D$200, 3, FALSE), "-")</f>
        <v>-2.1216407400000001E-2</v>
      </c>
      <c r="N95" s="246"/>
      <c r="O95" s="247"/>
      <c r="Q95" s="236"/>
      <c r="R95" s="236"/>
      <c r="S95" s="236"/>
    </row>
    <row r="96" spans="1:19" ht="17.25" thickBot="1">
      <c r="A96" s="276" t="s">
        <v>55</v>
      </c>
      <c r="B96" s="278" t="str">
        <f>TEXT($G$1, "[$-ko-KR]yyyy-mm-dd(ddd) ") &amp; "오전 00:00"</f>
        <v>2021-08-06(금) 오전 00:00</v>
      </c>
      <c r="C96" s="279"/>
      <c r="D96" s="238" t="str">
        <f>TEXT($G$1, "[$-ko-KR]yyyy-mm-dd(ddd) ") &amp; "오후 14:00"</f>
        <v>2021-08-06(금) 오후 14:00</v>
      </c>
      <c r="E96" s="239"/>
      <c r="F96" s="240"/>
      <c r="G96" s="238" t="str">
        <f>TEXT($G$1, "[$-ko-KR]yyyy-mm-dd(ddd) ") &amp; "오후 19:00"</f>
        <v>2021-08-06(금) 오후 19:00</v>
      </c>
      <c r="H96" s="239"/>
      <c r="I96" s="240"/>
      <c r="J96" s="238" t="str">
        <f>TEXT($G$1, "[$-ko-KR]yyyy-mm-dd(ddd) ") &amp; "오후 21:00"</f>
        <v>2021-08-06(금) 오후 21:00</v>
      </c>
      <c r="K96" s="239"/>
      <c r="L96" s="240"/>
      <c r="M96" s="238" t="str">
        <f>TEXT($G$1+1, "[$-ko-KR]yyyy-mm-dd(ddd) ") &amp; "오전 00:00"</f>
        <v>2021-08-07(토) 오전 00:00</v>
      </c>
      <c r="N96" s="239"/>
      <c r="O96" s="240"/>
      <c r="Q96" s="236"/>
      <c r="R96" s="236"/>
      <c r="S96" s="236"/>
    </row>
    <row r="97" spans="1:19" ht="17.25" thickBot="1">
      <c r="A97" s="27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1"/>
      <c r="R97" s="241"/>
      <c r="S97" s="241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36"/>
      <c r="R98" s="236"/>
      <c r="S98" s="236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36"/>
      <c r="R99" s="236"/>
      <c r="S99" s="236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41"/>
      <c r="R100" s="241"/>
      <c r="S100" s="241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41"/>
      <c r="R101" s="241"/>
      <c r="S101" s="241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41"/>
      <c r="R102" s="241"/>
      <c r="S102" s="241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41"/>
      <c r="R103" s="241"/>
      <c r="S103" s="241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41"/>
      <c r="R104" s="241"/>
      <c r="S104" s="241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41"/>
      <c r="R105" s="241"/>
      <c r="S105" s="241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50"/>
      <c r="R107" s="251"/>
      <c r="S107" s="252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53"/>
      <c r="R108" s="254"/>
      <c r="S108" s="255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56"/>
      <c r="R109" s="257"/>
      <c r="S109" s="258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41"/>
      <c r="R110" s="241"/>
      <c r="S110" s="241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36"/>
      <c r="R111" s="236"/>
      <c r="S111" s="236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36"/>
      <c r="R112" s="236"/>
      <c r="S112" s="236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41"/>
      <c r="R113" s="241"/>
      <c r="S113" s="241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41"/>
      <c r="R114" s="241"/>
      <c r="S114" s="241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41"/>
      <c r="R115" s="241"/>
      <c r="S115" s="241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263"/>
      <c r="R116" s="264"/>
      <c r="S116" s="265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266"/>
      <c r="R117" s="267"/>
      <c r="S117" s="268"/>
    </row>
    <row r="118" spans="1:19" ht="17.25" thickBot="1">
      <c r="A118" s="132" t="s">
        <v>270</v>
      </c>
      <c r="B118" s="274">
        <f>$B$37</f>
        <v>100000</v>
      </c>
      <c r="C118" s="275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269"/>
      <c r="R118" s="270"/>
      <c r="S118" s="27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36"/>
      <c r="R121" s="236"/>
      <c r="S121" s="236"/>
    </row>
    <row r="122" spans="1:19" ht="17.25" thickBot="1">
      <c r="A122" s="177" t="s">
        <v>267</v>
      </c>
      <c r="B122" s="215" t="s">
        <v>49</v>
      </c>
      <c r="C122" s="217"/>
      <c r="D122" s="215" t="s">
        <v>58</v>
      </c>
      <c r="E122" s="216"/>
      <c r="F122" s="217"/>
      <c r="G122" s="242">
        <f>_xlfn.IFNA(VLOOKUP(B122, 현재가테이블!$B$2:$D$200, 2, FALSE), "-")</f>
        <v>53976000</v>
      </c>
      <c r="H122" s="243"/>
      <c r="I122" s="244"/>
      <c r="J122" s="215" t="s">
        <v>59</v>
      </c>
      <c r="K122" s="216"/>
      <c r="L122" s="217"/>
      <c r="M122" s="245">
        <f>_xlfn.IFNA(VLOOKUP(B122, 현재가테이블!$B$2:$D$200, 3, FALSE), "-")</f>
        <v>-2.1216407400000001E-2</v>
      </c>
      <c r="N122" s="246"/>
      <c r="O122" s="247"/>
      <c r="Q122" s="236"/>
      <c r="R122" s="236"/>
      <c r="S122" s="236"/>
    </row>
    <row r="123" spans="1:19" ht="17.25" thickBot="1">
      <c r="A123" s="276" t="s">
        <v>55</v>
      </c>
      <c r="B123" s="278" t="str">
        <f>TEXT($G$1, "[$-ko-KR]yyyy-mm-dd(ddd) ") &amp; "오전 00:00"</f>
        <v>2021-08-06(금) 오전 00:00</v>
      </c>
      <c r="C123" s="279"/>
      <c r="D123" s="238" t="str">
        <f>TEXT($G$1, "[$-ko-KR]yyyy-mm-dd(ddd) ") &amp; "오후 14:00"</f>
        <v>2021-08-06(금) 오후 14:00</v>
      </c>
      <c r="E123" s="239"/>
      <c r="F123" s="240"/>
      <c r="G123" s="238" t="str">
        <f>TEXT($G$1, "[$-ko-KR]yyyy-mm-dd(ddd) ") &amp; "오후 19:00"</f>
        <v>2021-08-06(금) 오후 19:00</v>
      </c>
      <c r="H123" s="239"/>
      <c r="I123" s="240"/>
      <c r="J123" s="238" t="str">
        <f>TEXT($G$1, "[$-ko-KR]yyyy-mm-dd(ddd) ") &amp; "오후 21:00"</f>
        <v>2021-08-06(금) 오후 21:00</v>
      </c>
      <c r="K123" s="239"/>
      <c r="L123" s="240"/>
      <c r="M123" s="238" t="str">
        <f>TEXT($G$1+1, "[$-ko-KR]yyyy-mm-dd(ddd) ") &amp; "오전 00:00"</f>
        <v>2021-08-07(토) 오전 00:00</v>
      </c>
      <c r="N123" s="239"/>
      <c r="O123" s="240"/>
      <c r="Q123" s="236"/>
      <c r="R123" s="236"/>
      <c r="S123" s="236"/>
    </row>
    <row r="124" spans="1:19" ht="17.25" thickBot="1">
      <c r="A124" s="27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1"/>
      <c r="R124" s="241"/>
      <c r="S124" s="241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36"/>
      <c r="R125" s="236"/>
      <c r="S125" s="236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36"/>
      <c r="R126" s="236"/>
      <c r="S126" s="236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41"/>
      <c r="R127" s="241"/>
      <c r="S127" s="241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41"/>
      <c r="R128" s="241"/>
      <c r="S128" s="241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41"/>
      <c r="R129" s="241"/>
      <c r="S129" s="241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41"/>
      <c r="R130" s="241"/>
      <c r="S130" s="241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41"/>
      <c r="R131" s="241"/>
      <c r="S131" s="241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41"/>
      <c r="R132" s="241"/>
      <c r="S132" s="241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50"/>
      <c r="R134" s="251"/>
      <c r="S134" s="252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53"/>
      <c r="R135" s="254"/>
      <c r="S135" s="255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56"/>
      <c r="R136" s="257"/>
      <c r="S136" s="258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41"/>
      <c r="R137" s="241"/>
      <c r="S137" s="241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36"/>
      <c r="R138" s="236"/>
      <c r="S138" s="236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36"/>
      <c r="R139" s="236"/>
      <c r="S139" s="236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41"/>
      <c r="R140" s="241"/>
      <c r="S140" s="241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41"/>
      <c r="R141" s="241"/>
      <c r="S141" s="241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41"/>
      <c r="R142" s="241"/>
      <c r="S142" s="241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263"/>
      <c r="R143" s="264"/>
      <c r="S143" s="265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266"/>
      <c r="R144" s="267"/>
      <c r="S144" s="268"/>
    </row>
    <row r="145" spans="1:19" ht="17.25" thickBot="1">
      <c r="A145" s="132" t="s">
        <v>270</v>
      </c>
      <c r="B145" s="274">
        <f>$B$37</f>
        <v>100000</v>
      </c>
      <c r="C145" s="275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269"/>
      <c r="R145" s="270"/>
      <c r="S145" s="27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36"/>
      <c r="R148" s="236"/>
      <c r="S148" s="236"/>
    </row>
    <row r="149" spans="1:19" ht="17.25" thickBot="1">
      <c r="A149" s="177" t="s">
        <v>267</v>
      </c>
      <c r="B149" s="215" t="s">
        <v>49</v>
      </c>
      <c r="C149" s="217"/>
      <c r="D149" s="215" t="s">
        <v>58</v>
      </c>
      <c r="E149" s="216"/>
      <c r="F149" s="217"/>
      <c r="G149" s="242">
        <f>_xlfn.IFNA(VLOOKUP(B149, 현재가테이블!$B$2:$D$200, 2, FALSE), "-")</f>
        <v>53976000</v>
      </c>
      <c r="H149" s="243"/>
      <c r="I149" s="244"/>
      <c r="J149" s="215" t="s">
        <v>59</v>
      </c>
      <c r="K149" s="216"/>
      <c r="L149" s="217"/>
      <c r="M149" s="245">
        <f>_xlfn.IFNA(VLOOKUP(B149, 현재가테이블!$B$2:$D$200, 3, FALSE), "-")</f>
        <v>-2.1216407400000001E-2</v>
      </c>
      <c r="N149" s="246"/>
      <c r="O149" s="247"/>
      <c r="Q149" s="236"/>
      <c r="R149" s="236"/>
      <c r="S149" s="236"/>
    </row>
    <row r="150" spans="1:19" ht="17.25" thickBot="1">
      <c r="A150" s="276" t="s">
        <v>55</v>
      </c>
      <c r="B150" s="278" t="str">
        <f>TEXT($G$1, "[$-ko-KR]yyyy-mm-dd(ddd) ") &amp; "오전 00:00"</f>
        <v>2021-08-06(금) 오전 00:00</v>
      </c>
      <c r="C150" s="279"/>
      <c r="D150" s="238" t="str">
        <f>TEXT($G$1, "[$-ko-KR]yyyy-mm-dd(ddd) ") &amp; "오후 14:00"</f>
        <v>2021-08-06(금) 오후 14:00</v>
      </c>
      <c r="E150" s="239"/>
      <c r="F150" s="240"/>
      <c r="G150" s="238" t="str">
        <f>TEXT($G$1, "[$-ko-KR]yyyy-mm-dd(ddd) ") &amp; "오후 19:00"</f>
        <v>2021-08-06(금) 오후 19:00</v>
      </c>
      <c r="H150" s="239"/>
      <c r="I150" s="240"/>
      <c r="J150" s="238" t="str">
        <f>TEXT($G$1, "[$-ko-KR]yyyy-mm-dd(ddd) ") &amp; "오후 21:00"</f>
        <v>2021-08-06(금) 오후 21:00</v>
      </c>
      <c r="K150" s="239"/>
      <c r="L150" s="240"/>
      <c r="M150" s="238" t="str">
        <f>TEXT($G$1+1, "[$-ko-KR]yyyy-mm-dd(ddd) ") &amp; "오전 00:00"</f>
        <v>2021-08-07(토) 오전 00:00</v>
      </c>
      <c r="N150" s="239"/>
      <c r="O150" s="240"/>
      <c r="Q150" s="236"/>
      <c r="R150" s="236"/>
      <c r="S150" s="236"/>
    </row>
    <row r="151" spans="1:19" ht="17.25" thickBot="1">
      <c r="A151" s="27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1"/>
      <c r="R151" s="241"/>
      <c r="S151" s="241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36"/>
      <c r="R152" s="236"/>
      <c r="S152" s="236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36"/>
      <c r="R153" s="236"/>
      <c r="S153" s="236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41"/>
      <c r="R154" s="241"/>
      <c r="S154" s="241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41"/>
      <c r="R155" s="241"/>
      <c r="S155" s="241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41"/>
      <c r="R156" s="241"/>
      <c r="S156" s="241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41"/>
      <c r="R157" s="241"/>
      <c r="S157" s="241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41"/>
      <c r="R158" s="241"/>
      <c r="S158" s="241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41"/>
      <c r="R159" s="241"/>
      <c r="S159" s="241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50"/>
      <c r="R161" s="251"/>
      <c r="S161" s="252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53"/>
      <c r="R162" s="254"/>
      <c r="S162" s="255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56"/>
      <c r="R163" s="257"/>
      <c r="S163" s="258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41"/>
      <c r="R164" s="241"/>
      <c r="S164" s="241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36"/>
      <c r="R165" s="236"/>
      <c r="S165" s="236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36"/>
      <c r="R166" s="236"/>
      <c r="S166" s="236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41"/>
      <c r="R167" s="241"/>
      <c r="S167" s="241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41"/>
      <c r="R168" s="241"/>
      <c r="S168" s="241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41"/>
      <c r="R169" s="241"/>
      <c r="S169" s="241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263"/>
      <c r="R170" s="264"/>
      <c r="S170" s="265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266"/>
      <c r="R171" s="267"/>
      <c r="S171" s="268"/>
    </row>
    <row r="172" spans="1:19" ht="17.25" thickBot="1">
      <c r="A172" s="132" t="s">
        <v>270</v>
      </c>
      <c r="B172" s="274">
        <f>$B$37</f>
        <v>100000</v>
      </c>
      <c r="C172" s="275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269"/>
      <c r="R172" s="270"/>
      <c r="S172" s="27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36"/>
      <c r="R175" s="236"/>
      <c r="S175" s="236"/>
    </row>
    <row r="176" spans="1:19" ht="17.25" thickBot="1">
      <c r="A176" s="177" t="s">
        <v>267</v>
      </c>
      <c r="B176" s="215" t="s">
        <v>49</v>
      </c>
      <c r="C176" s="217"/>
      <c r="D176" s="215" t="s">
        <v>58</v>
      </c>
      <c r="E176" s="216"/>
      <c r="F176" s="217"/>
      <c r="G176" s="242">
        <f>_xlfn.IFNA(VLOOKUP(B176, 현재가테이블!$B$2:$D$200, 2, FALSE), "-")</f>
        <v>53976000</v>
      </c>
      <c r="H176" s="243"/>
      <c r="I176" s="244"/>
      <c r="J176" s="215" t="s">
        <v>59</v>
      </c>
      <c r="K176" s="216"/>
      <c r="L176" s="217"/>
      <c r="M176" s="245">
        <f>_xlfn.IFNA(VLOOKUP(B176, 현재가테이블!$B$2:$D$200, 3, FALSE), "-")</f>
        <v>-2.1216407400000001E-2</v>
      </c>
      <c r="N176" s="246"/>
      <c r="O176" s="247"/>
      <c r="Q176" s="236"/>
      <c r="R176" s="236"/>
      <c r="S176" s="236"/>
    </row>
    <row r="177" spans="1:19" ht="17.25" thickBot="1">
      <c r="A177" s="276" t="s">
        <v>55</v>
      </c>
      <c r="B177" s="278" t="str">
        <f>TEXT($G$1, "[$-ko-KR]yyyy-mm-dd(ddd) ") &amp; "오전 00:00"</f>
        <v>2021-08-06(금) 오전 00:00</v>
      </c>
      <c r="C177" s="279"/>
      <c r="D177" s="238" t="str">
        <f>TEXT($G$1, "[$-ko-KR]yyyy-mm-dd(ddd) ") &amp; "오후 14:00"</f>
        <v>2021-08-06(금) 오후 14:00</v>
      </c>
      <c r="E177" s="239"/>
      <c r="F177" s="240"/>
      <c r="G177" s="238" t="str">
        <f>TEXT($G$1, "[$-ko-KR]yyyy-mm-dd(ddd) ") &amp; "오후 19:00"</f>
        <v>2021-08-06(금) 오후 19:00</v>
      </c>
      <c r="H177" s="239"/>
      <c r="I177" s="240"/>
      <c r="J177" s="238" t="str">
        <f>TEXT($G$1, "[$-ko-KR]yyyy-mm-dd(ddd) ") &amp; "오후 21:00"</f>
        <v>2021-08-06(금) 오후 21:00</v>
      </c>
      <c r="K177" s="239"/>
      <c r="L177" s="240"/>
      <c r="M177" s="238" t="str">
        <f>TEXT($G$1+1, "[$-ko-KR]yyyy-mm-dd(ddd) ") &amp; "오전 00:00"</f>
        <v>2021-08-07(토) 오전 00:00</v>
      </c>
      <c r="N177" s="239"/>
      <c r="O177" s="240"/>
      <c r="Q177" s="236"/>
      <c r="R177" s="236"/>
      <c r="S177" s="236"/>
    </row>
    <row r="178" spans="1:19" ht="17.25" thickBot="1">
      <c r="A178" s="27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1"/>
      <c r="R178" s="241"/>
      <c r="S178" s="241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36"/>
      <c r="R179" s="236"/>
      <c r="S179" s="236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36"/>
      <c r="R180" s="236"/>
      <c r="S180" s="236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41"/>
      <c r="R181" s="241"/>
      <c r="S181" s="241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41"/>
      <c r="R182" s="241"/>
      <c r="S182" s="241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41"/>
      <c r="R183" s="241"/>
      <c r="S183" s="241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41"/>
      <c r="R184" s="241"/>
      <c r="S184" s="241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41"/>
      <c r="R185" s="241"/>
      <c r="S185" s="241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41"/>
      <c r="R186" s="241"/>
      <c r="S186" s="241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50"/>
      <c r="R188" s="251"/>
      <c r="S188" s="252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53"/>
      <c r="R189" s="254"/>
      <c r="S189" s="255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56"/>
      <c r="R190" s="257"/>
      <c r="S190" s="258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41"/>
      <c r="R191" s="241"/>
      <c r="S191" s="241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36"/>
      <c r="R192" s="236"/>
      <c r="S192" s="236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36"/>
      <c r="R193" s="236"/>
      <c r="S193" s="236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41"/>
      <c r="R194" s="241"/>
      <c r="S194" s="241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41"/>
      <c r="R195" s="241"/>
      <c r="S195" s="241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41"/>
      <c r="R196" s="241"/>
      <c r="S196" s="241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263"/>
      <c r="R197" s="264"/>
      <c r="S197" s="265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266"/>
      <c r="R198" s="267"/>
      <c r="S198" s="268"/>
    </row>
    <row r="199" spans="1:19" ht="17.25" thickBot="1">
      <c r="A199" s="132" t="s">
        <v>270</v>
      </c>
      <c r="B199" s="274">
        <f>$B$37</f>
        <v>100000</v>
      </c>
      <c r="C199" s="275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269"/>
      <c r="R199" s="270"/>
      <c r="S199" s="27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4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3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3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3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3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3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3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3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3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3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30" priority="157">
      <formula>AND($N17 &gt; 0, ISNUMBER($N17))</formula>
    </cfRule>
    <cfRule type="expression" dxfId="1629" priority="158">
      <formula>AND($N17 = 0 * ISNUMBER($N17))</formula>
    </cfRule>
    <cfRule type="expression" dxfId="1628" priority="159">
      <formula>AND($N17 &lt; 0, ISNUMBER($N17))</formula>
    </cfRule>
  </conditionalFormatting>
  <conditionalFormatting sqref="A17:F36">
    <cfRule type="expression" dxfId="1627" priority="166">
      <formula>AND($E17 &gt; 0, ISNUMBER($E17))</formula>
    </cfRule>
    <cfRule type="expression" dxfId="1626" priority="167">
      <formula>AND($E17 = 0 * ISNUMBER($E17))</formula>
    </cfRule>
    <cfRule type="expression" dxfId="1625" priority="168">
      <formula>AND($E17 &lt; 0, ISNUMBER($E17))</formula>
    </cfRule>
  </conditionalFormatting>
  <conditionalFormatting sqref="A17:C36 G17:I36">
    <cfRule type="expression" dxfId="1624" priority="163">
      <formula>AND($H17 &gt; 0, ISNUMBER($H17))</formula>
    </cfRule>
    <cfRule type="expression" dxfId="1623" priority="164">
      <formula>AND($H17 = 0 * ISNUMBER($H17))</formula>
    </cfRule>
    <cfRule type="expression" dxfId="1622" priority="165">
      <formula>AND($H17 &lt; 0, ISNUMBER($H17))</formula>
    </cfRule>
  </conditionalFormatting>
  <conditionalFormatting sqref="A17:C36 J17:L36">
    <cfRule type="expression" dxfId="1621" priority="160">
      <formula>AND($K17 &gt; 0, ISNUMBER($K17))</formula>
    </cfRule>
    <cfRule type="expression" dxfId="1620" priority="161">
      <formula>AND($K17 = 0 * ISNUMBER($K17))</formula>
    </cfRule>
    <cfRule type="expression" dxfId="1619" priority="162">
      <formula>AND($K17 &lt; 0, ISNUMBER($K17))</formula>
    </cfRule>
  </conditionalFormatting>
  <conditionalFormatting sqref="D15:F16 E37:F37">
    <cfRule type="expression" dxfId="1618" priority="154">
      <formula>$E$37 &gt; 0</formula>
    </cfRule>
    <cfRule type="expression" dxfId="1617" priority="155">
      <formula>$E$37 = 0</formula>
    </cfRule>
    <cfRule type="expression" dxfId="1616" priority="156">
      <formula>$E$37 &lt; 0</formula>
    </cfRule>
  </conditionalFormatting>
  <conditionalFormatting sqref="G15:I16 H37:I37">
    <cfRule type="expression" dxfId="1615" priority="151">
      <formula>$H$37 &gt; 0</formula>
    </cfRule>
    <cfRule type="expression" dxfId="1614" priority="152">
      <formula>$H$37 = 0</formula>
    </cfRule>
    <cfRule type="expression" dxfId="1613" priority="153">
      <formula>$H$37 &lt; 0</formula>
    </cfRule>
  </conditionalFormatting>
  <conditionalFormatting sqref="J15:L16 K37:L37">
    <cfRule type="expression" dxfId="1612" priority="148">
      <formula>$K$37 &gt; 0</formula>
    </cfRule>
    <cfRule type="expression" dxfId="1611" priority="149">
      <formula>$K$37 = 0</formula>
    </cfRule>
    <cfRule type="expression" dxfId="1610" priority="150">
      <formula>$K$37 &lt; 0</formula>
    </cfRule>
  </conditionalFormatting>
  <conditionalFormatting sqref="M15:O16 N37:O37">
    <cfRule type="expression" dxfId="1609" priority="145">
      <formula>$N$37 &gt; 0</formula>
    </cfRule>
    <cfRule type="expression" dxfId="1608" priority="146">
      <formula>$N$37 = 0</formula>
    </cfRule>
    <cfRule type="expression" dxfId="1607" priority="147">
      <formula>$N$37 &lt; 0</formula>
    </cfRule>
  </conditionalFormatting>
  <conditionalFormatting sqref="A44:C63 M44:O63">
    <cfRule type="expression" dxfId="1606" priority="133">
      <formula>AND($N44 &gt; 0, ISNUMBER($N44))</formula>
    </cfRule>
    <cfRule type="expression" dxfId="1605" priority="134">
      <formula>AND($N44 = 0 * ISNUMBER($N44))</formula>
    </cfRule>
    <cfRule type="expression" dxfId="1604" priority="135">
      <formula>AND($N44 &lt; 0, ISNUMBER($N44))</formula>
    </cfRule>
  </conditionalFormatting>
  <conditionalFormatting sqref="A44:F63">
    <cfRule type="expression" dxfId="1603" priority="142">
      <formula>AND($E44 &gt; 0, ISNUMBER($E44))</formula>
    </cfRule>
    <cfRule type="expression" dxfId="1602" priority="143">
      <formula>AND($E44 = 0 * ISNUMBER($E44))</formula>
    </cfRule>
    <cfRule type="expression" dxfId="1601" priority="144">
      <formula>AND($E44 &lt; 0, ISNUMBER($E44))</formula>
    </cfRule>
  </conditionalFormatting>
  <conditionalFormatting sqref="A44:C63 G44:I63">
    <cfRule type="expression" dxfId="1600" priority="139">
      <formula>AND($H44 &gt; 0, ISNUMBER($H44))</formula>
    </cfRule>
    <cfRule type="expression" dxfId="1599" priority="140">
      <formula>AND($H44 = 0 * ISNUMBER($H44))</formula>
    </cfRule>
    <cfRule type="expression" dxfId="1598" priority="141">
      <formula>AND($H44 &lt; 0, ISNUMBER($H44))</formula>
    </cfRule>
  </conditionalFormatting>
  <conditionalFormatting sqref="A44:C63 J44:L63">
    <cfRule type="expression" dxfId="1597" priority="136">
      <formula>AND($K44 &gt; 0, ISNUMBER($K44))</formula>
    </cfRule>
    <cfRule type="expression" dxfId="1596" priority="137">
      <formula>AND($K44 = 0 * ISNUMBER($K44))</formula>
    </cfRule>
    <cfRule type="expression" dxfId="1595" priority="138">
      <formula>AND($K44 &lt; 0, ISNUMBER($K44))</formula>
    </cfRule>
  </conditionalFormatting>
  <conditionalFormatting sqref="D42:F43 E64:F64">
    <cfRule type="expression" dxfId="1594" priority="130">
      <formula>$E$64 &gt; 0</formula>
    </cfRule>
    <cfRule type="expression" dxfId="1593" priority="131">
      <formula>$E$64 = 0</formula>
    </cfRule>
    <cfRule type="expression" dxfId="1592" priority="132">
      <formula>$E$64 &lt; 0</formula>
    </cfRule>
  </conditionalFormatting>
  <conditionalFormatting sqref="G42:I43 H64:I64">
    <cfRule type="expression" dxfId="1591" priority="127">
      <formula>$H$64 &gt; 0</formula>
    </cfRule>
    <cfRule type="expression" dxfId="1590" priority="128">
      <formula>$H$64 = 0</formula>
    </cfRule>
    <cfRule type="expression" dxfId="1589" priority="129">
      <formula>$H$64 &lt; 0</formula>
    </cfRule>
  </conditionalFormatting>
  <conditionalFormatting sqref="J42:L43 K64:L64">
    <cfRule type="expression" dxfId="1588" priority="124">
      <formula>$K$64 &gt; 0</formula>
    </cfRule>
    <cfRule type="expression" dxfId="1587" priority="125">
      <formula>$K$64 = 0</formula>
    </cfRule>
    <cfRule type="expression" dxfId="1586" priority="126">
      <formula>$K$64 &lt; 0</formula>
    </cfRule>
  </conditionalFormatting>
  <conditionalFormatting sqref="M42:O43 N64:O64">
    <cfRule type="expression" dxfId="1585" priority="121">
      <formula>$N$64 &gt; 0</formula>
    </cfRule>
    <cfRule type="expression" dxfId="1584" priority="122">
      <formula>$N$64 = 0</formula>
    </cfRule>
    <cfRule type="expression" dxfId="1583" priority="123">
      <formula>$N$64 &lt; 0</formula>
    </cfRule>
  </conditionalFormatting>
  <conditionalFormatting sqref="A71:C90 M71:O90">
    <cfRule type="expression" dxfId="1582" priority="109">
      <formula>AND($N71 &gt; 0, ISNUMBER($N71))</formula>
    </cfRule>
    <cfRule type="expression" dxfId="1581" priority="110">
      <formula>AND($N71 = 0 * ISNUMBER($N71))</formula>
    </cfRule>
    <cfRule type="expression" dxfId="1580" priority="111">
      <formula>AND($N71 &lt; 0, ISNUMBER($N71))</formula>
    </cfRule>
  </conditionalFormatting>
  <conditionalFormatting sqref="A71:F90">
    <cfRule type="expression" dxfId="1579" priority="118">
      <formula>AND($E71 &gt; 0, ISNUMBER($E71))</formula>
    </cfRule>
    <cfRule type="expression" dxfId="1578" priority="119">
      <formula>AND($E71 = 0 * ISNUMBER($E71))</formula>
    </cfRule>
    <cfRule type="expression" dxfId="1577" priority="120">
      <formula>AND($E71 &lt; 0, ISNUMBER($E71))</formula>
    </cfRule>
  </conditionalFormatting>
  <conditionalFormatting sqref="A71:C90 G71:I90">
    <cfRule type="expression" dxfId="1576" priority="115">
      <formula>AND($H71 &gt; 0, ISNUMBER($H71))</formula>
    </cfRule>
    <cfRule type="expression" dxfId="1575" priority="116">
      <formula>AND($H71 = 0 * ISNUMBER($H71))</formula>
    </cfRule>
    <cfRule type="expression" dxfId="1574" priority="117">
      <formula>AND($H71 &lt; 0, ISNUMBER($H71))</formula>
    </cfRule>
  </conditionalFormatting>
  <conditionalFormatting sqref="A71:C90 J71:L90">
    <cfRule type="expression" dxfId="1573" priority="112">
      <formula>AND($K71 &gt; 0, ISNUMBER($K71))</formula>
    </cfRule>
    <cfRule type="expression" dxfId="1572" priority="113">
      <formula>AND($K71 = 0 * ISNUMBER($K71))</formula>
    </cfRule>
    <cfRule type="expression" dxfId="1571" priority="114">
      <formula>AND($K71 &lt; 0, ISNUMBER($K71))</formula>
    </cfRule>
  </conditionalFormatting>
  <conditionalFormatting sqref="D69:F70 E91:F91">
    <cfRule type="expression" dxfId="1570" priority="106">
      <formula>$E$91 &gt; 0</formula>
    </cfRule>
    <cfRule type="expression" dxfId="1569" priority="107">
      <formula>$E$91 = 0</formula>
    </cfRule>
    <cfRule type="expression" dxfId="1568" priority="108">
      <formula>$E$91 &lt; 0</formula>
    </cfRule>
  </conditionalFormatting>
  <conditionalFormatting sqref="G69:I70 H91:I91">
    <cfRule type="expression" dxfId="1567" priority="103">
      <formula>$H$91 &gt; 0</formula>
    </cfRule>
    <cfRule type="expression" dxfId="1566" priority="104">
      <formula>$H$91 = 0</formula>
    </cfRule>
    <cfRule type="expression" dxfId="1565" priority="105">
      <formula>$H$91 &lt; 0</formula>
    </cfRule>
  </conditionalFormatting>
  <conditionalFormatting sqref="J69:L70 K91:L91">
    <cfRule type="expression" dxfId="1564" priority="100">
      <formula>$K$91 &gt; 0</formula>
    </cfRule>
    <cfRule type="expression" dxfId="1563" priority="101">
      <formula>$K$91 = 0</formula>
    </cfRule>
    <cfRule type="expression" dxfId="1562" priority="102">
      <formula>$K$91 &lt; 0</formula>
    </cfRule>
  </conditionalFormatting>
  <conditionalFormatting sqref="M69:O70 N91:O91">
    <cfRule type="expression" dxfId="1561" priority="97">
      <formula>$N$91 &gt; 0</formula>
    </cfRule>
    <cfRule type="expression" dxfId="1560" priority="98">
      <formula>$N$91 = 0</formula>
    </cfRule>
    <cfRule type="expression" dxfId="1559" priority="99">
      <formula>$N$91 &lt; 0</formula>
    </cfRule>
  </conditionalFormatting>
  <conditionalFormatting sqref="A98:C117 M98:O117">
    <cfRule type="expression" dxfId="1558" priority="85">
      <formula>AND($N98 &gt; 0, ISNUMBER($N98))</formula>
    </cfRule>
    <cfRule type="expression" dxfId="1557" priority="86">
      <formula>AND($N98 = 0 * ISNUMBER($N98))</formula>
    </cfRule>
    <cfRule type="expression" dxfId="1556" priority="87">
      <formula>AND($N98 &lt; 0, ISNUMBER($N98))</formula>
    </cfRule>
  </conditionalFormatting>
  <conditionalFormatting sqref="A98:F117">
    <cfRule type="expression" dxfId="1555" priority="94">
      <formula>AND($E98 &gt; 0, ISNUMBER($E98))</formula>
    </cfRule>
    <cfRule type="expression" dxfId="1554" priority="95">
      <formula>AND($E98 = 0 * ISNUMBER($E98))</formula>
    </cfRule>
    <cfRule type="expression" dxfId="1553" priority="96">
      <formula>AND($E98 &lt; 0, ISNUMBER($E98))</formula>
    </cfRule>
  </conditionalFormatting>
  <conditionalFormatting sqref="A98:C117 G98:I117">
    <cfRule type="expression" dxfId="1552" priority="91">
      <formula>AND($H98 &gt; 0, ISNUMBER($H98))</formula>
    </cfRule>
    <cfRule type="expression" dxfId="1551" priority="92">
      <formula>AND($H98 = 0 * ISNUMBER($H98))</formula>
    </cfRule>
    <cfRule type="expression" dxfId="1550" priority="93">
      <formula>AND($H98 &lt; 0, ISNUMBER($H98))</formula>
    </cfRule>
  </conditionalFormatting>
  <conditionalFormatting sqref="A98:C117 J98:L117">
    <cfRule type="expression" dxfId="1549" priority="88">
      <formula>AND($K98 &gt; 0, ISNUMBER($K98))</formula>
    </cfRule>
    <cfRule type="expression" dxfId="1548" priority="89">
      <formula>AND($K98 = 0 * ISNUMBER($K98))</formula>
    </cfRule>
    <cfRule type="expression" dxfId="1547" priority="90">
      <formula>AND($K98 &lt; 0, ISNUMBER($K98))</formula>
    </cfRule>
  </conditionalFormatting>
  <conditionalFormatting sqref="D96:F97 E118:F118">
    <cfRule type="expression" dxfId="1546" priority="82">
      <formula>$E$118 &gt; 0</formula>
    </cfRule>
    <cfRule type="expression" dxfId="1545" priority="83">
      <formula>$E$118 = 0</formula>
    </cfRule>
    <cfRule type="expression" dxfId="1544" priority="84">
      <formula>$E$118 &lt; 0</formula>
    </cfRule>
  </conditionalFormatting>
  <conditionalFormatting sqref="G96:I97 H118:I118">
    <cfRule type="expression" dxfId="1543" priority="79">
      <formula>$H$118 &gt; 0</formula>
    </cfRule>
    <cfRule type="expression" dxfId="1542" priority="80">
      <formula>$H$118 = 0</formula>
    </cfRule>
    <cfRule type="expression" dxfId="1541" priority="81">
      <formula>$H$118 &lt; 0</formula>
    </cfRule>
  </conditionalFormatting>
  <conditionalFormatting sqref="J96:L97 K118:L118">
    <cfRule type="expression" dxfId="1540" priority="76">
      <formula>$K$118 &gt; 0</formula>
    </cfRule>
    <cfRule type="expression" dxfId="1539" priority="77">
      <formula>$K$118 = 0</formula>
    </cfRule>
    <cfRule type="expression" dxfId="1538" priority="78">
      <formula>$K$118 &lt; 0</formula>
    </cfRule>
  </conditionalFormatting>
  <conditionalFormatting sqref="M96:O97 N118:O118">
    <cfRule type="expression" dxfId="1537" priority="73">
      <formula>$N$118 &gt; 0</formula>
    </cfRule>
    <cfRule type="expression" dxfId="1536" priority="74">
      <formula>$N$118 = 0</formula>
    </cfRule>
    <cfRule type="expression" dxfId="1535" priority="75">
      <formula>$N$118 &lt; 0</formula>
    </cfRule>
  </conditionalFormatting>
  <conditionalFormatting sqref="A125:C144 M125:O144">
    <cfRule type="expression" dxfId="1534" priority="61">
      <formula>AND($N125 &gt; 0, ISNUMBER($N125))</formula>
    </cfRule>
    <cfRule type="expression" dxfId="1533" priority="62">
      <formula>AND($N125 = 0 * ISNUMBER($N125))</formula>
    </cfRule>
    <cfRule type="expression" dxfId="1532" priority="63">
      <formula>AND($N125 &lt; 0, ISNUMBER($N125))</formula>
    </cfRule>
  </conditionalFormatting>
  <conditionalFormatting sqref="A125:F144">
    <cfRule type="expression" dxfId="1531" priority="70">
      <formula>AND($E125 &gt; 0, ISNUMBER($E125))</formula>
    </cfRule>
    <cfRule type="expression" dxfId="1530" priority="71">
      <formula>AND($E125 = 0 * ISNUMBER($E125))</formula>
    </cfRule>
    <cfRule type="expression" dxfId="1529" priority="72">
      <formula>AND($E125 &lt; 0, ISNUMBER($E125))</formula>
    </cfRule>
  </conditionalFormatting>
  <conditionalFormatting sqref="A125:C144 G125:I144">
    <cfRule type="expression" dxfId="1528" priority="67">
      <formula>AND($H125 &gt; 0, ISNUMBER($H125))</formula>
    </cfRule>
    <cfRule type="expression" dxfId="1527" priority="68">
      <formula>AND($H125 = 0 * ISNUMBER($H125))</formula>
    </cfRule>
    <cfRule type="expression" dxfId="1526" priority="69">
      <formula>AND($H125 &lt; 0, ISNUMBER($H125))</formula>
    </cfRule>
  </conditionalFormatting>
  <conditionalFormatting sqref="A125:C144 J125:L144">
    <cfRule type="expression" dxfId="1525" priority="64">
      <formula>AND($K125 &gt; 0, ISNUMBER($K125))</formula>
    </cfRule>
    <cfRule type="expression" dxfId="1524" priority="65">
      <formula>AND($K125 = 0 * ISNUMBER($K125))</formula>
    </cfRule>
    <cfRule type="expression" dxfId="1523" priority="66">
      <formula>AND($K125 &lt; 0, ISNUMBER($K125))</formula>
    </cfRule>
  </conditionalFormatting>
  <conditionalFormatting sqref="D123:F124 E145:F145">
    <cfRule type="expression" dxfId="1522" priority="58">
      <formula>$E$145 &gt; 0</formula>
    </cfRule>
    <cfRule type="expression" dxfId="1521" priority="59">
      <formula>$E$145 = 0</formula>
    </cfRule>
    <cfRule type="expression" dxfId="1520" priority="60">
      <formula>$E$145 &lt; 0</formula>
    </cfRule>
  </conditionalFormatting>
  <conditionalFormatting sqref="G123:I124 H145:I145">
    <cfRule type="expression" dxfId="1519" priority="55">
      <formula>$H$145 &gt; 0</formula>
    </cfRule>
    <cfRule type="expression" dxfId="1518" priority="56">
      <formula>$H$145 = 0</formula>
    </cfRule>
    <cfRule type="expression" dxfId="1517" priority="57">
      <formula>$H$145 &lt; 0</formula>
    </cfRule>
  </conditionalFormatting>
  <conditionalFormatting sqref="J123:L124 K145:L145">
    <cfRule type="expression" dxfId="1516" priority="52">
      <formula>$K$145 &gt; 0</formula>
    </cfRule>
    <cfRule type="expression" dxfId="1515" priority="53">
      <formula>$K$145 = 0</formula>
    </cfRule>
    <cfRule type="expression" dxfId="1514" priority="54">
      <formula>$K$145 &lt; 0</formula>
    </cfRule>
  </conditionalFormatting>
  <conditionalFormatting sqref="M123:O124 N145:O145">
    <cfRule type="expression" dxfId="1513" priority="49">
      <formula>$N$145 &gt; 0</formula>
    </cfRule>
    <cfRule type="expression" dxfId="1512" priority="50">
      <formula>$N$145 = 0</formula>
    </cfRule>
    <cfRule type="expression" dxfId="1511" priority="51">
      <formula>$N$145 &lt; 0</formula>
    </cfRule>
  </conditionalFormatting>
  <conditionalFormatting sqref="A152:C171 M152:O171">
    <cfRule type="expression" dxfId="1510" priority="37">
      <formula>AND($N152 &gt; 0, ISNUMBER($N152))</formula>
    </cfRule>
    <cfRule type="expression" dxfId="1509" priority="38">
      <formula>AND($N152 = 0 * ISNUMBER($N152))</formula>
    </cfRule>
    <cfRule type="expression" dxfId="1508" priority="39">
      <formula>AND($N152 &lt; 0, ISNUMBER($N152))</formula>
    </cfRule>
  </conditionalFormatting>
  <conditionalFormatting sqref="A152:F171">
    <cfRule type="expression" dxfId="1507" priority="46">
      <formula>AND($E152 &gt; 0, ISNUMBER($E152))</formula>
    </cfRule>
    <cfRule type="expression" dxfId="1506" priority="47">
      <formula>AND($E152 = 0 * ISNUMBER($E152))</formula>
    </cfRule>
    <cfRule type="expression" dxfId="1505" priority="48">
      <formula>AND($E152 &lt; 0, ISNUMBER($E152))</formula>
    </cfRule>
  </conditionalFormatting>
  <conditionalFormatting sqref="A152:C171 G152:I171">
    <cfRule type="expression" dxfId="1504" priority="43">
      <formula>AND($H152 &gt; 0, ISNUMBER($H152))</formula>
    </cfRule>
    <cfRule type="expression" dxfId="1503" priority="44">
      <formula>AND($H152 = 0 * ISNUMBER($H152))</formula>
    </cfRule>
    <cfRule type="expression" dxfId="1502" priority="45">
      <formula>AND($H152 &lt; 0, ISNUMBER($H152))</formula>
    </cfRule>
  </conditionalFormatting>
  <conditionalFormatting sqref="A152:C171 J152:L171">
    <cfRule type="expression" dxfId="1501" priority="40">
      <formula>AND($K152 &gt; 0, ISNUMBER($K152))</formula>
    </cfRule>
    <cfRule type="expression" dxfId="1500" priority="41">
      <formula>AND($K152 = 0 * ISNUMBER($K152))</formula>
    </cfRule>
    <cfRule type="expression" dxfId="1499" priority="42">
      <formula>AND($K152 &lt; 0, ISNUMBER($K152))</formula>
    </cfRule>
  </conditionalFormatting>
  <conditionalFormatting sqref="D150:F151 E172:F172">
    <cfRule type="expression" dxfId="1498" priority="34">
      <formula>$E$172 &gt; 0</formula>
    </cfRule>
    <cfRule type="expression" dxfId="1497" priority="35">
      <formula>$E$172 = 0</formula>
    </cfRule>
    <cfRule type="expression" dxfId="1496" priority="36">
      <formula>$E$172 &lt; 0</formula>
    </cfRule>
  </conditionalFormatting>
  <conditionalFormatting sqref="G150:I151 H172:I172">
    <cfRule type="expression" dxfId="1495" priority="31">
      <formula>$H$172 &gt; 0</formula>
    </cfRule>
    <cfRule type="expression" dxfId="1494" priority="32">
      <formula>$H$172 = 0</formula>
    </cfRule>
    <cfRule type="expression" dxfId="1493" priority="33">
      <formula>$H$172 &lt; 0</formula>
    </cfRule>
  </conditionalFormatting>
  <conditionalFormatting sqref="J150:L151 K172:L172">
    <cfRule type="expression" dxfId="1492" priority="28">
      <formula>$K$172 &gt; 0</formula>
    </cfRule>
    <cfRule type="expression" dxfId="1491" priority="29">
      <formula>$K$172 = 0</formula>
    </cfRule>
    <cfRule type="expression" dxfId="1490" priority="30">
      <formula>$K$172 &lt; 0</formula>
    </cfRule>
  </conditionalFormatting>
  <conditionalFormatting sqref="M150:O151 N172:O172">
    <cfRule type="expression" dxfId="1489" priority="25">
      <formula>$N$172 &gt; 0</formula>
    </cfRule>
    <cfRule type="expression" dxfId="1488" priority="26">
      <formula>$N$172 = 0</formula>
    </cfRule>
    <cfRule type="expression" dxfId="1487" priority="27">
      <formula>$N$172 &lt; 0</formula>
    </cfRule>
  </conditionalFormatting>
  <conditionalFormatting sqref="A179:C198 M179:O198">
    <cfRule type="expression" dxfId="1486" priority="13">
      <formula>AND($N179 &gt; 0, ISNUMBER($N179))</formula>
    </cfRule>
    <cfRule type="expression" dxfId="1485" priority="14">
      <formula>AND($N179 = 0 * ISNUMBER($N179))</formula>
    </cfRule>
    <cfRule type="expression" dxfId="1484" priority="15">
      <formula>AND($N179 &lt; 0, ISNUMBER($N179))</formula>
    </cfRule>
  </conditionalFormatting>
  <conditionalFormatting sqref="A179:F198">
    <cfRule type="expression" dxfId="1483" priority="22">
      <formula>AND($E179 &gt; 0, ISNUMBER($E179))</formula>
    </cfRule>
    <cfRule type="expression" dxfId="1482" priority="23">
      <formula>AND($E179 = 0 * ISNUMBER($E179))</formula>
    </cfRule>
    <cfRule type="expression" dxfId="1481" priority="24">
      <formula>AND($E179 &lt; 0, ISNUMBER($E179))</formula>
    </cfRule>
  </conditionalFormatting>
  <conditionalFormatting sqref="A179:C198 G179:I198">
    <cfRule type="expression" dxfId="1480" priority="19">
      <formula>AND($H179 &gt; 0, ISNUMBER($H179))</formula>
    </cfRule>
    <cfRule type="expression" dxfId="1479" priority="20">
      <formula>AND($H179 = 0 * ISNUMBER($H179))</formula>
    </cfRule>
    <cfRule type="expression" dxfId="1478" priority="21">
      <formula>AND($H179 &lt; 0, ISNUMBER($H179))</formula>
    </cfRule>
  </conditionalFormatting>
  <conditionalFormatting sqref="A179:C198 J179:L198">
    <cfRule type="expression" dxfId="1477" priority="16">
      <formula>AND($K179 &gt; 0, ISNUMBER($K179))</formula>
    </cfRule>
    <cfRule type="expression" dxfId="1476" priority="17">
      <formula>AND($K179 = 0 * ISNUMBER($K179))</formula>
    </cfRule>
    <cfRule type="expression" dxfId="1475" priority="18">
      <formula>AND($K179 &lt; 0, ISNUMBER($K179))</formula>
    </cfRule>
  </conditionalFormatting>
  <conditionalFormatting sqref="D177:F178 E199:F199">
    <cfRule type="expression" dxfId="1474" priority="10">
      <formula>$E$199 &gt; 0</formula>
    </cfRule>
    <cfRule type="expression" dxfId="1473" priority="11">
      <formula>$E$199 = 0</formula>
    </cfRule>
    <cfRule type="expression" dxfId="1472" priority="12">
      <formula>$E$199 &lt; 0</formula>
    </cfRule>
  </conditionalFormatting>
  <conditionalFormatting sqref="G177:I178 H199:I199">
    <cfRule type="expression" dxfId="1471" priority="7">
      <formula>$H$199 &gt; 0</formula>
    </cfRule>
    <cfRule type="expression" dxfId="1470" priority="8">
      <formula>$H$199 = 0</formula>
    </cfRule>
    <cfRule type="expression" dxfId="1469" priority="9">
      <formula>$H$199 &lt; 0</formula>
    </cfRule>
  </conditionalFormatting>
  <conditionalFormatting sqref="J177:L178 K199:L199">
    <cfRule type="expression" dxfId="1468" priority="4">
      <formula>$K$199 &gt; 0</formula>
    </cfRule>
    <cfRule type="expression" dxfId="1467" priority="5">
      <formula>$K$199 = 0</formula>
    </cfRule>
    <cfRule type="expression" dxfId="1466" priority="6">
      <formula>$K$199 &lt; 0</formula>
    </cfRule>
  </conditionalFormatting>
  <conditionalFormatting sqref="M177:O178 N199:O199">
    <cfRule type="expression" dxfId="1465" priority="1">
      <formula>$N$199 &gt; 0</formula>
    </cfRule>
    <cfRule type="expression" dxfId="1464" priority="2">
      <formula>$N$199 = 0</formula>
    </cfRule>
    <cfRule type="expression" dxfId="146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18">
        <v>44415</v>
      </c>
      <c r="H1" s="219"/>
      <c r="I1" s="220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24" t="s">
        <v>46</v>
      </c>
      <c r="H2" s="225"/>
      <c r="I2" s="226"/>
      <c r="J2" s="1" t="s">
        <v>3</v>
      </c>
      <c r="K2" s="221" t="s">
        <v>320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27" t="s">
        <v>328</v>
      </c>
      <c r="C3" s="228"/>
      <c r="D3" s="228"/>
      <c r="E3" s="228"/>
      <c r="F3" s="229"/>
      <c r="G3" s="23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31"/>
      <c r="I3" s="232"/>
      <c r="J3" s="4" t="s">
        <v>7</v>
      </c>
      <c r="K3" s="227" t="s">
        <v>321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7" t="s">
        <v>16</v>
      </c>
      <c r="C4" s="228"/>
      <c r="D4" s="228"/>
      <c r="E4" s="228"/>
      <c r="F4" s="229"/>
      <c r="G4" s="224" t="s">
        <v>44</v>
      </c>
      <c r="H4" s="225"/>
      <c r="I4" s="226"/>
      <c r="J4" s="4" t="s">
        <v>11</v>
      </c>
      <c r="K4" s="227" t="s">
        <v>322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7" t="s">
        <v>319</v>
      </c>
      <c r="C5" s="228"/>
      <c r="D5" s="228"/>
      <c r="E5" s="228"/>
      <c r="F5" s="229"/>
      <c r="G5" s="23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31"/>
      <c r="I5" s="232"/>
      <c r="J5" s="4" t="s">
        <v>15</v>
      </c>
      <c r="K5" s="227" t="s">
        <v>323</v>
      </c>
      <c r="L5" s="228"/>
      <c r="M5" s="228"/>
      <c r="N5" s="228"/>
      <c r="O5" s="229"/>
    </row>
    <row r="6" spans="1:19">
      <c r="A6" s="118" t="s">
        <v>18</v>
      </c>
      <c r="B6" s="227"/>
      <c r="C6" s="228"/>
      <c r="D6" s="228"/>
      <c r="E6" s="228"/>
      <c r="F6" s="229"/>
      <c r="G6" s="224" t="s">
        <v>45</v>
      </c>
      <c r="H6" s="225"/>
      <c r="I6" s="226"/>
      <c r="J6" s="4" t="s">
        <v>18</v>
      </c>
      <c r="K6" s="227" t="s">
        <v>324</v>
      </c>
      <c r="L6" s="228"/>
      <c r="M6" s="228"/>
      <c r="N6" s="228"/>
      <c r="O6" s="229"/>
    </row>
    <row r="7" spans="1:19" ht="17.25" thickBot="1">
      <c r="A7" s="118" t="s">
        <v>21</v>
      </c>
      <c r="B7" s="227"/>
      <c r="C7" s="228"/>
      <c r="D7" s="228"/>
      <c r="E7" s="228"/>
      <c r="F7" s="229"/>
      <c r="G7" s="23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31"/>
      <c r="I7" s="232"/>
      <c r="J7" s="4" t="s">
        <v>21</v>
      </c>
      <c r="K7" s="227" t="s">
        <v>325</v>
      </c>
      <c r="L7" s="228"/>
      <c r="M7" s="228"/>
      <c r="N7" s="228"/>
      <c r="O7" s="229"/>
    </row>
    <row r="8" spans="1:19" ht="17.25" thickBot="1">
      <c r="A8" s="118" t="s">
        <v>24</v>
      </c>
      <c r="B8" s="227"/>
      <c r="C8" s="228"/>
      <c r="D8" s="228"/>
      <c r="E8" s="228"/>
      <c r="F8" s="229"/>
      <c r="G8" s="224" t="s">
        <v>255</v>
      </c>
      <c r="H8" s="225"/>
      <c r="I8" s="226"/>
      <c r="J8" s="4" t="s">
        <v>24</v>
      </c>
      <c r="K8" s="227"/>
      <c r="L8" s="228"/>
      <c r="M8" s="228"/>
      <c r="N8" s="228"/>
      <c r="O8" s="229"/>
      <c r="Q8" s="215" t="s">
        <v>27</v>
      </c>
      <c r="R8" s="217"/>
    </row>
    <row r="9" spans="1:19" ht="17.25" thickBot="1">
      <c r="A9" s="118" t="s">
        <v>28</v>
      </c>
      <c r="B9" s="227"/>
      <c r="C9" s="228"/>
      <c r="D9" s="228"/>
      <c r="E9" s="228"/>
      <c r="F9" s="229"/>
      <c r="G9" s="23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31"/>
      <c r="I9" s="232"/>
      <c r="J9" s="4" t="s">
        <v>28</v>
      </c>
      <c r="K9" s="227"/>
      <c r="L9" s="228"/>
      <c r="M9" s="228"/>
      <c r="N9" s="228"/>
      <c r="O9" s="229"/>
      <c r="Q9" s="2" t="s">
        <v>29</v>
      </c>
      <c r="R9" s="6">
        <v>10</v>
      </c>
    </row>
    <row r="10" spans="1:19">
      <c r="A10" s="118" t="s">
        <v>30</v>
      </c>
      <c r="B10" s="227"/>
      <c r="C10" s="228"/>
      <c r="D10" s="228"/>
      <c r="E10" s="228"/>
      <c r="F10" s="229"/>
      <c r="G10" s="224" t="s">
        <v>47</v>
      </c>
      <c r="H10" s="225"/>
      <c r="I10" s="226"/>
      <c r="J10" s="4" t="s">
        <v>30</v>
      </c>
      <c r="K10" s="227" t="s">
        <v>326</v>
      </c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1"/>
      <c r="I11" s="232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36"/>
      <c r="R13" s="236"/>
      <c r="S13" s="236"/>
    </row>
    <row r="14" spans="1:19" ht="17.25" customHeight="1" thickBot="1">
      <c r="A14" s="181" t="s">
        <v>35</v>
      </c>
      <c r="B14" s="215" t="s">
        <v>36</v>
      </c>
      <c r="C14" s="217"/>
      <c r="D14" s="215" t="s">
        <v>37</v>
      </c>
      <c r="E14" s="216"/>
      <c r="F14" s="217"/>
      <c r="G14" s="242">
        <f>_xlfn.IFNA(VLOOKUP(B14, 현재가테이블!$B$2:$D$200, 2, FALSE), "-")</f>
        <v>53976000</v>
      </c>
      <c r="H14" s="243"/>
      <c r="I14" s="244"/>
      <c r="J14" s="215" t="s">
        <v>38</v>
      </c>
      <c r="K14" s="216"/>
      <c r="L14" s="217"/>
      <c r="M14" s="245">
        <f>_xlfn.IFNA(VLOOKUP(B14, 현재가테이블!$B$2:$D$200, 3, FALSE), "-")</f>
        <v>-2.1216407400000001E-2</v>
      </c>
      <c r="N14" s="246"/>
      <c r="O14" s="247"/>
      <c r="Q14" s="236"/>
      <c r="R14" s="236"/>
      <c r="S14" s="236"/>
    </row>
    <row r="15" spans="1:19" ht="17.25" customHeight="1" thickBot="1">
      <c r="A15" s="280" t="s">
        <v>39</v>
      </c>
      <c r="B15" s="281" t="str">
        <f>TEXT($G$1, "[$-ko-KR]yyyy-mm-dd(ddd) ") &amp; "오전 00:00"</f>
        <v>2021-08-07(토) 오전 00:00</v>
      </c>
      <c r="C15" s="282"/>
      <c r="D15" s="238" t="str">
        <f>TEXT($G$1, "[$-ko-KR]yyyy-mm-dd(ddd) ") &amp; "오후 14:00"</f>
        <v>2021-08-07(토) 오후 14:00</v>
      </c>
      <c r="E15" s="239"/>
      <c r="F15" s="240"/>
      <c r="G15" s="238" t="str">
        <f>TEXT($G$1, "[$-ko-KR]yyyy-mm-dd(ddd) ") &amp; "오후 19:00"</f>
        <v>2021-08-07(토) 오후 19:00</v>
      </c>
      <c r="H15" s="239"/>
      <c r="I15" s="240"/>
      <c r="J15" s="238" t="str">
        <f>TEXT($G$1, "[$-ko-KR]yyyy-mm-dd(ddd) ") &amp; "오후 21:00"</f>
        <v>2021-08-07(토) 오후 21:00</v>
      </c>
      <c r="K15" s="239"/>
      <c r="L15" s="240"/>
      <c r="M15" s="238" t="str">
        <f>TEXT($G$1+1, "[$-ko-KR]yyyy-mm-dd(ddd) ") &amp; "오전 00:00"</f>
        <v>2021-08-08(일) 오전 00:00</v>
      </c>
      <c r="N15" s="239"/>
      <c r="O15" s="240"/>
      <c r="Q15" s="236"/>
      <c r="R15" s="236"/>
      <c r="S15" s="236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1"/>
      <c r="R16" s="241"/>
      <c r="S16" s="24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6"/>
      <c r="R17" s="236"/>
      <c r="S17" s="23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6"/>
      <c r="R18" s="236"/>
      <c r="S18" s="23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1"/>
      <c r="R19" s="241"/>
      <c r="S19" s="24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1"/>
      <c r="R20" s="241"/>
      <c r="S20" s="24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1"/>
      <c r="R21" s="241"/>
      <c r="S21" s="24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1"/>
      <c r="R22" s="241"/>
      <c r="S22" s="24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1"/>
      <c r="R23" s="241"/>
      <c r="S23" s="24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1"/>
      <c r="R24" s="241"/>
      <c r="S24" s="24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0"/>
      <c r="R26" s="251"/>
      <c r="S26" s="25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3"/>
      <c r="R27" s="254"/>
      <c r="S27" s="25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6"/>
      <c r="R28" s="257"/>
      <c r="S28" s="25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1"/>
      <c r="R29" s="241"/>
      <c r="S29" s="24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6"/>
      <c r="R30" s="236"/>
      <c r="S30" s="23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6"/>
      <c r="R31" s="236"/>
      <c r="S31" s="23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1"/>
      <c r="R32" s="241"/>
      <c r="S32" s="24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1"/>
      <c r="R33" s="241"/>
      <c r="S33" s="24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1"/>
      <c r="R34" s="241"/>
      <c r="S34" s="24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3"/>
      <c r="R35" s="264"/>
      <c r="S35" s="26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6"/>
      <c r="R36" s="267"/>
      <c r="S36" s="268"/>
    </row>
    <row r="37" spans="1:19" ht="17.25" customHeight="1" thickBot="1">
      <c r="A37" s="132" t="s">
        <v>42</v>
      </c>
      <c r="B37" s="274">
        <v>100000</v>
      </c>
      <c r="C37" s="27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9"/>
      <c r="R37" s="270"/>
      <c r="S37" s="27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36"/>
      <c r="R40" s="236"/>
      <c r="S40" s="236"/>
    </row>
    <row r="41" spans="1:19" ht="17.25" customHeight="1" thickBot="1">
      <c r="A41" s="181" t="s">
        <v>267</v>
      </c>
      <c r="B41" s="215" t="s">
        <v>49</v>
      </c>
      <c r="C41" s="217"/>
      <c r="D41" s="215" t="s">
        <v>58</v>
      </c>
      <c r="E41" s="216"/>
      <c r="F41" s="217"/>
      <c r="G41" s="242">
        <f>_xlfn.IFNA(VLOOKUP(B41, 현재가테이블!$B$2:$D$200, 2, FALSE), "-")</f>
        <v>53976000</v>
      </c>
      <c r="H41" s="243"/>
      <c r="I41" s="244"/>
      <c r="J41" s="215" t="s">
        <v>59</v>
      </c>
      <c r="K41" s="216"/>
      <c r="L41" s="217"/>
      <c r="M41" s="245">
        <f>_xlfn.IFNA(VLOOKUP(B41, 현재가테이블!$B$2:$D$200, 3, FALSE), "-")</f>
        <v>-2.1216407400000001E-2</v>
      </c>
      <c r="N41" s="246"/>
      <c r="O41" s="247"/>
      <c r="Q41" s="236"/>
      <c r="R41" s="236"/>
      <c r="S41" s="236"/>
    </row>
    <row r="42" spans="1:19" ht="17.25" customHeight="1" thickBot="1">
      <c r="A42" s="276" t="s">
        <v>55</v>
      </c>
      <c r="B42" s="278" t="str">
        <f>TEXT($G$1, "[$-ko-KR]yyyy-mm-dd(ddd) ") &amp; "오전 00:00"</f>
        <v>2021-08-07(토) 오전 00:00</v>
      </c>
      <c r="C42" s="279"/>
      <c r="D42" s="238" t="str">
        <f>TEXT($G$1, "[$-ko-KR]yyyy-mm-dd(ddd) ") &amp; "오후 14:00"</f>
        <v>2021-08-07(토) 오후 14:00</v>
      </c>
      <c r="E42" s="239"/>
      <c r="F42" s="240"/>
      <c r="G42" s="238" t="str">
        <f>TEXT($G$1, "[$-ko-KR]yyyy-mm-dd(ddd) ") &amp; "오후 19:00"</f>
        <v>2021-08-07(토) 오후 19:00</v>
      </c>
      <c r="H42" s="239"/>
      <c r="I42" s="240"/>
      <c r="J42" s="238" t="str">
        <f>TEXT($G$1, "[$-ko-KR]yyyy-mm-dd(ddd) ") &amp; "오후 21:00"</f>
        <v>2021-08-07(토) 오후 21:00</v>
      </c>
      <c r="K42" s="239"/>
      <c r="L42" s="240"/>
      <c r="M42" s="238" t="str">
        <f>TEXT($G$1+1, "[$-ko-KR]yyyy-mm-dd(ddd) ") &amp; "오전 00:00"</f>
        <v>2021-08-08(일) 오전 00:00</v>
      </c>
      <c r="N42" s="239"/>
      <c r="O42" s="240"/>
      <c r="Q42" s="236"/>
      <c r="R42" s="236"/>
      <c r="S42" s="236"/>
    </row>
    <row r="43" spans="1:19" ht="17.25" customHeight="1" thickBot="1">
      <c r="A43" s="27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1"/>
      <c r="R43" s="241"/>
      <c r="S43" s="241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36"/>
      <c r="R44" s="236"/>
      <c r="S44" s="236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36"/>
      <c r="R45" s="236"/>
      <c r="S45" s="236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41"/>
      <c r="R46" s="241"/>
      <c r="S46" s="241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41"/>
      <c r="R47" s="241"/>
      <c r="S47" s="241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41"/>
      <c r="R48" s="241"/>
      <c r="S48" s="241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41"/>
      <c r="R49" s="241"/>
      <c r="S49" s="241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41"/>
      <c r="R50" s="241"/>
      <c r="S50" s="241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41"/>
      <c r="R51" s="241"/>
      <c r="S51" s="241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50"/>
      <c r="R53" s="251"/>
      <c r="S53" s="252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53"/>
      <c r="R54" s="254"/>
      <c r="S54" s="255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256"/>
      <c r="R55" s="257"/>
      <c r="S55" s="258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41"/>
      <c r="R56" s="241"/>
      <c r="S56" s="241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36"/>
      <c r="R57" s="236"/>
      <c r="S57" s="236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36"/>
      <c r="R58" s="236"/>
      <c r="S58" s="236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41"/>
      <c r="R59" s="241"/>
      <c r="S59" s="241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41"/>
      <c r="R60" s="241"/>
      <c r="S60" s="241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41"/>
      <c r="R61" s="241"/>
      <c r="S61" s="241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263"/>
      <c r="R62" s="264"/>
      <c r="S62" s="265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266"/>
      <c r="R63" s="267"/>
      <c r="S63" s="268"/>
    </row>
    <row r="64" spans="1:19" ht="17.25" customHeight="1" thickBot="1">
      <c r="A64" s="132" t="s">
        <v>270</v>
      </c>
      <c r="B64" s="274">
        <f>$B$37</f>
        <v>100000</v>
      </c>
      <c r="C64" s="275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269"/>
      <c r="R64" s="270"/>
      <c r="S64" s="27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36"/>
      <c r="R67" s="236"/>
      <c r="S67" s="236"/>
    </row>
    <row r="68" spans="1:19" ht="17.25" thickBot="1">
      <c r="A68" s="181" t="s">
        <v>267</v>
      </c>
      <c r="B68" s="215" t="s">
        <v>49</v>
      </c>
      <c r="C68" s="217"/>
      <c r="D68" s="215" t="s">
        <v>58</v>
      </c>
      <c r="E68" s="216"/>
      <c r="F68" s="217"/>
      <c r="G68" s="242">
        <f>_xlfn.IFNA(VLOOKUP(B68, 현재가테이블!$B$2:$D$200, 2, FALSE), "-")</f>
        <v>53976000</v>
      </c>
      <c r="H68" s="243"/>
      <c r="I68" s="244"/>
      <c r="J68" s="215" t="s">
        <v>59</v>
      </c>
      <c r="K68" s="216"/>
      <c r="L68" s="217"/>
      <c r="M68" s="245">
        <f>_xlfn.IFNA(VLOOKUP(B68, 현재가테이블!$B$2:$D$200, 3, FALSE), "-")</f>
        <v>-2.1216407400000001E-2</v>
      </c>
      <c r="N68" s="246"/>
      <c r="O68" s="247"/>
      <c r="Q68" s="236"/>
      <c r="R68" s="236"/>
      <c r="S68" s="236"/>
    </row>
    <row r="69" spans="1:19" ht="17.25" thickBot="1">
      <c r="A69" s="276" t="s">
        <v>55</v>
      </c>
      <c r="B69" s="278" t="str">
        <f>TEXT($G$1, "[$-ko-KR]yyyy-mm-dd(ddd) ") &amp; "오전 00:00"</f>
        <v>2021-08-07(토) 오전 00:00</v>
      </c>
      <c r="C69" s="279"/>
      <c r="D69" s="238" t="str">
        <f>TEXT($G$1, "[$-ko-KR]yyyy-mm-dd(ddd) ") &amp; "오후 14:00"</f>
        <v>2021-08-07(토) 오후 14:00</v>
      </c>
      <c r="E69" s="239"/>
      <c r="F69" s="240"/>
      <c r="G69" s="238" t="str">
        <f>TEXT($G$1, "[$-ko-KR]yyyy-mm-dd(ddd) ") &amp; "오후 19:00"</f>
        <v>2021-08-07(토) 오후 19:00</v>
      </c>
      <c r="H69" s="239"/>
      <c r="I69" s="240"/>
      <c r="J69" s="238" t="str">
        <f>TEXT($G$1, "[$-ko-KR]yyyy-mm-dd(ddd) ") &amp; "오후 21:00"</f>
        <v>2021-08-07(토) 오후 21:00</v>
      </c>
      <c r="K69" s="239"/>
      <c r="L69" s="240"/>
      <c r="M69" s="238" t="str">
        <f>TEXT($G$1+1, "[$-ko-KR]yyyy-mm-dd(ddd) ") &amp; "오전 00:00"</f>
        <v>2021-08-08(일) 오전 00:00</v>
      </c>
      <c r="N69" s="239"/>
      <c r="O69" s="240"/>
      <c r="Q69" s="236"/>
      <c r="R69" s="236"/>
      <c r="S69" s="236"/>
    </row>
    <row r="70" spans="1:19" ht="17.25" thickBot="1">
      <c r="A70" s="27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1"/>
      <c r="R70" s="241"/>
      <c r="S70" s="241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36"/>
      <c r="R71" s="236"/>
      <c r="S71" s="236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36"/>
      <c r="R72" s="236"/>
      <c r="S72" s="236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41"/>
      <c r="R73" s="241"/>
      <c r="S73" s="241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41"/>
      <c r="R74" s="241"/>
      <c r="S74" s="241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41"/>
      <c r="R75" s="241"/>
      <c r="S75" s="241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41"/>
      <c r="R76" s="241"/>
      <c r="S76" s="241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41"/>
      <c r="R77" s="241"/>
      <c r="S77" s="241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41"/>
      <c r="R78" s="241"/>
      <c r="S78" s="241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50"/>
      <c r="R80" s="251"/>
      <c r="S80" s="252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53"/>
      <c r="R81" s="254"/>
      <c r="S81" s="255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256"/>
      <c r="R82" s="257"/>
      <c r="S82" s="258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41"/>
      <c r="R83" s="241"/>
      <c r="S83" s="241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36"/>
      <c r="R84" s="236"/>
      <c r="S84" s="236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36"/>
      <c r="R85" s="236"/>
      <c r="S85" s="236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41"/>
      <c r="R86" s="241"/>
      <c r="S86" s="241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41"/>
      <c r="R87" s="241"/>
      <c r="S87" s="241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41"/>
      <c r="R88" s="241"/>
      <c r="S88" s="241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263"/>
      <c r="R89" s="264"/>
      <c r="S89" s="265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266"/>
      <c r="R90" s="267"/>
      <c r="S90" s="268"/>
    </row>
    <row r="91" spans="1:19" ht="17.25" thickBot="1">
      <c r="A91" s="132" t="s">
        <v>270</v>
      </c>
      <c r="B91" s="274">
        <f>$B$37</f>
        <v>100000</v>
      </c>
      <c r="C91" s="275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269"/>
      <c r="R91" s="270"/>
      <c r="S91" s="27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36"/>
      <c r="R94" s="236"/>
      <c r="S94" s="236"/>
    </row>
    <row r="95" spans="1:19" ht="17.25" thickBot="1">
      <c r="A95" s="181" t="s">
        <v>267</v>
      </c>
      <c r="B95" s="215" t="s">
        <v>49</v>
      </c>
      <c r="C95" s="217"/>
      <c r="D95" s="215" t="s">
        <v>58</v>
      </c>
      <c r="E95" s="216"/>
      <c r="F95" s="217"/>
      <c r="G95" s="242">
        <f>_xlfn.IFNA(VLOOKUP(B95, 현재가테이블!$B$2:$D$200, 2, FALSE), "-")</f>
        <v>53976000</v>
      </c>
      <c r="H95" s="243"/>
      <c r="I95" s="244"/>
      <c r="J95" s="215" t="s">
        <v>59</v>
      </c>
      <c r="K95" s="216"/>
      <c r="L95" s="217"/>
      <c r="M95" s="245">
        <f>_xlfn.IFNA(VLOOKUP(B95, 현재가테이블!$B$2:$D$200, 3, FALSE), "-")</f>
        <v>-2.1216407400000001E-2</v>
      </c>
      <c r="N95" s="246"/>
      <c r="O95" s="247"/>
      <c r="Q95" s="236"/>
      <c r="R95" s="236"/>
      <c r="S95" s="236"/>
    </row>
    <row r="96" spans="1:19" ht="17.25" thickBot="1">
      <c r="A96" s="276" t="s">
        <v>55</v>
      </c>
      <c r="B96" s="278" t="str">
        <f>TEXT($G$1, "[$-ko-KR]yyyy-mm-dd(ddd) ") &amp; "오전 00:00"</f>
        <v>2021-08-07(토) 오전 00:00</v>
      </c>
      <c r="C96" s="279"/>
      <c r="D96" s="238" t="str">
        <f>TEXT($G$1, "[$-ko-KR]yyyy-mm-dd(ddd) ") &amp; "오후 14:00"</f>
        <v>2021-08-07(토) 오후 14:00</v>
      </c>
      <c r="E96" s="239"/>
      <c r="F96" s="240"/>
      <c r="G96" s="238" t="str">
        <f>TEXT($G$1, "[$-ko-KR]yyyy-mm-dd(ddd) ") &amp; "오후 19:00"</f>
        <v>2021-08-07(토) 오후 19:00</v>
      </c>
      <c r="H96" s="239"/>
      <c r="I96" s="240"/>
      <c r="J96" s="238" t="str">
        <f>TEXT($G$1, "[$-ko-KR]yyyy-mm-dd(ddd) ") &amp; "오후 21:00"</f>
        <v>2021-08-07(토) 오후 21:00</v>
      </c>
      <c r="K96" s="239"/>
      <c r="L96" s="240"/>
      <c r="M96" s="238" t="str">
        <f>TEXT($G$1+1, "[$-ko-KR]yyyy-mm-dd(ddd) ") &amp; "오전 00:00"</f>
        <v>2021-08-08(일) 오전 00:00</v>
      </c>
      <c r="N96" s="239"/>
      <c r="O96" s="240"/>
      <c r="Q96" s="236"/>
      <c r="R96" s="236"/>
      <c r="S96" s="236"/>
    </row>
    <row r="97" spans="1:19" ht="17.25" thickBot="1">
      <c r="A97" s="27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1"/>
      <c r="R97" s="241"/>
      <c r="S97" s="241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36"/>
      <c r="R98" s="236"/>
      <c r="S98" s="236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36"/>
      <c r="R99" s="236"/>
      <c r="S99" s="236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41"/>
      <c r="R100" s="241"/>
      <c r="S100" s="241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41"/>
      <c r="R101" s="241"/>
      <c r="S101" s="241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41"/>
      <c r="R102" s="241"/>
      <c r="S102" s="241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41"/>
      <c r="R103" s="241"/>
      <c r="S103" s="241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41"/>
      <c r="R104" s="241"/>
      <c r="S104" s="241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41"/>
      <c r="R105" s="241"/>
      <c r="S105" s="241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50"/>
      <c r="R107" s="251"/>
      <c r="S107" s="252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53"/>
      <c r="R108" s="254"/>
      <c r="S108" s="255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256"/>
      <c r="R109" s="257"/>
      <c r="S109" s="258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41"/>
      <c r="R110" s="241"/>
      <c r="S110" s="241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36"/>
      <c r="R111" s="236"/>
      <c r="S111" s="236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36"/>
      <c r="R112" s="236"/>
      <c r="S112" s="236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41"/>
      <c r="R113" s="241"/>
      <c r="S113" s="241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41"/>
      <c r="R114" s="241"/>
      <c r="S114" s="241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41"/>
      <c r="R115" s="241"/>
      <c r="S115" s="241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263"/>
      <c r="R116" s="264"/>
      <c r="S116" s="265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266"/>
      <c r="R117" s="267"/>
      <c r="S117" s="268"/>
    </row>
    <row r="118" spans="1:19" ht="17.25" thickBot="1">
      <c r="A118" s="132" t="s">
        <v>270</v>
      </c>
      <c r="B118" s="274">
        <f>$B$37</f>
        <v>100000</v>
      </c>
      <c r="C118" s="275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269"/>
      <c r="R118" s="270"/>
      <c r="S118" s="27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36"/>
      <c r="R121" s="236"/>
      <c r="S121" s="236"/>
    </row>
    <row r="122" spans="1:19" ht="17.25" thickBot="1">
      <c r="A122" s="181" t="s">
        <v>267</v>
      </c>
      <c r="B122" s="215" t="s">
        <v>49</v>
      </c>
      <c r="C122" s="217"/>
      <c r="D122" s="215" t="s">
        <v>58</v>
      </c>
      <c r="E122" s="216"/>
      <c r="F122" s="217"/>
      <c r="G122" s="242">
        <f>_xlfn.IFNA(VLOOKUP(B122, 현재가테이블!$B$2:$D$200, 2, FALSE), "-")</f>
        <v>53976000</v>
      </c>
      <c r="H122" s="243"/>
      <c r="I122" s="244"/>
      <c r="J122" s="215" t="s">
        <v>59</v>
      </c>
      <c r="K122" s="216"/>
      <c r="L122" s="217"/>
      <c r="M122" s="245">
        <f>_xlfn.IFNA(VLOOKUP(B122, 현재가테이블!$B$2:$D$200, 3, FALSE), "-")</f>
        <v>-2.1216407400000001E-2</v>
      </c>
      <c r="N122" s="246"/>
      <c r="O122" s="247"/>
      <c r="Q122" s="236"/>
      <c r="R122" s="236"/>
      <c r="S122" s="236"/>
    </row>
    <row r="123" spans="1:19" ht="17.25" thickBot="1">
      <c r="A123" s="276" t="s">
        <v>55</v>
      </c>
      <c r="B123" s="278" t="str">
        <f>TEXT($G$1, "[$-ko-KR]yyyy-mm-dd(ddd) ") &amp; "오전 00:00"</f>
        <v>2021-08-07(토) 오전 00:00</v>
      </c>
      <c r="C123" s="279"/>
      <c r="D123" s="238" t="str">
        <f>TEXT($G$1, "[$-ko-KR]yyyy-mm-dd(ddd) ") &amp; "오후 14:00"</f>
        <v>2021-08-07(토) 오후 14:00</v>
      </c>
      <c r="E123" s="239"/>
      <c r="F123" s="240"/>
      <c r="G123" s="238" t="str">
        <f>TEXT($G$1, "[$-ko-KR]yyyy-mm-dd(ddd) ") &amp; "오후 19:00"</f>
        <v>2021-08-07(토) 오후 19:00</v>
      </c>
      <c r="H123" s="239"/>
      <c r="I123" s="240"/>
      <c r="J123" s="238" t="str">
        <f>TEXT($G$1, "[$-ko-KR]yyyy-mm-dd(ddd) ") &amp; "오후 21:00"</f>
        <v>2021-08-07(토) 오후 21:00</v>
      </c>
      <c r="K123" s="239"/>
      <c r="L123" s="240"/>
      <c r="M123" s="238" t="str">
        <f>TEXT($G$1+1, "[$-ko-KR]yyyy-mm-dd(ddd) ") &amp; "오전 00:00"</f>
        <v>2021-08-08(일) 오전 00:00</v>
      </c>
      <c r="N123" s="239"/>
      <c r="O123" s="240"/>
      <c r="Q123" s="236"/>
      <c r="R123" s="236"/>
      <c r="S123" s="236"/>
    </row>
    <row r="124" spans="1:19" ht="17.25" thickBot="1">
      <c r="A124" s="27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1"/>
      <c r="R124" s="241"/>
      <c r="S124" s="241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36"/>
      <c r="R125" s="236"/>
      <c r="S125" s="236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36"/>
      <c r="R126" s="236"/>
      <c r="S126" s="236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41"/>
      <c r="R127" s="241"/>
      <c r="S127" s="241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41"/>
      <c r="R128" s="241"/>
      <c r="S128" s="241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41"/>
      <c r="R129" s="241"/>
      <c r="S129" s="241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41"/>
      <c r="R130" s="241"/>
      <c r="S130" s="241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41"/>
      <c r="R131" s="241"/>
      <c r="S131" s="241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41"/>
      <c r="R132" s="241"/>
      <c r="S132" s="241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50"/>
      <c r="R134" s="251"/>
      <c r="S134" s="252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53"/>
      <c r="R135" s="254"/>
      <c r="S135" s="255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256"/>
      <c r="R136" s="257"/>
      <c r="S136" s="258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41"/>
      <c r="R137" s="241"/>
      <c r="S137" s="241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36"/>
      <c r="R138" s="236"/>
      <c r="S138" s="236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36"/>
      <c r="R139" s="236"/>
      <c r="S139" s="236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41"/>
      <c r="R140" s="241"/>
      <c r="S140" s="241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41"/>
      <c r="R141" s="241"/>
      <c r="S141" s="241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41"/>
      <c r="R142" s="241"/>
      <c r="S142" s="241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263"/>
      <c r="R143" s="264"/>
      <c r="S143" s="265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266"/>
      <c r="R144" s="267"/>
      <c r="S144" s="268"/>
    </row>
    <row r="145" spans="1:19" ht="17.25" thickBot="1">
      <c r="A145" s="132" t="s">
        <v>270</v>
      </c>
      <c r="B145" s="274">
        <f>$B$37</f>
        <v>100000</v>
      </c>
      <c r="C145" s="275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269"/>
      <c r="R145" s="270"/>
      <c r="S145" s="27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36"/>
      <c r="R148" s="236"/>
      <c r="S148" s="236"/>
    </row>
    <row r="149" spans="1:19" ht="17.25" thickBot="1">
      <c r="A149" s="181" t="s">
        <v>267</v>
      </c>
      <c r="B149" s="215" t="s">
        <v>49</v>
      </c>
      <c r="C149" s="217"/>
      <c r="D149" s="215" t="s">
        <v>58</v>
      </c>
      <c r="E149" s="216"/>
      <c r="F149" s="217"/>
      <c r="G149" s="242">
        <f>_xlfn.IFNA(VLOOKUP(B149, 현재가테이블!$B$2:$D$200, 2, FALSE), "-")</f>
        <v>53976000</v>
      </c>
      <c r="H149" s="243"/>
      <c r="I149" s="244"/>
      <c r="J149" s="215" t="s">
        <v>59</v>
      </c>
      <c r="K149" s="216"/>
      <c r="L149" s="217"/>
      <c r="M149" s="245">
        <f>_xlfn.IFNA(VLOOKUP(B149, 현재가테이블!$B$2:$D$200, 3, FALSE), "-")</f>
        <v>-2.1216407400000001E-2</v>
      </c>
      <c r="N149" s="246"/>
      <c r="O149" s="247"/>
      <c r="Q149" s="236"/>
      <c r="R149" s="236"/>
      <c r="S149" s="236"/>
    </row>
    <row r="150" spans="1:19" ht="17.25" thickBot="1">
      <c r="A150" s="276" t="s">
        <v>55</v>
      </c>
      <c r="B150" s="278" t="str">
        <f>TEXT($G$1, "[$-ko-KR]yyyy-mm-dd(ddd) ") &amp; "오전 00:00"</f>
        <v>2021-08-07(토) 오전 00:00</v>
      </c>
      <c r="C150" s="279"/>
      <c r="D150" s="238" t="str">
        <f>TEXT($G$1, "[$-ko-KR]yyyy-mm-dd(ddd) ") &amp; "오후 14:00"</f>
        <v>2021-08-07(토) 오후 14:00</v>
      </c>
      <c r="E150" s="239"/>
      <c r="F150" s="240"/>
      <c r="G150" s="238" t="str">
        <f>TEXT($G$1, "[$-ko-KR]yyyy-mm-dd(ddd) ") &amp; "오후 19:00"</f>
        <v>2021-08-07(토) 오후 19:00</v>
      </c>
      <c r="H150" s="239"/>
      <c r="I150" s="240"/>
      <c r="J150" s="238" t="str">
        <f>TEXT($G$1, "[$-ko-KR]yyyy-mm-dd(ddd) ") &amp; "오후 21:00"</f>
        <v>2021-08-07(토) 오후 21:00</v>
      </c>
      <c r="K150" s="239"/>
      <c r="L150" s="240"/>
      <c r="M150" s="238" t="str">
        <f>TEXT($G$1+1, "[$-ko-KR]yyyy-mm-dd(ddd) ") &amp; "오전 00:00"</f>
        <v>2021-08-08(일) 오전 00:00</v>
      </c>
      <c r="N150" s="239"/>
      <c r="O150" s="240"/>
      <c r="Q150" s="236"/>
      <c r="R150" s="236"/>
      <c r="S150" s="236"/>
    </row>
    <row r="151" spans="1:19" ht="17.25" thickBot="1">
      <c r="A151" s="27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1"/>
      <c r="R151" s="241"/>
      <c r="S151" s="241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36"/>
      <c r="R152" s="236"/>
      <c r="S152" s="236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36"/>
      <c r="R153" s="236"/>
      <c r="S153" s="236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41"/>
      <c r="R154" s="241"/>
      <c r="S154" s="241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41"/>
      <c r="R155" s="241"/>
      <c r="S155" s="241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41"/>
      <c r="R156" s="241"/>
      <c r="S156" s="241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41"/>
      <c r="R157" s="241"/>
      <c r="S157" s="241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41"/>
      <c r="R158" s="241"/>
      <c r="S158" s="241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41"/>
      <c r="R159" s="241"/>
      <c r="S159" s="241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50"/>
      <c r="R161" s="251"/>
      <c r="S161" s="252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53"/>
      <c r="R162" s="254"/>
      <c r="S162" s="255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256"/>
      <c r="R163" s="257"/>
      <c r="S163" s="258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41"/>
      <c r="R164" s="241"/>
      <c r="S164" s="241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36"/>
      <c r="R165" s="236"/>
      <c r="S165" s="236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36"/>
      <c r="R166" s="236"/>
      <c r="S166" s="236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41"/>
      <c r="R167" s="241"/>
      <c r="S167" s="241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41"/>
      <c r="R168" s="241"/>
      <c r="S168" s="241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41"/>
      <c r="R169" s="241"/>
      <c r="S169" s="241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263"/>
      <c r="R170" s="264"/>
      <c r="S170" s="265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266"/>
      <c r="R171" s="267"/>
      <c r="S171" s="268"/>
    </row>
    <row r="172" spans="1:19" ht="17.25" thickBot="1">
      <c r="A172" s="132" t="s">
        <v>270</v>
      </c>
      <c r="B172" s="274">
        <f>$B$37</f>
        <v>100000</v>
      </c>
      <c r="C172" s="275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269"/>
      <c r="R172" s="270"/>
      <c r="S172" s="27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36"/>
      <c r="R175" s="236"/>
      <c r="S175" s="236"/>
    </row>
    <row r="176" spans="1:19" ht="17.25" thickBot="1">
      <c r="A176" s="181" t="s">
        <v>267</v>
      </c>
      <c r="B176" s="215" t="s">
        <v>49</v>
      </c>
      <c r="C176" s="217"/>
      <c r="D176" s="215" t="s">
        <v>58</v>
      </c>
      <c r="E176" s="216"/>
      <c r="F176" s="217"/>
      <c r="G176" s="242">
        <f>_xlfn.IFNA(VLOOKUP(B176, 현재가테이블!$B$2:$D$200, 2, FALSE), "-")</f>
        <v>53976000</v>
      </c>
      <c r="H176" s="243"/>
      <c r="I176" s="244"/>
      <c r="J176" s="215" t="s">
        <v>59</v>
      </c>
      <c r="K176" s="216"/>
      <c r="L176" s="217"/>
      <c r="M176" s="245">
        <f>_xlfn.IFNA(VLOOKUP(B176, 현재가테이블!$B$2:$D$200, 3, FALSE), "-")</f>
        <v>-2.1216407400000001E-2</v>
      </c>
      <c r="N176" s="246"/>
      <c r="O176" s="247"/>
      <c r="Q176" s="236"/>
      <c r="R176" s="236"/>
      <c r="S176" s="236"/>
    </row>
    <row r="177" spans="1:19" ht="17.25" thickBot="1">
      <c r="A177" s="276" t="s">
        <v>55</v>
      </c>
      <c r="B177" s="278" t="str">
        <f>TEXT($G$1, "[$-ko-KR]yyyy-mm-dd(ddd) ") &amp; "오전 00:00"</f>
        <v>2021-08-07(토) 오전 00:00</v>
      </c>
      <c r="C177" s="279"/>
      <c r="D177" s="238" t="str">
        <f>TEXT($G$1, "[$-ko-KR]yyyy-mm-dd(ddd) ") &amp; "오후 14:00"</f>
        <v>2021-08-07(토) 오후 14:00</v>
      </c>
      <c r="E177" s="239"/>
      <c r="F177" s="240"/>
      <c r="G177" s="238" t="str">
        <f>TEXT($G$1, "[$-ko-KR]yyyy-mm-dd(ddd) ") &amp; "오후 19:00"</f>
        <v>2021-08-07(토) 오후 19:00</v>
      </c>
      <c r="H177" s="239"/>
      <c r="I177" s="240"/>
      <c r="J177" s="238" t="str">
        <f>TEXT($G$1, "[$-ko-KR]yyyy-mm-dd(ddd) ") &amp; "오후 21:00"</f>
        <v>2021-08-07(토) 오후 21:00</v>
      </c>
      <c r="K177" s="239"/>
      <c r="L177" s="240"/>
      <c r="M177" s="238" t="str">
        <f>TEXT($G$1+1, "[$-ko-KR]yyyy-mm-dd(ddd) ") &amp; "오전 00:00"</f>
        <v>2021-08-08(일) 오전 00:00</v>
      </c>
      <c r="N177" s="239"/>
      <c r="O177" s="240"/>
      <c r="Q177" s="236"/>
      <c r="R177" s="236"/>
      <c r="S177" s="236"/>
    </row>
    <row r="178" spans="1:19" ht="17.25" thickBot="1">
      <c r="A178" s="27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1"/>
      <c r="R178" s="241"/>
      <c r="S178" s="241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36"/>
      <c r="R179" s="236"/>
      <c r="S179" s="236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36"/>
      <c r="R180" s="236"/>
      <c r="S180" s="236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41"/>
      <c r="R181" s="241"/>
      <c r="S181" s="241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41"/>
      <c r="R182" s="241"/>
      <c r="S182" s="241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41"/>
      <c r="R183" s="241"/>
      <c r="S183" s="241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41"/>
      <c r="R184" s="241"/>
      <c r="S184" s="241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41"/>
      <c r="R185" s="241"/>
      <c r="S185" s="241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41"/>
      <c r="R186" s="241"/>
      <c r="S186" s="241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50"/>
      <c r="R188" s="251"/>
      <c r="S188" s="252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53"/>
      <c r="R189" s="254"/>
      <c r="S189" s="255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256"/>
      <c r="R190" s="257"/>
      <c r="S190" s="258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41"/>
      <c r="R191" s="241"/>
      <c r="S191" s="241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36"/>
      <c r="R192" s="236"/>
      <c r="S192" s="236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36"/>
      <c r="R193" s="236"/>
      <c r="S193" s="236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41"/>
      <c r="R194" s="241"/>
      <c r="S194" s="241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41"/>
      <c r="R195" s="241"/>
      <c r="S195" s="241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41"/>
      <c r="R196" s="241"/>
      <c r="S196" s="241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263"/>
      <c r="R197" s="264"/>
      <c r="S197" s="265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266"/>
      <c r="R198" s="267"/>
      <c r="S198" s="268"/>
    </row>
    <row r="199" spans="1:19" ht="17.25" thickBot="1">
      <c r="A199" s="132" t="s">
        <v>270</v>
      </c>
      <c r="B199" s="274">
        <f>$B$37</f>
        <v>100000</v>
      </c>
      <c r="C199" s="275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269"/>
      <c r="R199" s="270"/>
      <c r="S199" s="27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6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6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6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5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5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5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5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5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5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5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52" priority="157">
      <formula>AND($N17 &gt; 0, ISNUMBER($N17))</formula>
    </cfRule>
    <cfRule type="expression" dxfId="1451" priority="158">
      <formula>AND($N17 = 0 * ISNUMBER($N17))</formula>
    </cfRule>
    <cfRule type="expression" dxfId="1450" priority="159">
      <formula>AND($N17 &lt; 0, ISNUMBER($N17))</formula>
    </cfRule>
  </conditionalFormatting>
  <conditionalFormatting sqref="A17:F36">
    <cfRule type="expression" dxfId="1449" priority="166">
      <formula>AND($E17 &gt; 0, ISNUMBER($E17))</formula>
    </cfRule>
    <cfRule type="expression" dxfId="1448" priority="167">
      <formula>AND($E17 = 0 * ISNUMBER($E17))</formula>
    </cfRule>
    <cfRule type="expression" dxfId="1447" priority="168">
      <formula>AND($E17 &lt; 0, ISNUMBER($E17))</formula>
    </cfRule>
  </conditionalFormatting>
  <conditionalFormatting sqref="A17:C36 G17:I36">
    <cfRule type="expression" dxfId="1446" priority="163">
      <formula>AND($H17 &gt; 0, ISNUMBER($H17))</formula>
    </cfRule>
    <cfRule type="expression" dxfId="1445" priority="164">
      <formula>AND($H17 = 0 * ISNUMBER($H17))</formula>
    </cfRule>
    <cfRule type="expression" dxfId="1444" priority="165">
      <formula>AND($H17 &lt; 0, ISNUMBER($H17))</formula>
    </cfRule>
  </conditionalFormatting>
  <conditionalFormatting sqref="A17:C36 J17:L36">
    <cfRule type="expression" dxfId="1443" priority="160">
      <formula>AND($K17 &gt; 0, ISNUMBER($K17))</formula>
    </cfRule>
    <cfRule type="expression" dxfId="1442" priority="161">
      <formula>AND($K17 = 0 * ISNUMBER($K17))</formula>
    </cfRule>
    <cfRule type="expression" dxfId="1441" priority="162">
      <formula>AND($K17 &lt; 0, ISNUMBER($K17))</formula>
    </cfRule>
  </conditionalFormatting>
  <conditionalFormatting sqref="D15:F16 E37:F37">
    <cfRule type="expression" dxfId="1440" priority="154">
      <formula>$E$37 &gt; 0</formula>
    </cfRule>
    <cfRule type="expression" dxfId="1439" priority="155">
      <formula>$E$37 = 0</formula>
    </cfRule>
    <cfRule type="expression" dxfId="1438" priority="156">
      <formula>$E$37 &lt; 0</formula>
    </cfRule>
  </conditionalFormatting>
  <conditionalFormatting sqref="G15:I16 H37:I37">
    <cfRule type="expression" dxfId="1437" priority="151">
      <formula>$H$37 &gt; 0</formula>
    </cfRule>
    <cfRule type="expression" dxfId="1436" priority="152">
      <formula>$H$37 = 0</formula>
    </cfRule>
    <cfRule type="expression" dxfId="1435" priority="153">
      <formula>$H$37 &lt; 0</formula>
    </cfRule>
  </conditionalFormatting>
  <conditionalFormatting sqref="J15:L16 K37:L37">
    <cfRule type="expression" dxfId="1434" priority="148">
      <formula>$K$37 &gt; 0</formula>
    </cfRule>
    <cfRule type="expression" dxfId="1433" priority="149">
      <formula>$K$37 = 0</formula>
    </cfRule>
    <cfRule type="expression" dxfId="1432" priority="150">
      <formula>$K$37 &lt; 0</formula>
    </cfRule>
  </conditionalFormatting>
  <conditionalFormatting sqref="M15:O16 N37:O37">
    <cfRule type="expression" dxfId="1431" priority="145">
      <formula>$N$37 &gt; 0</formula>
    </cfRule>
    <cfRule type="expression" dxfId="1430" priority="146">
      <formula>$N$37 = 0</formula>
    </cfRule>
    <cfRule type="expression" dxfId="1429" priority="147">
      <formula>$N$37 &lt; 0</formula>
    </cfRule>
  </conditionalFormatting>
  <conditionalFormatting sqref="A44:C63 M44:O63">
    <cfRule type="expression" dxfId="1428" priority="133">
      <formula>AND($N44 &gt; 0, ISNUMBER($N44))</formula>
    </cfRule>
    <cfRule type="expression" dxfId="1427" priority="134">
      <formula>AND($N44 = 0 * ISNUMBER($N44))</formula>
    </cfRule>
    <cfRule type="expression" dxfId="1426" priority="135">
      <formula>AND($N44 &lt; 0, ISNUMBER($N44))</formula>
    </cfRule>
  </conditionalFormatting>
  <conditionalFormatting sqref="A44:F63">
    <cfRule type="expression" dxfId="1425" priority="142">
      <formula>AND($E44 &gt; 0, ISNUMBER($E44))</formula>
    </cfRule>
    <cfRule type="expression" dxfId="1424" priority="143">
      <formula>AND($E44 = 0 * ISNUMBER($E44))</formula>
    </cfRule>
    <cfRule type="expression" dxfId="1423" priority="144">
      <formula>AND($E44 &lt; 0, ISNUMBER($E44))</formula>
    </cfRule>
  </conditionalFormatting>
  <conditionalFormatting sqref="A44:C63 G44:I63">
    <cfRule type="expression" dxfId="1422" priority="139">
      <formula>AND($H44 &gt; 0, ISNUMBER($H44))</formula>
    </cfRule>
    <cfRule type="expression" dxfId="1421" priority="140">
      <formula>AND($H44 = 0 * ISNUMBER($H44))</formula>
    </cfRule>
    <cfRule type="expression" dxfId="1420" priority="141">
      <formula>AND($H44 &lt; 0, ISNUMBER($H44))</formula>
    </cfRule>
  </conditionalFormatting>
  <conditionalFormatting sqref="A44:C63 J44:L63">
    <cfRule type="expression" dxfId="1419" priority="136">
      <formula>AND($K44 &gt; 0, ISNUMBER($K44))</formula>
    </cfRule>
    <cfRule type="expression" dxfId="1418" priority="137">
      <formula>AND($K44 = 0 * ISNUMBER($K44))</formula>
    </cfRule>
    <cfRule type="expression" dxfId="1417" priority="138">
      <formula>AND($K44 &lt; 0, ISNUMBER($K44))</formula>
    </cfRule>
  </conditionalFormatting>
  <conditionalFormatting sqref="D42:F43 E64:F64">
    <cfRule type="expression" dxfId="1416" priority="130">
      <formula>$E$64 &gt; 0</formula>
    </cfRule>
    <cfRule type="expression" dxfId="1415" priority="131">
      <formula>$E$64 = 0</formula>
    </cfRule>
    <cfRule type="expression" dxfId="1414" priority="132">
      <formula>$E$64 &lt; 0</formula>
    </cfRule>
  </conditionalFormatting>
  <conditionalFormatting sqref="G42:I43 H64:I64">
    <cfRule type="expression" dxfId="1413" priority="127">
      <formula>$H$64 &gt; 0</formula>
    </cfRule>
    <cfRule type="expression" dxfId="1412" priority="128">
      <formula>$H$64 = 0</formula>
    </cfRule>
    <cfRule type="expression" dxfId="1411" priority="129">
      <formula>$H$64 &lt; 0</formula>
    </cfRule>
  </conditionalFormatting>
  <conditionalFormatting sqref="J42:L43 K64:L64">
    <cfRule type="expression" dxfId="1410" priority="124">
      <formula>$K$64 &gt; 0</formula>
    </cfRule>
    <cfRule type="expression" dxfId="1409" priority="125">
      <formula>$K$64 = 0</formula>
    </cfRule>
    <cfRule type="expression" dxfId="1408" priority="126">
      <formula>$K$64 &lt; 0</formula>
    </cfRule>
  </conditionalFormatting>
  <conditionalFormatting sqref="M42:O43 N64:O64">
    <cfRule type="expression" dxfId="1407" priority="121">
      <formula>$N$64 &gt; 0</formula>
    </cfRule>
    <cfRule type="expression" dxfId="1406" priority="122">
      <formula>$N$64 = 0</formula>
    </cfRule>
    <cfRule type="expression" dxfId="1405" priority="123">
      <formula>$N$64 &lt; 0</formula>
    </cfRule>
  </conditionalFormatting>
  <conditionalFormatting sqref="A71:C90 M71:O90">
    <cfRule type="expression" dxfId="1404" priority="109">
      <formula>AND($N71 &gt; 0, ISNUMBER($N71))</formula>
    </cfRule>
    <cfRule type="expression" dxfId="1403" priority="110">
      <formula>AND($N71 = 0 * ISNUMBER($N71))</formula>
    </cfRule>
    <cfRule type="expression" dxfId="1402" priority="111">
      <formula>AND($N71 &lt; 0, ISNUMBER($N71))</formula>
    </cfRule>
  </conditionalFormatting>
  <conditionalFormatting sqref="A71:F90">
    <cfRule type="expression" dxfId="1401" priority="118">
      <formula>AND($E71 &gt; 0, ISNUMBER($E71))</formula>
    </cfRule>
    <cfRule type="expression" dxfId="1400" priority="119">
      <formula>AND($E71 = 0 * ISNUMBER($E71))</formula>
    </cfRule>
    <cfRule type="expression" dxfId="1399" priority="120">
      <formula>AND($E71 &lt; 0, ISNUMBER($E71))</formula>
    </cfRule>
  </conditionalFormatting>
  <conditionalFormatting sqref="A71:C90 G71:I90">
    <cfRule type="expression" dxfId="1398" priority="115">
      <formula>AND($H71 &gt; 0, ISNUMBER($H71))</formula>
    </cfRule>
    <cfRule type="expression" dxfId="1397" priority="116">
      <formula>AND($H71 = 0 * ISNUMBER($H71))</formula>
    </cfRule>
    <cfRule type="expression" dxfId="1396" priority="117">
      <formula>AND($H71 &lt; 0, ISNUMBER($H71))</formula>
    </cfRule>
  </conditionalFormatting>
  <conditionalFormatting sqref="A71:C90 J71:L90">
    <cfRule type="expression" dxfId="1395" priority="112">
      <formula>AND($K71 &gt; 0, ISNUMBER($K71))</formula>
    </cfRule>
    <cfRule type="expression" dxfId="1394" priority="113">
      <formula>AND($K71 = 0 * ISNUMBER($K71))</formula>
    </cfRule>
    <cfRule type="expression" dxfId="1393" priority="114">
      <formula>AND($K71 &lt; 0, ISNUMBER($K71))</formula>
    </cfRule>
  </conditionalFormatting>
  <conditionalFormatting sqref="D69:F70 E91:F91">
    <cfRule type="expression" dxfId="1392" priority="106">
      <formula>$E$91 &gt; 0</formula>
    </cfRule>
    <cfRule type="expression" dxfId="1391" priority="107">
      <formula>$E$91 = 0</formula>
    </cfRule>
    <cfRule type="expression" dxfId="1390" priority="108">
      <formula>$E$91 &lt; 0</formula>
    </cfRule>
  </conditionalFormatting>
  <conditionalFormatting sqref="G69:I70 H91:I91">
    <cfRule type="expression" dxfId="1389" priority="103">
      <formula>$H$91 &gt; 0</formula>
    </cfRule>
    <cfRule type="expression" dxfId="1388" priority="104">
      <formula>$H$91 = 0</formula>
    </cfRule>
    <cfRule type="expression" dxfId="1387" priority="105">
      <formula>$H$91 &lt; 0</formula>
    </cfRule>
  </conditionalFormatting>
  <conditionalFormatting sqref="J69:L70 K91:L91">
    <cfRule type="expression" dxfId="1386" priority="100">
      <formula>$K$91 &gt; 0</formula>
    </cfRule>
    <cfRule type="expression" dxfId="1385" priority="101">
      <formula>$K$91 = 0</formula>
    </cfRule>
    <cfRule type="expression" dxfId="1384" priority="102">
      <formula>$K$91 &lt; 0</formula>
    </cfRule>
  </conditionalFormatting>
  <conditionalFormatting sqref="M69:O70 N91:O91">
    <cfRule type="expression" dxfId="1383" priority="97">
      <formula>$N$91 &gt; 0</formula>
    </cfRule>
    <cfRule type="expression" dxfId="1382" priority="98">
      <formula>$N$91 = 0</formula>
    </cfRule>
    <cfRule type="expression" dxfId="1381" priority="99">
      <formula>$N$91 &lt; 0</formula>
    </cfRule>
  </conditionalFormatting>
  <conditionalFormatting sqref="A98:C117 M98:O117">
    <cfRule type="expression" dxfId="1380" priority="85">
      <formula>AND($N98 &gt; 0, ISNUMBER($N98))</formula>
    </cfRule>
    <cfRule type="expression" dxfId="1379" priority="86">
      <formula>AND($N98 = 0 * ISNUMBER($N98))</formula>
    </cfRule>
    <cfRule type="expression" dxfId="1378" priority="87">
      <formula>AND($N98 &lt; 0, ISNUMBER($N98))</formula>
    </cfRule>
  </conditionalFormatting>
  <conditionalFormatting sqref="A98:F117">
    <cfRule type="expression" dxfId="1377" priority="94">
      <formula>AND($E98 &gt; 0, ISNUMBER($E98))</formula>
    </cfRule>
    <cfRule type="expression" dxfId="1376" priority="95">
      <formula>AND($E98 = 0 * ISNUMBER($E98))</formula>
    </cfRule>
    <cfRule type="expression" dxfId="1375" priority="96">
      <formula>AND($E98 &lt; 0, ISNUMBER($E98))</formula>
    </cfRule>
  </conditionalFormatting>
  <conditionalFormatting sqref="A98:C117 G98:I117">
    <cfRule type="expression" dxfId="1374" priority="91">
      <formula>AND($H98 &gt; 0, ISNUMBER($H98))</formula>
    </cfRule>
    <cfRule type="expression" dxfId="1373" priority="92">
      <formula>AND($H98 = 0 * ISNUMBER($H98))</formula>
    </cfRule>
    <cfRule type="expression" dxfId="1372" priority="93">
      <formula>AND($H98 &lt; 0, ISNUMBER($H98))</formula>
    </cfRule>
  </conditionalFormatting>
  <conditionalFormatting sqref="A98:C117 J98:L117">
    <cfRule type="expression" dxfId="1371" priority="88">
      <formula>AND($K98 &gt; 0, ISNUMBER($K98))</formula>
    </cfRule>
    <cfRule type="expression" dxfId="1370" priority="89">
      <formula>AND($K98 = 0 * ISNUMBER($K98))</formula>
    </cfRule>
    <cfRule type="expression" dxfId="1369" priority="90">
      <formula>AND($K98 &lt; 0, ISNUMBER($K98))</formula>
    </cfRule>
  </conditionalFormatting>
  <conditionalFormatting sqref="D96:F97 E118:F118">
    <cfRule type="expression" dxfId="1368" priority="82">
      <formula>$E$118 &gt; 0</formula>
    </cfRule>
    <cfRule type="expression" dxfId="1367" priority="83">
      <formula>$E$118 = 0</formula>
    </cfRule>
    <cfRule type="expression" dxfId="1366" priority="84">
      <formula>$E$118 &lt; 0</formula>
    </cfRule>
  </conditionalFormatting>
  <conditionalFormatting sqref="G96:I97 H118:I118">
    <cfRule type="expression" dxfId="1365" priority="79">
      <formula>$H$118 &gt; 0</formula>
    </cfRule>
    <cfRule type="expression" dxfId="1364" priority="80">
      <formula>$H$118 = 0</formula>
    </cfRule>
    <cfRule type="expression" dxfId="1363" priority="81">
      <formula>$H$118 &lt; 0</formula>
    </cfRule>
  </conditionalFormatting>
  <conditionalFormatting sqref="J96:L97 K118:L118">
    <cfRule type="expression" dxfId="1362" priority="76">
      <formula>$K$118 &gt; 0</formula>
    </cfRule>
    <cfRule type="expression" dxfId="1361" priority="77">
      <formula>$K$118 = 0</formula>
    </cfRule>
    <cfRule type="expression" dxfId="1360" priority="78">
      <formula>$K$118 &lt; 0</formula>
    </cfRule>
  </conditionalFormatting>
  <conditionalFormatting sqref="M96:O97 N118:O118">
    <cfRule type="expression" dxfId="1359" priority="73">
      <formula>$N$118 &gt; 0</formula>
    </cfRule>
    <cfRule type="expression" dxfId="1358" priority="74">
      <formula>$N$118 = 0</formula>
    </cfRule>
    <cfRule type="expression" dxfId="1357" priority="75">
      <formula>$N$118 &lt; 0</formula>
    </cfRule>
  </conditionalFormatting>
  <conditionalFormatting sqref="A125:C144 M125:O144">
    <cfRule type="expression" dxfId="1356" priority="61">
      <formula>AND($N125 &gt; 0, ISNUMBER($N125))</formula>
    </cfRule>
    <cfRule type="expression" dxfId="1355" priority="62">
      <formula>AND($N125 = 0 * ISNUMBER($N125))</formula>
    </cfRule>
    <cfRule type="expression" dxfId="1354" priority="63">
      <formula>AND($N125 &lt; 0, ISNUMBER($N125))</formula>
    </cfRule>
  </conditionalFormatting>
  <conditionalFormatting sqref="A125:F144">
    <cfRule type="expression" dxfId="1353" priority="70">
      <formula>AND($E125 &gt; 0, ISNUMBER($E125))</formula>
    </cfRule>
    <cfRule type="expression" dxfId="1352" priority="71">
      <formula>AND($E125 = 0 * ISNUMBER($E125))</formula>
    </cfRule>
    <cfRule type="expression" dxfId="1351" priority="72">
      <formula>AND($E125 &lt; 0, ISNUMBER($E125))</formula>
    </cfRule>
  </conditionalFormatting>
  <conditionalFormatting sqref="A125:C144 G125:I144">
    <cfRule type="expression" dxfId="1350" priority="67">
      <formula>AND($H125 &gt; 0, ISNUMBER($H125))</formula>
    </cfRule>
    <cfRule type="expression" dxfId="1349" priority="68">
      <formula>AND($H125 = 0 * ISNUMBER($H125))</formula>
    </cfRule>
    <cfRule type="expression" dxfId="1348" priority="69">
      <formula>AND($H125 &lt; 0, ISNUMBER($H125))</formula>
    </cfRule>
  </conditionalFormatting>
  <conditionalFormatting sqref="A125:C144 J125:L144">
    <cfRule type="expression" dxfId="1347" priority="64">
      <formula>AND($K125 &gt; 0, ISNUMBER($K125))</formula>
    </cfRule>
    <cfRule type="expression" dxfId="1346" priority="65">
      <formula>AND($K125 = 0 * ISNUMBER($K125))</formula>
    </cfRule>
    <cfRule type="expression" dxfId="1345" priority="66">
      <formula>AND($K125 &lt; 0, ISNUMBER($K125))</formula>
    </cfRule>
  </conditionalFormatting>
  <conditionalFormatting sqref="D123:F124 E145:F145">
    <cfRule type="expression" dxfId="1344" priority="58">
      <formula>$E$145 &gt; 0</formula>
    </cfRule>
    <cfRule type="expression" dxfId="1343" priority="59">
      <formula>$E$145 = 0</formula>
    </cfRule>
    <cfRule type="expression" dxfId="1342" priority="60">
      <formula>$E$145 &lt; 0</formula>
    </cfRule>
  </conditionalFormatting>
  <conditionalFormatting sqref="G123:I124 H145:I145">
    <cfRule type="expression" dxfId="1341" priority="55">
      <formula>$H$145 &gt; 0</formula>
    </cfRule>
    <cfRule type="expression" dxfId="1340" priority="56">
      <formula>$H$145 = 0</formula>
    </cfRule>
    <cfRule type="expression" dxfId="1339" priority="57">
      <formula>$H$145 &lt; 0</formula>
    </cfRule>
  </conditionalFormatting>
  <conditionalFormatting sqref="J123:L124 K145:L145">
    <cfRule type="expression" dxfId="1338" priority="52">
      <formula>$K$145 &gt; 0</formula>
    </cfRule>
    <cfRule type="expression" dxfId="1337" priority="53">
      <formula>$K$145 = 0</formula>
    </cfRule>
    <cfRule type="expression" dxfId="1336" priority="54">
      <formula>$K$145 &lt; 0</formula>
    </cfRule>
  </conditionalFormatting>
  <conditionalFormatting sqref="M123:O124 N145:O145">
    <cfRule type="expression" dxfId="1335" priority="49">
      <formula>$N$145 &gt; 0</formula>
    </cfRule>
    <cfRule type="expression" dxfId="1334" priority="50">
      <formula>$N$145 = 0</formula>
    </cfRule>
    <cfRule type="expression" dxfId="1333" priority="51">
      <formula>$N$145 &lt; 0</formula>
    </cfRule>
  </conditionalFormatting>
  <conditionalFormatting sqref="A152:C171 M152:O171">
    <cfRule type="expression" dxfId="1332" priority="37">
      <formula>AND($N152 &gt; 0, ISNUMBER($N152))</formula>
    </cfRule>
    <cfRule type="expression" dxfId="1331" priority="38">
      <formula>AND($N152 = 0 * ISNUMBER($N152))</formula>
    </cfRule>
    <cfRule type="expression" dxfId="1330" priority="39">
      <formula>AND($N152 &lt; 0, ISNUMBER($N152))</formula>
    </cfRule>
  </conditionalFormatting>
  <conditionalFormatting sqref="A152:F171">
    <cfRule type="expression" dxfId="1329" priority="46">
      <formula>AND($E152 &gt; 0, ISNUMBER($E152))</formula>
    </cfRule>
    <cfRule type="expression" dxfId="1328" priority="47">
      <formula>AND($E152 = 0 * ISNUMBER($E152))</formula>
    </cfRule>
    <cfRule type="expression" dxfId="1327" priority="48">
      <formula>AND($E152 &lt; 0, ISNUMBER($E152))</formula>
    </cfRule>
  </conditionalFormatting>
  <conditionalFormatting sqref="A152:C171 G152:I171">
    <cfRule type="expression" dxfId="1326" priority="43">
      <formula>AND($H152 &gt; 0, ISNUMBER($H152))</formula>
    </cfRule>
    <cfRule type="expression" dxfId="1325" priority="44">
      <formula>AND($H152 = 0 * ISNUMBER($H152))</formula>
    </cfRule>
    <cfRule type="expression" dxfId="1324" priority="45">
      <formula>AND($H152 &lt; 0, ISNUMBER($H152))</formula>
    </cfRule>
  </conditionalFormatting>
  <conditionalFormatting sqref="A152:C171 J152:L171">
    <cfRule type="expression" dxfId="1323" priority="40">
      <formula>AND($K152 &gt; 0, ISNUMBER($K152))</formula>
    </cfRule>
    <cfRule type="expression" dxfId="1322" priority="41">
      <formula>AND($K152 = 0 * ISNUMBER($K152))</formula>
    </cfRule>
    <cfRule type="expression" dxfId="1321" priority="42">
      <formula>AND($K152 &lt; 0, ISNUMBER($K152))</formula>
    </cfRule>
  </conditionalFormatting>
  <conditionalFormatting sqref="D150:F151 E172:F172">
    <cfRule type="expression" dxfId="1320" priority="34">
      <formula>$E$172 &gt; 0</formula>
    </cfRule>
    <cfRule type="expression" dxfId="1319" priority="35">
      <formula>$E$172 = 0</formula>
    </cfRule>
    <cfRule type="expression" dxfId="1318" priority="36">
      <formula>$E$172 &lt; 0</formula>
    </cfRule>
  </conditionalFormatting>
  <conditionalFormatting sqref="G150:I151 H172:I172">
    <cfRule type="expression" dxfId="1317" priority="31">
      <formula>$H$172 &gt; 0</formula>
    </cfRule>
    <cfRule type="expression" dxfId="1316" priority="32">
      <formula>$H$172 = 0</formula>
    </cfRule>
    <cfRule type="expression" dxfId="1315" priority="33">
      <formula>$H$172 &lt; 0</formula>
    </cfRule>
  </conditionalFormatting>
  <conditionalFormatting sqref="J150:L151 K172:L172">
    <cfRule type="expression" dxfId="1314" priority="28">
      <formula>$K$172 &gt; 0</formula>
    </cfRule>
    <cfRule type="expression" dxfId="1313" priority="29">
      <formula>$K$172 = 0</formula>
    </cfRule>
    <cfRule type="expression" dxfId="1312" priority="30">
      <formula>$K$172 &lt; 0</formula>
    </cfRule>
  </conditionalFormatting>
  <conditionalFormatting sqref="M150:O151 N172:O172">
    <cfRule type="expression" dxfId="1311" priority="25">
      <formula>$N$172 &gt; 0</formula>
    </cfRule>
    <cfRule type="expression" dxfId="1310" priority="26">
      <formula>$N$172 = 0</formula>
    </cfRule>
    <cfRule type="expression" dxfId="1309" priority="27">
      <formula>$N$172 &lt; 0</formula>
    </cfRule>
  </conditionalFormatting>
  <conditionalFormatting sqref="A179:C198 M179:O198">
    <cfRule type="expression" dxfId="1308" priority="13">
      <formula>AND($N179 &gt; 0, ISNUMBER($N179))</formula>
    </cfRule>
    <cfRule type="expression" dxfId="1307" priority="14">
      <formula>AND($N179 = 0 * ISNUMBER($N179))</formula>
    </cfRule>
    <cfRule type="expression" dxfId="1306" priority="15">
      <formula>AND($N179 &lt; 0, ISNUMBER($N179))</formula>
    </cfRule>
  </conditionalFormatting>
  <conditionalFormatting sqref="A179:F198">
    <cfRule type="expression" dxfId="1305" priority="22">
      <formula>AND($E179 &gt; 0, ISNUMBER($E179))</formula>
    </cfRule>
    <cfRule type="expression" dxfId="1304" priority="23">
      <formula>AND($E179 = 0 * ISNUMBER($E179))</formula>
    </cfRule>
    <cfRule type="expression" dxfId="1303" priority="24">
      <formula>AND($E179 &lt; 0, ISNUMBER($E179))</formula>
    </cfRule>
  </conditionalFormatting>
  <conditionalFormatting sqref="A179:C198 G179:I198">
    <cfRule type="expression" dxfId="1302" priority="19">
      <formula>AND($H179 &gt; 0, ISNUMBER($H179))</formula>
    </cfRule>
    <cfRule type="expression" dxfId="1301" priority="20">
      <formula>AND($H179 = 0 * ISNUMBER($H179))</formula>
    </cfRule>
    <cfRule type="expression" dxfId="1300" priority="21">
      <formula>AND($H179 &lt; 0, ISNUMBER($H179))</formula>
    </cfRule>
  </conditionalFormatting>
  <conditionalFormatting sqref="A179:C198 J179:L198">
    <cfRule type="expression" dxfId="1299" priority="16">
      <formula>AND($K179 &gt; 0, ISNUMBER($K179))</formula>
    </cfRule>
    <cfRule type="expression" dxfId="1298" priority="17">
      <formula>AND($K179 = 0 * ISNUMBER($K179))</formula>
    </cfRule>
    <cfRule type="expression" dxfId="1297" priority="18">
      <formula>AND($K179 &lt; 0, ISNUMBER($K179))</formula>
    </cfRule>
  </conditionalFormatting>
  <conditionalFormatting sqref="D177:F178 E199:F199">
    <cfRule type="expression" dxfId="1296" priority="10">
      <formula>$E$199 &gt; 0</formula>
    </cfRule>
    <cfRule type="expression" dxfId="1295" priority="11">
      <formula>$E$199 = 0</formula>
    </cfRule>
    <cfRule type="expression" dxfId="1294" priority="12">
      <formula>$E$199 &lt; 0</formula>
    </cfRule>
  </conditionalFormatting>
  <conditionalFormatting sqref="G177:I178 H199:I199">
    <cfRule type="expression" dxfId="1293" priority="7">
      <formula>$H$199 &gt; 0</formula>
    </cfRule>
    <cfRule type="expression" dxfId="1292" priority="8">
      <formula>$H$199 = 0</formula>
    </cfRule>
    <cfRule type="expression" dxfId="1291" priority="9">
      <formula>$H$199 &lt; 0</formula>
    </cfRule>
  </conditionalFormatting>
  <conditionalFormatting sqref="J177:L178 K199:L199">
    <cfRule type="expression" dxfId="1290" priority="4">
      <formula>$K$199 &gt; 0</formula>
    </cfRule>
    <cfRule type="expression" dxfId="1289" priority="5">
      <formula>$K$199 = 0</formula>
    </cfRule>
    <cfRule type="expression" dxfId="1288" priority="6">
      <formula>$K$199 &lt; 0</formula>
    </cfRule>
  </conditionalFormatting>
  <conditionalFormatting sqref="M177:O178 N199:O199">
    <cfRule type="expression" dxfId="1287" priority="1">
      <formula>$N$199 &gt; 0</formula>
    </cfRule>
    <cfRule type="expression" dxfId="1286" priority="2">
      <formula>$N$199 = 0</formula>
    </cfRule>
    <cfRule type="expression" dxfId="128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18">
        <v>44416</v>
      </c>
      <c r="H1" s="219"/>
      <c r="I1" s="220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24" t="s">
        <v>46</v>
      </c>
      <c r="H2" s="225"/>
      <c r="I2" s="226"/>
      <c r="J2" s="1" t="s">
        <v>3</v>
      </c>
      <c r="K2" s="221" t="s">
        <v>320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27" t="s">
        <v>328</v>
      </c>
      <c r="C3" s="228"/>
      <c r="D3" s="228"/>
      <c r="E3" s="228"/>
      <c r="F3" s="229"/>
      <c r="G3" s="23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31"/>
      <c r="I3" s="232"/>
      <c r="J3" s="4" t="s">
        <v>7</v>
      </c>
      <c r="K3" s="227" t="s">
        <v>321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7" t="s">
        <v>16</v>
      </c>
      <c r="C4" s="228"/>
      <c r="D4" s="228"/>
      <c r="E4" s="228"/>
      <c r="F4" s="229"/>
      <c r="G4" s="224" t="s">
        <v>44</v>
      </c>
      <c r="H4" s="225"/>
      <c r="I4" s="226"/>
      <c r="J4" s="4" t="s">
        <v>11</v>
      </c>
      <c r="K4" s="227" t="s">
        <v>322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7" t="s">
        <v>319</v>
      </c>
      <c r="C5" s="228"/>
      <c r="D5" s="228"/>
      <c r="E5" s="228"/>
      <c r="F5" s="229"/>
      <c r="G5" s="23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31"/>
      <c r="I5" s="232"/>
      <c r="J5" s="4" t="s">
        <v>15</v>
      </c>
      <c r="K5" s="227" t="s">
        <v>323</v>
      </c>
      <c r="L5" s="228"/>
      <c r="M5" s="228"/>
      <c r="N5" s="228"/>
      <c r="O5" s="229"/>
    </row>
    <row r="6" spans="1:19">
      <c r="A6" s="118" t="s">
        <v>18</v>
      </c>
      <c r="B6" s="227"/>
      <c r="C6" s="228"/>
      <c r="D6" s="228"/>
      <c r="E6" s="228"/>
      <c r="F6" s="229"/>
      <c r="G6" s="224" t="s">
        <v>45</v>
      </c>
      <c r="H6" s="225"/>
      <c r="I6" s="226"/>
      <c r="J6" s="4" t="s">
        <v>18</v>
      </c>
      <c r="K6" s="227" t="s">
        <v>324</v>
      </c>
      <c r="L6" s="228"/>
      <c r="M6" s="228"/>
      <c r="N6" s="228"/>
      <c r="O6" s="229"/>
    </row>
    <row r="7" spans="1:19" ht="17.25" thickBot="1">
      <c r="A7" s="118" t="s">
        <v>21</v>
      </c>
      <c r="B7" s="227"/>
      <c r="C7" s="228"/>
      <c r="D7" s="228"/>
      <c r="E7" s="228"/>
      <c r="F7" s="229"/>
      <c r="G7" s="23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31"/>
      <c r="I7" s="232"/>
      <c r="J7" s="4" t="s">
        <v>21</v>
      </c>
      <c r="K7" s="227" t="s">
        <v>325</v>
      </c>
      <c r="L7" s="228"/>
      <c r="M7" s="228"/>
      <c r="N7" s="228"/>
      <c r="O7" s="229"/>
    </row>
    <row r="8" spans="1:19" ht="17.25" thickBot="1">
      <c r="A8" s="118" t="s">
        <v>24</v>
      </c>
      <c r="B8" s="227"/>
      <c r="C8" s="228"/>
      <c r="D8" s="228"/>
      <c r="E8" s="228"/>
      <c r="F8" s="229"/>
      <c r="G8" s="224" t="s">
        <v>255</v>
      </c>
      <c r="H8" s="225"/>
      <c r="I8" s="226"/>
      <c r="J8" s="4" t="s">
        <v>24</v>
      </c>
      <c r="K8" s="227"/>
      <c r="L8" s="228"/>
      <c r="M8" s="228"/>
      <c r="N8" s="228"/>
      <c r="O8" s="229"/>
      <c r="Q8" s="215" t="s">
        <v>27</v>
      </c>
      <c r="R8" s="217"/>
    </row>
    <row r="9" spans="1:19" ht="17.25" thickBot="1">
      <c r="A9" s="118" t="s">
        <v>28</v>
      </c>
      <c r="B9" s="227"/>
      <c r="C9" s="228"/>
      <c r="D9" s="228"/>
      <c r="E9" s="228"/>
      <c r="F9" s="229"/>
      <c r="G9" s="23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31"/>
      <c r="I9" s="232"/>
      <c r="J9" s="4" t="s">
        <v>28</v>
      </c>
      <c r="K9" s="227"/>
      <c r="L9" s="228"/>
      <c r="M9" s="228"/>
      <c r="N9" s="228"/>
      <c r="O9" s="229"/>
      <c r="Q9" s="2" t="s">
        <v>29</v>
      </c>
      <c r="R9" s="6">
        <v>10</v>
      </c>
    </row>
    <row r="10" spans="1:19">
      <c r="A10" s="118" t="s">
        <v>30</v>
      </c>
      <c r="B10" s="227"/>
      <c r="C10" s="228"/>
      <c r="D10" s="228"/>
      <c r="E10" s="228"/>
      <c r="F10" s="229"/>
      <c r="G10" s="224" t="s">
        <v>47</v>
      </c>
      <c r="H10" s="225"/>
      <c r="I10" s="226"/>
      <c r="J10" s="4" t="s">
        <v>30</v>
      </c>
      <c r="K10" s="227" t="s">
        <v>326</v>
      </c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1"/>
      <c r="I11" s="232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36"/>
      <c r="R13" s="236"/>
      <c r="S13" s="236"/>
    </row>
    <row r="14" spans="1:19" ht="17.25" customHeight="1" thickBot="1">
      <c r="A14" s="185" t="s">
        <v>35</v>
      </c>
      <c r="B14" s="215" t="s">
        <v>36</v>
      </c>
      <c r="C14" s="217"/>
      <c r="D14" s="215" t="s">
        <v>37</v>
      </c>
      <c r="E14" s="216"/>
      <c r="F14" s="217"/>
      <c r="G14" s="242">
        <f>_xlfn.IFNA(VLOOKUP(B14, 현재가테이블!$B$2:$D$200, 2, FALSE), "-")</f>
        <v>53976000</v>
      </c>
      <c r="H14" s="243"/>
      <c r="I14" s="244"/>
      <c r="J14" s="215" t="s">
        <v>38</v>
      </c>
      <c r="K14" s="216"/>
      <c r="L14" s="217"/>
      <c r="M14" s="245">
        <f>_xlfn.IFNA(VLOOKUP(B14, 현재가테이블!$B$2:$D$200, 3, FALSE), "-")</f>
        <v>-2.1216407400000001E-2</v>
      </c>
      <c r="N14" s="246"/>
      <c r="O14" s="247"/>
      <c r="Q14" s="236"/>
      <c r="R14" s="236"/>
      <c r="S14" s="236"/>
    </row>
    <row r="15" spans="1:19" ht="17.25" customHeight="1" thickBot="1">
      <c r="A15" s="280" t="s">
        <v>39</v>
      </c>
      <c r="B15" s="281" t="str">
        <f>TEXT($G$1, "[$-ko-KR]yyyy-mm-dd(ddd) ") &amp; "오전 00:00"</f>
        <v>2021-08-08(일) 오전 00:00</v>
      </c>
      <c r="C15" s="282"/>
      <c r="D15" s="238" t="str">
        <f>TEXT($G$1, "[$-ko-KR]yyyy-mm-dd(ddd) ") &amp; "오후 14:00"</f>
        <v>2021-08-08(일) 오후 14:00</v>
      </c>
      <c r="E15" s="239"/>
      <c r="F15" s="240"/>
      <c r="G15" s="238" t="str">
        <f>TEXT($G$1, "[$-ko-KR]yyyy-mm-dd(ddd) ") &amp; "오후 19:00"</f>
        <v>2021-08-08(일) 오후 19:00</v>
      </c>
      <c r="H15" s="239"/>
      <c r="I15" s="240"/>
      <c r="J15" s="238" t="str">
        <f>TEXT($G$1, "[$-ko-KR]yyyy-mm-dd(ddd) ") &amp; "오후 21:00"</f>
        <v>2021-08-08(일) 오후 21:00</v>
      </c>
      <c r="K15" s="239"/>
      <c r="L15" s="240"/>
      <c r="M15" s="238" t="str">
        <f>TEXT($G$1+1, "[$-ko-KR]yyyy-mm-dd(ddd) ") &amp; "오전 00:00"</f>
        <v>2021-08-09(월) 오전 00:00</v>
      </c>
      <c r="N15" s="239"/>
      <c r="O15" s="240"/>
      <c r="Q15" s="236"/>
      <c r="R15" s="236"/>
      <c r="S15" s="236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1"/>
      <c r="R16" s="241"/>
      <c r="S16" s="24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6"/>
      <c r="R17" s="236"/>
      <c r="S17" s="23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6"/>
      <c r="R18" s="236"/>
      <c r="S18" s="23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1"/>
      <c r="R19" s="241"/>
      <c r="S19" s="24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1"/>
      <c r="R20" s="241"/>
      <c r="S20" s="24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1"/>
      <c r="R21" s="241"/>
      <c r="S21" s="24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1"/>
      <c r="R22" s="241"/>
      <c r="S22" s="24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1"/>
      <c r="R23" s="241"/>
      <c r="S23" s="24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1"/>
      <c r="R24" s="241"/>
      <c r="S24" s="24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0"/>
      <c r="R26" s="251"/>
      <c r="S26" s="25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3"/>
      <c r="R27" s="254"/>
      <c r="S27" s="25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6"/>
      <c r="R28" s="257"/>
      <c r="S28" s="25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1"/>
      <c r="R29" s="241"/>
      <c r="S29" s="24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6"/>
      <c r="R30" s="236"/>
      <c r="S30" s="23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6"/>
      <c r="R31" s="236"/>
      <c r="S31" s="23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1"/>
      <c r="R32" s="241"/>
      <c r="S32" s="24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1"/>
      <c r="R33" s="241"/>
      <c r="S33" s="24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1"/>
      <c r="R34" s="241"/>
      <c r="S34" s="24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3"/>
      <c r="R35" s="264"/>
      <c r="S35" s="26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6"/>
      <c r="R36" s="267"/>
      <c r="S36" s="268"/>
    </row>
    <row r="37" spans="1:19" ht="17.25" customHeight="1" thickBot="1">
      <c r="A37" s="132" t="s">
        <v>42</v>
      </c>
      <c r="B37" s="274">
        <v>100000</v>
      </c>
      <c r="C37" s="27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9"/>
      <c r="R37" s="270"/>
      <c r="S37" s="27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36"/>
      <c r="R40" s="236"/>
      <c r="S40" s="236"/>
    </row>
    <row r="41" spans="1:19" ht="17.25" customHeight="1" thickBot="1">
      <c r="A41" s="185" t="s">
        <v>267</v>
      </c>
      <c r="B41" s="215" t="s">
        <v>49</v>
      </c>
      <c r="C41" s="217"/>
      <c r="D41" s="215" t="s">
        <v>58</v>
      </c>
      <c r="E41" s="216"/>
      <c r="F41" s="217"/>
      <c r="G41" s="242">
        <f>_xlfn.IFNA(VLOOKUP(B41, 현재가테이블!$B$2:$D$200, 2, FALSE), "-")</f>
        <v>53976000</v>
      </c>
      <c r="H41" s="243"/>
      <c r="I41" s="244"/>
      <c r="J41" s="215" t="s">
        <v>59</v>
      </c>
      <c r="K41" s="216"/>
      <c r="L41" s="217"/>
      <c r="M41" s="245">
        <f>_xlfn.IFNA(VLOOKUP(B41, 현재가테이블!$B$2:$D$200, 3, FALSE), "-")</f>
        <v>-2.1216407400000001E-2</v>
      </c>
      <c r="N41" s="246"/>
      <c r="O41" s="247"/>
      <c r="Q41" s="236"/>
      <c r="R41" s="236"/>
      <c r="S41" s="236"/>
    </row>
    <row r="42" spans="1:19" ht="17.25" customHeight="1" thickBot="1">
      <c r="A42" s="276" t="s">
        <v>55</v>
      </c>
      <c r="B42" s="278" t="str">
        <f>TEXT($G$1, "[$-ko-KR]yyyy-mm-dd(ddd) ") &amp; "오전 00:00"</f>
        <v>2021-08-08(일) 오전 00:00</v>
      </c>
      <c r="C42" s="279"/>
      <c r="D42" s="238" t="str">
        <f>TEXT($G$1, "[$-ko-KR]yyyy-mm-dd(ddd) ") &amp; "오후 14:00"</f>
        <v>2021-08-08(일) 오후 14:00</v>
      </c>
      <c r="E42" s="239"/>
      <c r="F42" s="240"/>
      <c r="G42" s="238" t="str">
        <f>TEXT($G$1, "[$-ko-KR]yyyy-mm-dd(ddd) ") &amp; "오후 19:00"</f>
        <v>2021-08-08(일) 오후 19:00</v>
      </c>
      <c r="H42" s="239"/>
      <c r="I42" s="240"/>
      <c r="J42" s="238" t="str">
        <f>TEXT($G$1, "[$-ko-KR]yyyy-mm-dd(ddd) ") &amp; "오후 21:00"</f>
        <v>2021-08-08(일) 오후 21:00</v>
      </c>
      <c r="K42" s="239"/>
      <c r="L42" s="240"/>
      <c r="M42" s="238" t="str">
        <f>TEXT($G$1+1, "[$-ko-KR]yyyy-mm-dd(ddd) ") &amp; "오전 00:00"</f>
        <v>2021-08-09(월) 오전 00:00</v>
      </c>
      <c r="N42" s="239"/>
      <c r="O42" s="240"/>
      <c r="Q42" s="236"/>
      <c r="R42" s="236"/>
      <c r="S42" s="236"/>
    </row>
    <row r="43" spans="1:19" ht="17.25" customHeight="1" thickBot="1">
      <c r="A43" s="27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1"/>
      <c r="R43" s="241"/>
      <c r="S43" s="241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6"/>
      <c r="R44" s="236"/>
      <c r="S44" s="236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6"/>
      <c r="R45" s="236"/>
      <c r="S45" s="236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41"/>
      <c r="R46" s="241"/>
      <c r="S46" s="241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41"/>
      <c r="R47" s="241"/>
      <c r="S47" s="241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41"/>
      <c r="R48" s="241"/>
      <c r="S48" s="241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1"/>
      <c r="R49" s="241"/>
      <c r="S49" s="241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1"/>
      <c r="R50" s="241"/>
      <c r="S50" s="241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41"/>
      <c r="R51" s="241"/>
      <c r="S51" s="241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50"/>
      <c r="R53" s="251"/>
      <c r="S53" s="252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3"/>
      <c r="R54" s="254"/>
      <c r="S54" s="255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6"/>
      <c r="R55" s="257"/>
      <c r="S55" s="258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41"/>
      <c r="R56" s="241"/>
      <c r="S56" s="241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36"/>
      <c r="R57" s="236"/>
      <c r="S57" s="236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36"/>
      <c r="R58" s="236"/>
      <c r="S58" s="236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1"/>
      <c r="R59" s="241"/>
      <c r="S59" s="241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1"/>
      <c r="R60" s="241"/>
      <c r="S60" s="241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41"/>
      <c r="R61" s="241"/>
      <c r="S61" s="24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3"/>
      <c r="R62" s="264"/>
      <c r="S62" s="26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6"/>
      <c r="R63" s="267"/>
      <c r="S63" s="268"/>
    </row>
    <row r="64" spans="1:19" ht="17.25" customHeight="1" thickBot="1">
      <c r="A64" s="132" t="s">
        <v>270</v>
      </c>
      <c r="B64" s="274">
        <f>$B$37</f>
        <v>100000</v>
      </c>
      <c r="C64" s="275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69"/>
      <c r="R64" s="270"/>
      <c r="S64" s="27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36"/>
      <c r="R67" s="236"/>
      <c r="S67" s="236"/>
    </row>
    <row r="68" spans="1:19" ht="17.25" thickBot="1">
      <c r="A68" s="185" t="s">
        <v>267</v>
      </c>
      <c r="B68" s="215" t="s">
        <v>49</v>
      </c>
      <c r="C68" s="217"/>
      <c r="D68" s="215" t="s">
        <v>58</v>
      </c>
      <c r="E68" s="216"/>
      <c r="F68" s="217"/>
      <c r="G68" s="242">
        <f>_xlfn.IFNA(VLOOKUP(B68, 현재가테이블!$B$2:$D$200, 2, FALSE), "-")</f>
        <v>53976000</v>
      </c>
      <c r="H68" s="243"/>
      <c r="I68" s="244"/>
      <c r="J68" s="215" t="s">
        <v>59</v>
      </c>
      <c r="K68" s="216"/>
      <c r="L68" s="217"/>
      <c r="M68" s="245">
        <f>_xlfn.IFNA(VLOOKUP(B68, 현재가테이블!$B$2:$D$200, 3, FALSE), "-")</f>
        <v>-2.1216407400000001E-2</v>
      </c>
      <c r="N68" s="246"/>
      <c r="O68" s="247"/>
      <c r="Q68" s="236"/>
      <c r="R68" s="236"/>
      <c r="S68" s="236"/>
    </row>
    <row r="69" spans="1:19" ht="17.25" thickBot="1">
      <c r="A69" s="276" t="s">
        <v>55</v>
      </c>
      <c r="B69" s="278" t="str">
        <f>TEXT($G$1, "[$-ko-KR]yyyy-mm-dd(ddd) ") &amp; "오전 00:00"</f>
        <v>2021-08-08(일) 오전 00:00</v>
      </c>
      <c r="C69" s="279"/>
      <c r="D69" s="238" t="str">
        <f>TEXT($G$1, "[$-ko-KR]yyyy-mm-dd(ddd) ") &amp; "오후 14:00"</f>
        <v>2021-08-08(일) 오후 14:00</v>
      </c>
      <c r="E69" s="239"/>
      <c r="F69" s="240"/>
      <c r="G69" s="238" t="str">
        <f>TEXT($G$1, "[$-ko-KR]yyyy-mm-dd(ddd) ") &amp; "오후 19:00"</f>
        <v>2021-08-08(일) 오후 19:00</v>
      </c>
      <c r="H69" s="239"/>
      <c r="I69" s="240"/>
      <c r="J69" s="238" t="str">
        <f>TEXT($G$1, "[$-ko-KR]yyyy-mm-dd(ddd) ") &amp; "오후 21:00"</f>
        <v>2021-08-08(일) 오후 21:00</v>
      </c>
      <c r="K69" s="239"/>
      <c r="L69" s="240"/>
      <c r="M69" s="238" t="str">
        <f>TEXT($G$1+1, "[$-ko-KR]yyyy-mm-dd(ddd) ") &amp; "오전 00:00"</f>
        <v>2021-08-09(월) 오전 00:00</v>
      </c>
      <c r="N69" s="239"/>
      <c r="O69" s="240"/>
      <c r="Q69" s="236"/>
      <c r="R69" s="236"/>
      <c r="S69" s="236"/>
    </row>
    <row r="70" spans="1:19" ht="17.25" thickBot="1">
      <c r="A70" s="27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1"/>
      <c r="R70" s="241"/>
      <c r="S70" s="241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6"/>
      <c r="R71" s="236"/>
      <c r="S71" s="236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6"/>
      <c r="R72" s="236"/>
      <c r="S72" s="236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41"/>
      <c r="R73" s="241"/>
      <c r="S73" s="241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41"/>
      <c r="R74" s="241"/>
      <c r="S74" s="241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41"/>
      <c r="R75" s="241"/>
      <c r="S75" s="241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1"/>
      <c r="R76" s="241"/>
      <c r="S76" s="241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1"/>
      <c r="R77" s="241"/>
      <c r="S77" s="241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41"/>
      <c r="R78" s="241"/>
      <c r="S78" s="241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50"/>
      <c r="R80" s="251"/>
      <c r="S80" s="252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3"/>
      <c r="R81" s="254"/>
      <c r="S81" s="255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6"/>
      <c r="R82" s="257"/>
      <c r="S82" s="258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41"/>
      <c r="R83" s="241"/>
      <c r="S83" s="241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36"/>
      <c r="R84" s="236"/>
      <c r="S84" s="236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36"/>
      <c r="R85" s="236"/>
      <c r="S85" s="236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1"/>
      <c r="R86" s="241"/>
      <c r="S86" s="241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1"/>
      <c r="R87" s="241"/>
      <c r="S87" s="241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41"/>
      <c r="R88" s="241"/>
      <c r="S88" s="241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263"/>
      <c r="R89" s="264"/>
      <c r="S89" s="265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266"/>
      <c r="R90" s="267"/>
      <c r="S90" s="268"/>
    </row>
    <row r="91" spans="1:19" ht="17.25" thickBot="1">
      <c r="A91" s="132" t="s">
        <v>270</v>
      </c>
      <c r="B91" s="274">
        <f>$B$37</f>
        <v>100000</v>
      </c>
      <c r="C91" s="275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69"/>
      <c r="R91" s="270"/>
      <c r="S91" s="27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36"/>
      <c r="R94" s="236"/>
      <c r="S94" s="236"/>
    </row>
    <row r="95" spans="1:19" ht="17.25" thickBot="1">
      <c r="A95" s="185" t="s">
        <v>267</v>
      </c>
      <c r="B95" s="215" t="s">
        <v>49</v>
      </c>
      <c r="C95" s="217"/>
      <c r="D95" s="215" t="s">
        <v>58</v>
      </c>
      <c r="E95" s="216"/>
      <c r="F95" s="217"/>
      <c r="G95" s="242">
        <f>_xlfn.IFNA(VLOOKUP(B95, 현재가테이블!$B$2:$D$200, 2, FALSE), "-")</f>
        <v>53976000</v>
      </c>
      <c r="H95" s="243"/>
      <c r="I95" s="244"/>
      <c r="J95" s="215" t="s">
        <v>59</v>
      </c>
      <c r="K95" s="216"/>
      <c r="L95" s="217"/>
      <c r="M95" s="245">
        <f>_xlfn.IFNA(VLOOKUP(B95, 현재가테이블!$B$2:$D$200, 3, FALSE), "-")</f>
        <v>-2.1216407400000001E-2</v>
      </c>
      <c r="N95" s="246"/>
      <c r="O95" s="247"/>
      <c r="Q95" s="236"/>
      <c r="R95" s="236"/>
      <c r="S95" s="236"/>
    </row>
    <row r="96" spans="1:19" ht="17.25" thickBot="1">
      <c r="A96" s="276" t="s">
        <v>55</v>
      </c>
      <c r="B96" s="278" t="str">
        <f>TEXT($G$1, "[$-ko-KR]yyyy-mm-dd(ddd) ") &amp; "오전 00:00"</f>
        <v>2021-08-08(일) 오전 00:00</v>
      </c>
      <c r="C96" s="279"/>
      <c r="D96" s="238" t="str">
        <f>TEXT($G$1, "[$-ko-KR]yyyy-mm-dd(ddd) ") &amp; "오후 14:00"</f>
        <v>2021-08-08(일) 오후 14:00</v>
      </c>
      <c r="E96" s="239"/>
      <c r="F96" s="240"/>
      <c r="G96" s="238" t="str">
        <f>TEXT($G$1, "[$-ko-KR]yyyy-mm-dd(ddd) ") &amp; "오후 19:00"</f>
        <v>2021-08-08(일) 오후 19:00</v>
      </c>
      <c r="H96" s="239"/>
      <c r="I96" s="240"/>
      <c r="J96" s="238" t="str">
        <f>TEXT($G$1, "[$-ko-KR]yyyy-mm-dd(ddd) ") &amp; "오후 21:00"</f>
        <v>2021-08-08(일) 오후 21:00</v>
      </c>
      <c r="K96" s="239"/>
      <c r="L96" s="240"/>
      <c r="M96" s="238" t="str">
        <f>TEXT($G$1+1, "[$-ko-KR]yyyy-mm-dd(ddd) ") &amp; "오전 00:00"</f>
        <v>2021-08-09(월) 오전 00:00</v>
      </c>
      <c r="N96" s="239"/>
      <c r="O96" s="240"/>
      <c r="Q96" s="236"/>
      <c r="R96" s="236"/>
      <c r="S96" s="236"/>
    </row>
    <row r="97" spans="1:19" ht="17.25" thickBot="1">
      <c r="A97" s="27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1"/>
      <c r="R97" s="241"/>
      <c r="S97" s="241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6"/>
      <c r="R98" s="236"/>
      <c r="S98" s="236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6"/>
      <c r="R99" s="236"/>
      <c r="S99" s="236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41"/>
      <c r="R100" s="241"/>
      <c r="S100" s="241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41"/>
      <c r="R101" s="241"/>
      <c r="S101" s="241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41"/>
      <c r="R102" s="241"/>
      <c r="S102" s="241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1"/>
      <c r="R103" s="241"/>
      <c r="S103" s="241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1"/>
      <c r="R104" s="241"/>
      <c r="S104" s="241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41"/>
      <c r="R105" s="241"/>
      <c r="S105" s="241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50"/>
      <c r="R107" s="251"/>
      <c r="S107" s="252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3"/>
      <c r="R108" s="254"/>
      <c r="S108" s="255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6"/>
      <c r="R109" s="257"/>
      <c r="S109" s="258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41"/>
      <c r="R110" s="241"/>
      <c r="S110" s="241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36"/>
      <c r="R111" s="236"/>
      <c r="S111" s="236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36"/>
      <c r="R112" s="236"/>
      <c r="S112" s="236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1"/>
      <c r="R113" s="241"/>
      <c r="S113" s="241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1"/>
      <c r="R114" s="241"/>
      <c r="S114" s="241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41"/>
      <c r="R115" s="241"/>
      <c r="S115" s="241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263"/>
      <c r="R116" s="264"/>
      <c r="S116" s="265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266"/>
      <c r="R117" s="267"/>
      <c r="S117" s="268"/>
    </row>
    <row r="118" spans="1:19" ht="17.25" thickBot="1">
      <c r="A118" s="132" t="s">
        <v>270</v>
      </c>
      <c r="B118" s="274">
        <f>$B$37</f>
        <v>100000</v>
      </c>
      <c r="C118" s="275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69"/>
      <c r="R118" s="270"/>
      <c r="S118" s="27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36"/>
      <c r="R121" s="236"/>
      <c r="S121" s="236"/>
    </row>
    <row r="122" spans="1:19" ht="17.25" thickBot="1">
      <c r="A122" s="185" t="s">
        <v>267</v>
      </c>
      <c r="B122" s="215" t="s">
        <v>49</v>
      </c>
      <c r="C122" s="217"/>
      <c r="D122" s="215" t="s">
        <v>58</v>
      </c>
      <c r="E122" s="216"/>
      <c r="F122" s="217"/>
      <c r="G122" s="242">
        <f>_xlfn.IFNA(VLOOKUP(B122, 현재가테이블!$B$2:$D$200, 2, FALSE), "-")</f>
        <v>53976000</v>
      </c>
      <c r="H122" s="243"/>
      <c r="I122" s="244"/>
      <c r="J122" s="215" t="s">
        <v>59</v>
      </c>
      <c r="K122" s="216"/>
      <c r="L122" s="217"/>
      <c r="M122" s="245">
        <f>_xlfn.IFNA(VLOOKUP(B122, 현재가테이블!$B$2:$D$200, 3, FALSE), "-")</f>
        <v>-2.1216407400000001E-2</v>
      </c>
      <c r="N122" s="246"/>
      <c r="O122" s="247"/>
      <c r="Q122" s="236"/>
      <c r="R122" s="236"/>
      <c r="S122" s="236"/>
    </row>
    <row r="123" spans="1:19" ht="17.25" thickBot="1">
      <c r="A123" s="276" t="s">
        <v>55</v>
      </c>
      <c r="B123" s="278" t="str">
        <f>TEXT($G$1, "[$-ko-KR]yyyy-mm-dd(ddd) ") &amp; "오전 00:00"</f>
        <v>2021-08-08(일) 오전 00:00</v>
      </c>
      <c r="C123" s="279"/>
      <c r="D123" s="238" t="str">
        <f>TEXT($G$1, "[$-ko-KR]yyyy-mm-dd(ddd) ") &amp; "오후 14:00"</f>
        <v>2021-08-08(일) 오후 14:00</v>
      </c>
      <c r="E123" s="239"/>
      <c r="F123" s="240"/>
      <c r="G123" s="238" t="str">
        <f>TEXT($G$1, "[$-ko-KR]yyyy-mm-dd(ddd) ") &amp; "오후 19:00"</f>
        <v>2021-08-08(일) 오후 19:00</v>
      </c>
      <c r="H123" s="239"/>
      <c r="I123" s="240"/>
      <c r="J123" s="238" t="str">
        <f>TEXT($G$1, "[$-ko-KR]yyyy-mm-dd(ddd) ") &amp; "오후 21:00"</f>
        <v>2021-08-08(일) 오후 21:00</v>
      </c>
      <c r="K123" s="239"/>
      <c r="L123" s="240"/>
      <c r="M123" s="238" t="str">
        <f>TEXT($G$1+1, "[$-ko-KR]yyyy-mm-dd(ddd) ") &amp; "오전 00:00"</f>
        <v>2021-08-09(월) 오전 00:00</v>
      </c>
      <c r="N123" s="239"/>
      <c r="O123" s="240"/>
      <c r="Q123" s="236"/>
      <c r="R123" s="236"/>
      <c r="S123" s="236"/>
    </row>
    <row r="124" spans="1:19" ht="17.25" thickBot="1">
      <c r="A124" s="27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1"/>
      <c r="R124" s="241"/>
      <c r="S124" s="241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6"/>
      <c r="R125" s="236"/>
      <c r="S125" s="236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6"/>
      <c r="R126" s="236"/>
      <c r="S126" s="236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41"/>
      <c r="R127" s="241"/>
      <c r="S127" s="241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41"/>
      <c r="R128" s="241"/>
      <c r="S128" s="241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41"/>
      <c r="R129" s="241"/>
      <c r="S129" s="241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1"/>
      <c r="R130" s="241"/>
      <c r="S130" s="241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1"/>
      <c r="R131" s="241"/>
      <c r="S131" s="241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41"/>
      <c r="R132" s="241"/>
      <c r="S132" s="241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50"/>
      <c r="R134" s="251"/>
      <c r="S134" s="252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3"/>
      <c r="R135" s="254"/>
      <c r="S135" s="255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6"/>
      <c r="R136" s="257"/>
      <c r="S136" s="258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41"/>
      <c r="R137" s="241"/>
      <c r="S137" s="241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36"/>
      <c r="R138" s="236"/>
      <c r="S138" s="236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36"/>
      <c r="R139" s="236"/>
      <c r="S139" s="236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1"/>
      <c r="R140" s="241"/>
      <c r="S140" s="241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1"/>
      <c r="R141" s="241"/>
      <c r="S141" s="241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41"/>
      <c r="R142" s="241"/>
      <c r="S142" s="24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3"/>
      <c r="R143" s="264"/>
      <c r="S143" s="26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6"/>
      <c r="R144" s="267"/>
      <c r="S144" s="268"/>
    </row>
    <row r="145" spans="1:19" ht="17.25" thickBot="1">
      <c r="A145" s="132" t="s">
        <v>270</v>
      </c>
      <c r="B145" s="274">
        <f>$B$37</f>
        <v>100000</v>
      </c>
      <c r="C145" s="275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69"/>
      <c r="R145" s="270"/>
      <c r="S145" s="27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36"/>
      <c r="R148" s="236"/>
      <c r="S148" s="236"/>
    </row>
    <row r="149" spans="1:19" ht="17.25" thickBot="1">
      <c r="A149" s="185" t="s">
        <v>267</v>
      </c>
      <c r="B149" s="215" t="s">
        <v>49</v>
      </c>
      <c r="C149" s="217"/>
      <c r="D149" s="215" t="s">
        <v>58</v>
      </c>
      <c r="E149" s="216"/>
      <c r="F149" s="217"/>
      <c r="G149" s="242">
        <f>_xlfn.IFNA(VLOOKUP(B149, 현재가테이블!$B$2:$D$200, 2, FALSE), "-")</f>
        <v>53976000</v>
      </c>
      <c r="H149" s="243"/>
      <c r="I149" s="244"/>
      <c r="J149" s="215" t="s">
        <v>59</v>
      </c>
      <c r="K149" s="216"/>
      <c r="L149" s="217"/>
      <c r="M149" s="245">
        <f>_xlfn.IFNA(VLOOKUP(B149, 현재가테이블!$B$2:$D$200, 3, FALSE), "-")</f>
        <v>-2.1216407400000001E-2</v>
      </c>
      <c r="N149" s="246"/>
      <c r="O149" s="247"/>
      <c r="Q149" s="236"/>
      <c r="R149" s="236"/>
      <c r="S149" s="236"/>
    </row>
    <row r="150" spans="1:19" ht="17.25" thickBot="1">
      <c r="A150" s="276" t="s">
        <v>55</v>
      </c>
      <c r="B150" s="278" t="str">
        <f>TEXT($G$1, "[$-ko-KR]yyyy-mm-dd(ddd) ") &amp; "오전 00:00"</f>
        <v>2021-08-08(일) 오전 00:00</v>
      </c>
      <c r="C150" s="279"/>
      <c r="D150" s="238" t="str">
        <f>TEXT($G$1, "[$-ko-KR]yyyy-mm-dd(ddd) ") &amp; "오후 14:00"</f>
        <v>2021-08-08(일) 오후 14:00</v>
      </c>
      <c r="E150" s="239"/>
      <c r="F150" s="240"/>
      <c r="G150" s="238" t="str">
        <f>TEXT($G$1, "[$-ko-KR]yyyy-mm-dd(ddd) ") &amp; "오후 19:00"</f>
        <v>2021-08-08(일) 오후 19:00</v>
      </c>
      <c r="H150" s="239"/>
      <c r="I150" s="240"/>
      <c r="J150" s="238" t="str">
        <f>TEXT($G$1, "[$-ko-KR]yyyy-mm-dd(ddd) ") &amp; "오후 21:00"</f>
        <v>2021-08-08(일) 오후 21:00</v>
      </c>
      <c r="K150" s="239"/>
      <c r="L150" s="240"/>
      <c r="M150" s="238" t="str">
        <f>TEXT($G$1+1, "[$-ko-KR]yyyy-mm-dd(ddd) ") &amp; "오전 00:00"</f>
        <v>2021-08-09(월) 오전 00:00</v>
      </c>
      <c r="N150" s="239"/>
      <c r="O150" s="240"/>
      <c r="Q150" s="236"/>
      <c r="R150" s="236"/>
      <c r="S150" s="236"/>
    </row>
    <row r="151" spans="1:19" ht="17.25" thickBot="1">
      <c r="A151" s="27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1"/>
      <c r="R151" s="241"/>
      <c r="S151" s="241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6"/>
      <c r="R152" s="236"/>
      <c r="S152" s="236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6"/>
      <c r="R153" s="236"/>
      <c r="S153" s="236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41"/>
      <c r="R154" s="241"/>
      <c r="S154" s="241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41"/>
      <c r="R155" s="241"/>
      <c r="S155" s="241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41"/>
      <c r="R156" s="241"/>
      <c r="S156" s="241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1"/>
      <c r="R157" s="241"/>
      <c r="S157" s="241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1"/>
      <c r="R158" s="241"/>
      <c r="S158" s="241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41"/>
      <c r="R159" s="241"/>
      <c r="S159" s="241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50"/>
      <c r="R161" s="251"/>
      <c r="S161" s="252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3"/>
      <c r="R162" s="254"/>
      <c r="S162" s="255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6"/>
      <c r="R163" s="257"/>
      <c r="S163" s="258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41"/>
      <c r="R164" s="241"/>
      <c r="S164" s="241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36"/>
      <c r="R165" s="236"/>
      <c r="S165" s="236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36"/>
      <c r="R166" s="236"/>
      <c r="S166" s="236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1"/>
      <c r="R167" s="241"/>
      <c r="S167" s="241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1"/>
      <c r="R168" s="241"/>
      <c r="S168" s="241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41"/>
      <c r="R169" s="241"/>
      <c r="S169" s="241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263"/>
      <c r="R170" s="264"/>
      <c r="S170" s="265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266"/>
      <c r="R171" s="267"/>
      <c r="S171" s="268"/>
    </row>
    <row r="172" spans="1:19" ht="17.25" thickBot="1">
      <c r="A172" s="132" t="s">
        <v>270</v>
      </c>
      <c r="B172" s="274">
        <f>$B$37</f>
        <v>100000</v>
      </c>
      <c r="C172" s="275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69"/>
      <c r="R172" s="270"/>
      <c r="S172" s="27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36"/>
      <c r="R175" s="236"/>
      <c r="S175" s="236"/>
    </row>
    <row r="176" spans="1:19" ht="17.25" thickBot="1">
      <c r="A176" s="185" t="s">
        <v>267</v>
      </c>
      <c r="B176" s="215" t="s">
        <v>49</v>
      </c>
      <c r="C176" s="217"/>
      <c r="D176" s="215" t="s">
        <v>58</v>
      </c>
      <c r="E176" s="216"/>
      <c r="F176" s="217"/>
      <c r="G176" s="242">
        <f>_xlfn.IFNA(VLOOKUP(B176, 현재가테이블!$B$2:$D$200, 2, FALSE), "-")</f>
        <v>53976000</v>
      </c>
      <c r="H176" s="243"/>
      <c r="I176" s="244"/>
      <c r="J176" s="215" t="s">
        <v>59</v>
      </c>
      <c r="K176" s="216"/>
      <c r="L176" s="217"/>
      <c r="M176" s="245">
        <f>_xlfn.IFNA(VLOOKUP(B176, 현재가테이블!$B$2:$D$200, 3, FALSE), "-")</f>
        <v>-2.1216407400000001E-2</v>
      </c>
      <c r="N176" s="246"/>
      <c r="O176" s="247"/>
      <c r="Q176" s="236"/>
      <c r="R176" s="236"/>
      <c r="S176" s="236"/>
    </row>
    <row r="177" spans="1:19" ht="17.25" thickBot="1">
      <c r="A177" s="276" t="s">
        <v>55</v>
      </c>
      <c r="B177" s="278" t="str">
        <f>TEXT($G$1, "[$-ko-KR]yyyy-mm-dd(ddd) ") &amp; "오전 00:00"</f>
        <v>2021-08-08(일) 오전 00:00</v>
      </c>
      <c r="C177" s="279"/>
      <c r="D177" s="238" t="str">
        <f>TEXT($G$1, "[$-ko-KR]yyyy-mm-dd(ddd) ") &amp; "오후 14:00"</f>
        <v>2021-08-08(일) 오후 14:00</v>
      </c>
      <c r="E177" s="239"/>
      <c r="F177" s="240"/>
      <c r="G177" s="238" t="str">
        <f>TEXT($G$1, "[$-ko-KR]yyyy-mm-dd(ddd) ") &amp; "오후 19:00"</f>
        <v>2021-08-08(일) 오후 19:00</v>
      </c>
      <c r="H177" s="239"/>
      <c r="I177" s="240"/>
      <c r="J177" s="238" t="str">
        <f>TEXT($G$1, "[$-ko-KR]yyyy-mm-dd(ddd) ") &amp; "오후 21:00"</f>
        <v>2021-08-08(일) 오후 21:00</v>
      </c>
      <c r="K177" s="239"/>
      <c r="L177" s="240"/>
      <c r="M177" s="238" t="str">
        <f>TEXT($G$1+1, "[$-ko-KR]yyyy-mm-dd(ddd) ") &amp; "오전 00:00"</f>
        <v>2021-08-09(월) 오전 00:00</v>
      </c>
      <c r="N177" s="239"/>
      <c r="O177" s="240"/>
      <c r="Q177" s="236"/>
      <c r="R177" s="236"/>
      <c r="S177" s="236"/>
    </row>
    <row r="178" spans="1:19" ht="17.25" thickBot="1">
      <c r="A178" s="27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1"/>
      <c r="R178" s="241"/>
      <c r="S178" s="241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6"/>
      <c r="R179" s="236"/>
      <c r="S179" s="236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6"/>
      <c r="R180" s="236"/>
      <c r="S180" s="236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41"/>
      <c r="R181" s="241"/>
      <c r="S181" s="241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41"/>
      <c r="R182" s="241"/>
      <c r="S182" s="241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41"/>
      <c r="R183" s="241"/>
      <c r="S183" s="241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1"/>
      <c r="R184" s="241"/>
      <c r="S184" s="241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1"/>
      <c r="R185" s="241"/>
      <c r="S185" s="241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41"/>
      <c r="R186" s="241"/>
      <c r="S186" s="241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50"/>
      <c r="R188" s="251"/>
      <c r="S188" s="252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3"/>
      <c r="R189" s="254"/>
      <c r="S189" s="255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6"/>
      <c r="R190" s="257"/>
      <c r="S190" s="258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41"/>
      <c r="R191" s="241"/>
      <c r="S191" s="241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36"/>
      <c r="R192" s="236"/>
      <c r="S192" s="236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36"/>
      <c r="R193" s="236"/>
      <c r="S193" s="236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1"/>
      <c r="R194" s="241"/>
      <c r="S194" s="241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1"/>
      <c r="R195" s="241"/>
      <c r="S195" s="241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41"/>
      <c r="R196" s="241"/>
      <c r="S196" s="241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263"/>
      <c r="R197" s="264"/>
      <c r="S197" s="265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266"/>
      <c r="R198" s="267"/>
      <c r="S198" s="268"/>
    </row>
    <row r="199" spans="1:19" ht="17.25" thickBot="1">
      <c r="A199" s="132" t="s">
        <v>270</v>
      </c>
      <c r="B199" s="274">
        <f>$B$37</f>
        <v>100000</v>
      </c>
      <c r="C199" s="275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69"/>
      <c r="R199" s="270"/>
      <c r="S199" s="27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8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8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8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8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8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7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7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7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7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7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74" priority="157">
      <formula>AND($N17 &gt; 0, ISNUMBER($N17))</formula>
    </cfRule>
    <cfRule type="expression" dxfId="1273" priority="158">
      <formula>AND($N17 = 0 * ISNUMBER($N17))</formula>
    </cfRule>
    <cfRule type="expression" dxfId="1272" priority="159">
      <formula>AND($N17 &lt; 0, ISNUMBER($N17))</formula>
    </cfRule>
  </conditionalFormatting>
  <conditionalFormatting sqref="A17:F36">
    <cfRule type="expression" dxfId="1271" priority="166">
      <formula>AND($E17 &gt; 0, ISNUMBER($E17))</formula>
    </cfRule>
    <cfRule type="expression" dxfId="1270" priority="167">
      <formula>AND($E17 = 0 * ISNUMBER($E17))</formula>
    </cfRule>
    <cfRule type="expression" dxfId="1269" priority="168">
      <formula>AND($E17 &lt; 0, ISNUMBER($E17))</formula>
    </cfRule>
  </conditionalFormatting>
  <conditionalFormatting sqref="A17:C36 G17:I36">
    <cfRule type="expression" dxfId="1268" priority="163">
      <formula>AND($H17 &gt; 0, ISNUMBER($H17))</formula>
    </cfRule>
    <cfRule type="expression" dxfId="1267" priority="164">
      <formula>AND($H17 = 0 * ISNUMBER($H17))</formula>
    </cfRule>
    <cfRule type="expression" dxfId="1266" priority="165">
      <formula>AND($H17 &lt; 0, ISNUMBER($H17))</formula>
    </cfRule>
  </conditionalFormatting>
  <conditionalFormatting sqref="A17:C36 J17:L36">
    <cfRule type="expression" dxfId="1265" priority="160">
      <formula>AND($K17 &gt; 0, ISNUMBER($K17))</formula>
    </cfRule>
    <cfRule type="expression" dxfId="1264" priority="161">
      <formula>AND($K17 = 0 * ISNUMBER($K17))</formula>
    </cfRule>
    <cfRule type="expression" dxfId="1263" priority="162">
      <formula>AND($K17 &lt; 0, ISNUMBER($K17))</formula>
    </cfRule>
  </conditionalFormatting>
  <conditionalFormatting sqref="D15:F16 E37:F37">
    <cfRule type="expression" dxfId="1262" priority="154">
      <formula>$E$37 &gt; 0</formula>
    </cfRule>
    <cfRule type="expression" dxfId="1261" priority="155">
      <formula>$E$37 = 0</formula>
    </cfRule>
    <cfRule type="expression" dxfId="1260" priority="156">
      <formula>$E$37 &lt; 0</formula>
    </cfRule>
  </conditionalFormatting>
  <conditionalFormatting sqref="G15:I16 H37:I37">
    <cfRule type="expression" dxfId="1259" priority="151">
      <formula>$H$37 &gt; 0</formula>
    </cfRule>
    <cfRule type="expression" dxfId="1258" priority="152">
      <formula>$H$37 = 0</formula>
    </cfRule>
    <cfRule type="expression" dxfId="1257" priority="153">
      <formula>$H$37 &lt; 0</formula>
    </cfRule>
  </conditionalFormatting>
  <conditionalFormatting sqref="J15:L16 K37:L37">
    <cfRule type="expression" dxfId="1256" priority="148">
      <formula>$K$37 &gt; 0</formula>
    </cfRule>
    <cfRule type="expression" dxfId="1255" priority="149">
      <formula>$K$37 = 0</formula>
    </cfRule>
    <cfRule type="expression" dxfId="1254" priority="150">
      <formula>$K$37 &lt; 0</formula>
    </cfRule>
  </conditionalFormatting>
  <conditionalFormatting sqref="M15:O16 N37:O37">
    <cfRule type="expression" dxfId="1253" priority="145">
      <formula>$N$37 &gt; 0</formula>
    </cfRule>
    <cfRule type="expression" dxfId="1252" priority="146">
      <formula>$N$37 = 0</formula>
    </cfRule>
    <cfRule type="expression" dxfId="1251" priority="147">
      <formula>$N$37 &lt; 0</formula>
    </cfRule>
  </conditionalFormatting>
  <conditionalFormatting sqref="A44:C63 M44:O63">
    <cfRule type="expression" dxfId="1250" priority="133">
      <formula>AND($N44 &gt; 0, ISNUMBER($N44))</formula>
    </cfRule>
    <cfRule type="expression" dxfId="1249" priority="134">
      <formula>AND($N44 = 0 * ISNUMBER($N44))</formula>
    </cfRule>
    <cfRule type="expression" dxfId="1248" priority="135">
      <formula>AND($N44 &lt; 0, ISNUMBER($N44))</formula>
    </cfRule>
  </conditionalFormatting>
  <conditionalFormatting sqref="A44:F63">
    <cfRule type="expression" dxfId="1247" priority="142">
      <formula>AND($E44 &gt; 0, ISNUMBER($E44))</formula>
    </cfRule>
    <cfRule type="expression" dxfId="1246" priority="143">
      <formula>AND($E44 = 0 * ISNUMBER($E44))</formula>
    </cfRule>
    <cfRule type="expression" dxfId="1245" priority="144">
      <formula>AND($E44 &lt; 0, ISNUMBER($E44))</formula>
    </cfRule>
  </conditionalFormatting>
  <conditionalFormatting sqref="A44:C63 G44:I63">
    <cfRule type="expression" dxfId="1244" priority="139">
      <formula>AND($H44 &gt; 0, ISNUMBER($H44))</formula>
    </cfRule>
    <cfRule type="expression" dxfId="1243" priority="140">
      <formula>AND($H44 = 0 * ISNUMBER($H44))</formula>
    </cfRule>
    <cfRule type="expression" dxfId="1242" priority="141">
      <formula>AND($H44 &lt; 0, ISNUMBER($H44))</formula>
    </cfRule>
  </conditionalFormatting>
  <conditionalFormatting sqref="A44:C63 J44:L63">
    <cfRule type="expression" dxfId="1241" priority="136">
      <formula>AND($K44 &gt; 0, ISNUMBER($K44))</formula>
    </cfRule>
    <cfRule type="expression" dxfId="1240" priority="137">
      <formula>AND($K44 = 0 * ISNUMBER($K44))</formula>
    </cfRule>
    <cfRule type="expression" dxfId="1239" priority="138">
      <formula>AND($K44 &lt; 0, ISNUMBER($K44))</formula>
    </cfRule>
  </conditionalFormatting>
  <conditionalFormatting sqref="D42:F43 E64:F64">
    <cfRule type="expression" dxfId="1238" priority="130">
      <formula>$E$64 &gt; 0</formula>
    </cfRule>
    <cfRule type="expression" dxfId="1237" priority="131">
      <formula>$E$64 = 0</formula>
    </cfRule>
    <cfRule type="expression" dxfId="1236" priority="132">
      <formula>$E$64 &lt; 0</formula>
    </cfRule>
  </conditionalFormatting>
  <conditionalFormatting sqref="G42:I43 H64:I64">
    <cfRule type="expression" dxfId="1235" priority="127">
      <formula>$H$64 &gt; 0</formula>
    </cfRule>
    <cfRule type="expression" dxfId="1234" priority="128">
      <formula>$H$64 = 0</formula>
    </cfRule>
    <cfRule type="expression" dxfId="1233" priority="129">
      <formula>$H$64 &lt; 0</formula>
    </cfRule>
  </conditionalFormatting>
  <conditionalFormatting sqref="J42:L43 K64:L64">
    <cfRule type="expression" dxfId="1232" priority="124">
      <formula>$K$64 &gt; 0</formula>
    </cfRule>
    <cfRule type="expression" dxfId="1231" priority="125">
      <formula>$K$64 = 0</formula>
    </cfRule>
    <cfRule type="expression" dxfId="1230" priority="126">
      <formula>$K$64 &lt; 0</formula>
    </cfRule>
  </conditionalFormatting>
  <conditionalFormatting sqref="M42:O43 N64:O64">
    <cfRule type="expression" dxfId="1229" priority="121">
      <formula>$N$64 &gt; 0</formula>
    </cfRule>
    <cfRule type="expression" dxfId="1228" priority="122">
      <formula>$N$64 = 0</formula>
    </cfRule>
    <cfRule type="expression" dxfId="1227" priority="123">
      <formula>$N$64 &lt; 0</formula>
    </cfRule>
  </conditionalFormatting>
  <conditionalFormatting sqref="A71:C90 M71:O90">
    <cfRule type="expression" dxfId="1226" priority="109">
      <formula>AND($N71 &gt; 0, ISNUMBER($N71))</formula>
    </cfRule>
    <cfRule type="expression" dxfId="1225" priority="110">
      <formula>AND($N71 = 0 * ISNUMBER($N71))</formula>
    </cfRule>
    <cfRule type="expression" dxfId="1224" priority="111">
      <formula>AND($N71 &lt; 0, ISNUMBER($N71))</formula>
    </cfRule>
  </conditionalFormatting>
  <conditionalFormatting sqref="A71:F90">
    <cfRule type="expression" dxfId="1223" priority="118">
      <formula>AND($E71 &gt; 0, ISNUMBER($E71))</formula>
    </cfRule>
    <cfRule type="expression" dxfId="1222" priority="119">
      <formula>AND($E71 = 0 * ISNUMBER($E71))</formula>
    </cfRule>
    <cfRule type="expression" dxfId="1221" priority="120">
      <formula>AND($E71 &lt; 0, ISNUMBER($E71))</formula>
    </cfRule>
  </conditionalFormatting>
  <conditionalFormatting sqref="A71:C90 G71:I90">
    <cfRule type="expression" dxfId="1220" priority="115">
      <formula>AND($H71 &gt; 0, ISNUMBER($H71))</formula>
    </cfRule>
    <cfRule type="expression" dxfId="1219" priority="116">
      <formula>AND($H71 = 0 * ISNUMBER($H71))</formula>
    </cfRule>
    <cfRule type="expression" dxfId="1218" priority="117">
      <formula>AND($H71 &lt; 0, ISNUMBER($H71))</formula>
    </cfRule>
  </conditionalFormatting>
  <conditionalFormatting sqref="A71:C90 J71:L90">
    <cfRule type="expression" dxfId="1217" priority="112">
      <formula>AND($K71 &gt; 0, ISNUMBER($K71))</formula>
    </cfRule>
    <cfRule type="expression" dxfId="1216" priority="113">
      <formula>AND($K71 = 0 * ISNUMBER($K71))</formula>
    </cfRule>
    <cfRule type="expression" dxfId="1215" priority="114">
      <formula>AND($K71 &lt; 0, ISNUMBER($K71))</formula>
    </cfRule>
  </conditionalFormatting>
  <conditionalFormatting sqref="D69:F70 E91:F91">
    <cfRule type="expression" dxfId="1214" priority="106">
      <formula>$E$91 &gt; 0</formula>
    </cfRule>
    <cfRule type="expression" dxfId="1213" priority="107">
      <formula>$E$91 = 0</formula>
    </cfRule>
    <cfRule type="expression" dxfId="1212" priority="108">
      <formula>$E$91 &lt; 0</formula>
    </cfRule>
  </conditionalFormatting>
  <conditionalFormatting sqref="G69:I70 H91:I91">
    <cfRule type="expression" dxfId="1211" priority="103">
      <formula>$H$91 &gt; 0</formula>
    </cfRule>
    <cfRule type="expression" dxfId="1210" priority="104">
      <formula>$H$91 = 0</formula>
    </cfRule>
    <cfRule type="expression" dxfId="1209" priority="105">
      <formula>$H$91 &lt; 0</formula>
    </cfRule>
  </conditionalFormatting>
  <conditionalFormatting sqref="J69:L70 K91:L91">
    <cfRule type="expression" dxfId="1208" priority="100">
      <formula>$K$91 &gt; 0</formula>
    </cfRule>
    <cfRule type="expression" dxfId="1207" priority="101">
      <formula>$K$91 = 0</formula>
    </cfRule>
    <cfRule type="expression" dxfId="1206" priority="102">
      <formula>$K$91 &lt; 0</formula>
    </cfRule>
  </conditionalFormatting>
  <conditionalFormatting sqref="M69:O70 N91:O91">
    <cfRule type="expression" dxfId="1205" priority="97">
      <formula>$N$91 &gt; 0</formula>
    </cfRule>
    <cfRule type="expression" dxfId="1204" priority="98">
      <formula>$N$91 = 0</formula>
    </cfRule>
    <cfRule type="expression" dxfId="1203" priority="99">
      <formula>$N$91 &lt; 0</formula>
    </cfRule>
  </conditionalFormatting>
  <conditionalFormatting sqref="A98:C117 M98:O117">
    <cfRule type="expression" dxfId="1202" priority="85">
      <formula>AND($N98 &gt; 0, ISNUMBER($N98))</formula>
    </cfRule>
    <cfRule type="expression" dxfId="1201" priority="86">
      <formula>AND($N98 = 0 * ISNUMBER($N98))</formula>
    </cfRule>
    <cfRule type="expression" dxfId="1200" priority="87">
      <formula>AND($N98 &lt; 0, ISNUMBER($N98))</formula>
    </cfRule>
  </conditionalFormatting>
  <conditionalFormatting sqref="A98:F117">
    <cfRule type="expression" dxfId="1199" priority="94">
      <formula>AND($E98 &gt; 0, ISNUMBER($E98))</formula>
    </cfRule>
    <cfRule type="expression" dxfId="1198" priority="95">
      <formula>AND($E98 = 0 * ISNUMBER($E98))</formula>
    </cfRule>
    <cfRule type="expression" dxfId="1197" priority="96">
      <formula>AND($E98 &lt; 0, ISNUMBER($E98))</formula>
    </cfRule>
  </conditionalFormatting>
  <conditionalFormatting sqref="A98:C117 G98:I117">
    <cfRule type="expression" dxfId="1196" priority="91">
      <formula>AND($H98 &gt; 0, ISNUMBER($H98))</formula>
    </cfRule>
    <cfRule type="expression" dxfId="1195" priority="92">
      <formula>AND($H98 = 0 * ISNUMBER($H98))</formula>
    </cfRule>
    <cfRule type="expression" dxfId="1194" priority="93">
      <formula>AND($H98 &lt; 0, ISNUMBER($H98))</formula>
    </cfRule>
  </conditionalFormatting>
  <conditionalFormatting sqref="A98:C117 J98:L117">
    <cfRule type="expression" dxfId="1193" priority="88">
      <formula>AND($K98 &gt; 0, ISNUMBER($K98))</formula>
    </cfRule>
    <cfRule type="expression" dxfId="1192" priority="89">
      <formula>AND($K98 = 0 * ISNUMBER($K98))</formula>
    </cfRule>
    <cfRule type="expression" dxfId="1191" priority="90">
      <formula>AND($K98 &lt; 0, ISNUMBER($K98))</formula>
    </cfRule>
  </conditionalFormatting>
  <conditionalFormatting sqref="D96:F97 E118:F118">
    <cfRule type="expression" dxfId="1190" priority="82">
      <formula>$E$118 &gt; 0</formula>
    </cfRule>
    <cfRule type="expression" dxfId="1189" priority="83">
      <formula>$E$118 = 0</formula>
    </cfRule>
    <cfRule type="expression" dxfId="1188" priority="84">
      <formula>$E$118 &lt; 0</formula>
    </cfRule>
  </conditionalFormatting>
  <conditionalFormatting sqref="G96:I97 H118:I118">
    <cfRule type="expression" dxfId="1187" priority="79">
      <formula>$H$118 &gt; 0</formula>
    </cfRule>
    <cfRule type="expression" dxfId="1186" priority="80">
      <formula>$H$118 = 0</formula>
    </cfRule>
    <cfRule type="expression" dxfId="1185" priority="81">
      <formula>$H$118 &lt; 0</formula>
    </cfRule>
  </conditionalFormatting>
  <conditionalFormatting sqref="J96:L97 K118:L118">
    <cfRule type="expression" dxfId="1184" priority="76">
      <formula>$K$118 &gt; 0</formula>
    </cfRule>
    <cfRule type="expression" dxfId="1183" priority="77">
      <formula>$K$118 = 0</formula>
    </cfRule>
    <cfRule type="expression" dxfId="1182" priority="78">
      <formula>$K$118 &lt; 0</formula>
    </cfRule>
  </conditionalFormatting>
  <conditionalFormatting sqref="M96:O97 N118:O118">
    <cfRule type="expression" dxfId="1181" priority="73">
      <formula>$N$118 &gt; 0</formula>
    </cfRule>
    <cfRule type="expression" dxfId="1180" priority="74">
      <formula>$N$118 = 0</formula>
    </cfRule>
    <cfRule type="expression" dxfId="1179" priority="75">
      <formula>$N$118 &lt; 0</formula>
    </cfRule>
  </conditionalFormatting>
  <conditionalFormatting sqref="A125:C144 M125:O144">
    <cfRule type="expression" dxfId="1178" priority="61">
      <formula>AND($N125 &gt; 0, ISNUMBER($N125))</formula>
    </cfRule>
    <cfRule type="expression" dxfId="1177" priority="62">
      <formula>AND($N125 = 0 * ISNUMBER($N125))</formula>
    </cfRule>
    <cfRule type="expression" dxfId="1176" priority="63">
      <formula>AND($N125 &lt; 0, ISNUMBER($N125))</formula>
    </cfRule>
  </conditionalFormatting>
  <conditionalFormatting sqref="A125:F144">
    <cfRule type="expression" dxfId="1175" priority="70">
      <formula>AND($E125 &gt; 0, ISNUMBER($E125))</formula>
    </cfRule>
    <cfRule type="expression" dxfId="1174" priority="71">
      <formula>AND($E125 = 0 * ISNUMBER($E125))</formula>
    </cfRule>
    <cfRule type="expression" dxfId="1173" priority="72">
      <formula>AND($E125 &lt; 0, ISNUMBER($E125))</formula>
    </cfRule>
  </conditionalFormatting>
  <conditionalFormatting sqref="A125:C144 G125:I144">
    <cfRule type="expression" dxfId="1172" priority="67">
      <formula>AND($H125 &gt; 0, ISNUMBER($H125))</formula>
    </cfRule>
    <cfRule type="expression" dxfId="1171" priority="68">
      <formula>AND($H125 = 0 * ISNUMBER($H125))</formula>
    </cfRule>
    <cfRule type="expression" dxfId="1170" priority="69">
      <formula>AND($H125 &lt; 0, ISNUMBER($H125))</formula>
    </cfRule>
  </conditionalFormatting>
  <conditionalFormatting sqref="A125:C144 J125:L144">
    <cfRule type="expression" dxfId="1169" priority="64">
      <formula>AND($K125 &gt; 0, ISNUMBER($K125))</formula>
    </cfRule>
    <cfRule type="expression" dxfId="1168" priority="65">
      <formula>AND($K125 = 0 * ISNUMBER($K125))</formula>
    </cfRule>
    <cfRule type="expression" dxfId="1167" priority="66">
      <formula>AND($K125 &lt; 0, ISNUMBER($K125))</formula>
    </cfRule>
  </conditionalFormatting>
  <conditionalFormatting sqref="D123:F124 E145:F145">
    <cfRule type="expression" dxfId="1166" priority="58">
      <formula>$E$145 &gt; 0</formula>
    </cfRule>
    <cfRule type="expression" dxfId="1165" priority="59">
      <formula>$E$145 = 0</formula>
    </cfRule>
    <cfRule type="expression" dxfId="1164" priority="60">
      <formula>$E$145 &lt; 0</formula>
    </cfRule>
  </conditionalFormatting>
  <conditionalFormatting sqref="G123:I124 H145:I145">
    <cfRule type="expression" dxfId="1163" priority="55">
      <formula>$H$145 &gt; 0</formula>
    </cfRule>
    <cfRule type="expression" dxfId="1162" priority="56">
      <formula>$H$145 = 0</formula>
    </cfRule>
    <cfRule type="expression" dxfId="1161" priority="57">
      <formula>$H$145 &lt; 0</formula>
    </cfRule>
  </conditionalFormatting>
  <conditionalFormatting sqref="J123:L124 K145:L145">
    <cfRule type="expression" dxfId="1160" priority="52">
      <formula>$K$145 &gt; 0</formula>
    </cfRule>
    <cfRule type="expression" dxfId="1159" priority="53">
      <formula>$K$145 = 0</formula>
    </cfRule>
    <cfRule type="expression" dxfId="1158" priority="54">
      <formula>$K$145 &lt; 0</formula>
    </cfRule>
  </conditionalFormatting>
  <conditionalFormatting sqref="M123:O124 N145:O145">
    <cfRule type="expression" dxfId="1157" priority="49">
      <formula>$N$145 &gt; 0</formula>
    </cfRule>
    <cfRule type="expression" dxfId="1156" priority="50">
      <formula>$N$145 = 0</formula>
    </cfRule>
    <cfRule type="expression" dxfId="1155" priority="51">
      <formula>$N$145 &lt; 0</formula>
    </cfRule>
  </conditionalFormatting>
  <conditionalFormatting sqref="A152:C171 M152:O171">
    <cfRule type="expression" dxfId="1154" priority="37">
      <formula>AND($N152 &gt; 0, ISNUMBER($N152))</formula>
    </cfRule>
    <cfRule type="expression" dxfId="1153" priority="38">
      <formula>AND($N152 = 0 * ISNUMBER($N152))</formula>
    </cfRule>
    <cfRule type="expression" dxfId="1152" priority="39">
      <formula>AND($N152 &lt; 0, ISNUMBER($N152))</formula>
    </cfRule>
  </conditionalFormatting>
  <conditionalFormatting sqref="A152:F171">
    <cfRule type="expression" dxfId="1151" priority="46">
      <formula>AND($E152 &gt; 0, ISNUMBER($E152))</formula>
    </cfRule>
    <cfRule type="expression" dxfId="1150" priority="47">
      <formula>AND($E152 = 0 * ISNUMBER($E152))</formula>
    </cfRule>
    <cfRule type="expression" dxfId="1149" priority="48">
      <formula>AND($E152 &lt; 0, ISNUMBER($E152))</formula>
    </cfRule>
  </conditionalFormatting>
  <conditionalFormatting sqref="A152:C171 G152:I171">
    <cfRule type="expression" dxfId="1148" priority="43">
      <formula>AND($H152 &gt; 0, ISNUMBER($H152))</formula>
    </cfRule>
    <cfRule type="expression" dxfId="1147" priority="44">
      <formula>AND($H152 = 0 * ISNUMBER($H152))</formula>
    </cfRule>
    <cfRule type="expression" dxfId="1146" priority="45">
      <formula>AND($H152 &lt; 0, ISNUMBER($H152))</formula>
    </cfRule>
  </conditionalFormatting>
  <conditionalFormatting sqref="A152:C171 J152:L171">
    <cfRule type="expression" dxfId="1145" priority="40">
      <formula>AND($K152 &gt; 0, ISNUMBER($K152))</formula>
    </cfRule>
    <cfRule type="expression" dxfId="1144" priority="41">
      <formula>AND($K152 = 0 * ISNUMBER($K152))</formula>
    </cfRule>
    <cfRule type="expression" dxfId="1143" priority="42">
      <formula>AND($K152 &lt; 0, ISNUMBER($K152))</formula>
    </cfRule>
  </conditionalFormatting>
  <conditionalFormatting sqref="D150:F151 E172:F172">
    <cfRule type="expression" dxfId="1142" priority="34">
      <formula>$E$172 &gt; 0</formula>
    </cfRule>
    <cfRule type="expression" dxfId="1141" priority="35">
      <formula>$E$172 = 0</formula>
    </cfRule>
    <cfRule type="expression" dxfId="1140" priority="36">
      <formula>$E$172 &lt; 0</formula>
    </cfRule>
  </conditionalFormatting>
  <conditionalFormatting sqref="G150:I151 H172:I172">
    <cfRule type="expression" dxfId="1139" priority="31">
      <formula>$H$172 &gt; 0</formula>
    </cfRule>
    <cfRule type="expression" dxfId="1138" priority="32">
      <formula>$H$172 = 0</formula>
    </cfRule>
    <cfRule type="expression" dxfId="1137" priority="33">
      <formula>$H$172 &lt; 0</formula>
    </cfRule>
  </conditionalFormatting>
  <conditionalFormatting sqref="J150:L151 K172:L172">
    <cfRule type="expression" dxfId="1136" priority="28">
      <formula>$K$172 &gt; 0</formula>
    </cfRule>
    <cfRule type="expression" dxfId="1135" priority="29">
      <formula>$K$172 = 0</formula>
    </cfRule>
    <cfRule type="expression" dxfId="1134" priority="30">
      <formula>$K$172 &lt; 0</formula>
    </cfRule>
  </conditionalFormatting>
  <conditionalFormatting sqref="M150:O151 N172:O172">
    <cfRule type="expression" dxfId="1133" priority="25">
      <formula>$N$172 &gt; 0</formula>
    </cfRule>
    <cfRule type="expression" dxfId="1132" priority="26">
      <formula>$N$172 = 0</formula>
    </cfRule>
    <cfRule type="expression" dxfId="1131" priority="27">
      <formula>$N$172 &lt; 0</formula>
    </cfRule>
  </conditionalFormatting>
  <conditionalFormatting sqref="A179:C198 M179:O198">
    <cfRule type="expression" dxfId="1130" priority="13">
      <formula>AND($N179 &gt; 0, ISNUMBER($N179))</formula>
    </cfRule>
    <cfRule type="expression" dxfId="1129" priority="14">
      <formula>AND($N179 = 0 * ISNUMBER($N179))</formula>
    </cfRule>
    <cfRule type="expression" dxfId="1128" priority="15">
      <formula>AND($N179 &lt; 0, ISNUMBER($N179))</formula>
    </cfRule>
  </conditionalFormatting>
  <conditionalFormatting sqref="A179:F198">
    <cfRule type="expression" dxfId="1127" priority="22">
      <formula>AND($E179 &gt; 0, ISNUMBER($E179))</formula>
    </cfRule>
    <cfRule type="expression" dxfId="1126" priority="23">
      <formula>AND($E179 = 0 * ISNUMBER($E179))</formula>
    </cfRule>
    <cfRule type="expression" dxfId="1125" priority="24">
      <formula>AND($E179 &lt; 0, ISNUMBER($E179))</formula>
    </cfRule>
  </conditionalFormatting>
  <conditionalFormatting sqref="A179:C198 G179:I198">
    <cfRule type="expression" dxfId="1124" priority="19">
      <formula>AND($H179 &gt; 0, ISNUMBER($H179))</formula>
    </cfRule>
    <cfRule type="expression" dxfId="1123" priority="20">
      <formula>AND($H179 = 0 * ISNUMBER($H179))</formula>
    </cfRule>
    <cfRule type="expression" dxfId="1122" priority="21">
      <formula>AND($H179 &lt; 0, ISNUMBER($H179))</formula>
    </cfRule>
  </conditionalFormatting>
  <conditionalFormatting sqref="A179:C198 J179:L198">
    <cfRule type="expression" dxfId="1121" priority="16">
      <formula>AND($K179 &gt; 0, ISNUMBER($K179))</formula>
    </cfRule>
    <cfRule type="expression" dxfId="1120" priority="17">
      <formula>AND($K179 = 0 * ISNUMBER($K179))</formula>
    </cfRule>
    <cfRule type="expression" dxfId="1119" priority="18">
      <formula>AND($K179 &lt; 0, ISNUMBER($K179))</formula>
    </cfRule>
  </conditionalFormatting>
  <conditionalFormatting sqref="D177:F178 E199:F199">
    <cfRule type="expression" dxfId="1118" priority="10">
      <formula>$E$199 &gt; 0</formula>
    </cfRule>
    <cfRule type="expression" dxfId="1117" priority="11">
      <formula>$E$199 = 0</formula>
    </cfRule>
    <cfRule type="expression" dxfId="1116" priority="12">
      <formula>$E$199 &lt; 0</formula>
    </cfRule>
  </conditionalFormatting>
  <conditionalFormatting sqref="G177:I178 H199:I199">
    <cfRule type="expression" dxfId="1115" priority="7">
      <formula>$H$199 &gt; 0</formula>
    </cfRule>
    <cfRule type="expression" dxfId="1114" priority="8">
      <formula>$H$199 = 0</formula>
    </cfRule>
    <cfRule type="expression" dxfId="1113" priority="9">
      <formula>$H$199 &lt; 0</formula>
    </cfRule>
  </conditionalFormatting>
  <conditionalFormatting sqref="J177:L178 K199:L199">
    <cfRule type="expression" dxfId="1112" priority="4">
      <formula>$K$199 &gt; 0</formula>
    </cfRule>
    <cfRule type="expression" dxfId="1111" priority="5">
      <formula>$K$199 = 0</formula>
    </cfRule>
    <cfRule type="expression" dxfId="1110" priority="6">
      <formula>$K$199 &lt; 0</formula>
    </cfRule>
  </conditionalFormatting>
  <conditionalFormatting sqref="M177:O178 N199:O199">
    <cfRule type="expression" dxfId="1109" priority="1">
      <formula>$N$199 &gt; 0</formula>
    </cfRule>
    <cfRule type="expression" dxfId="1108" priority="2">
      <formula>$N$199 = 0</formula>
    </cfRule>
    <cfRule type="expression" dxfId="110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18">
        <v>44417</v>
      </c>
      <c r="H1" s="219"/>
      <c r="I1" s="220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24" t="s">
        <v>46</v>
      </c>
      <c r="H2" s="225"/>
      <c r="I2" s="226"/>
      <c r="J2" s="1" t="s">
        <v>3</v>
      </c>
      <c r="K2" s="221" t="s">
        <v>320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27" t="s">
        <v>328</v>
      </c>
      <c r="C3" s="228"/>
      <c r="D3" s="228"/>
      <c r="E3" s="228"/>
      <c r="F3" s="229"/>
      <c r="G3" s="23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71,387 KRW (3.57%)</v>
      </c>
      <c r="H3" s="231"/>
      <c r="I3" s="232"/>
      <c r="J3" s="4" t="s">
        <v>7</v>
      </c>
      <c r="K3" s="227" t="s">
        <v>321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7" t="s">
        <v>16</v>
      </c>
      <c r="C4" s="228"/>
      <c r="D4" s="228"/>
      <c r="E4" s="228"/>
      <c r="F4" s="229"/>
      <c r="G4" s="224" t="s">
        <v>44</v>
      </c>
      <c r="H4" s="225"/>
      <c r="I4" s="226"/>
      <c r="J4" s="4" t="s">
        <v>11</v>
      </c>
      <c r="K4" s="227" t="s">
        <v>322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7" t="s">
        <v>319</v>
      </c>
      <c r="C5" s="228"/>
      <c r="D5" s="228"/>
      <c r="E5" s="228"/>
      <c r="F5" s="229"/>
      <c r="G5" s="23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55,805 KRW (2.79%)</v>
      </c>
      <c r="H5" s="231"/>
      <c r="I5" s="232"/>
      <c r="J5" s="4" t="s">
        <v>15</v>
      </c>
      <c r="K5" s="227" t="s">
        <v>323</v>
      </c>
      <c r="L5" s="228"/>
      <c r="M5" s="228"/>
      <c r="N5" s="228"/>
      <c r="O5" s="229"/>
    </row>
    <row r="6" spans="1:19">
      <c r="A6" s="118" t="s">
        <v>18</v>
      </c>
      <c r="B6" s="227"/>
      <c r="C6" s="228"/>
      <c r="D6" s="228"/>
      <c r="E6" s="228"/>
      <c r="F6" s="229"/>
      <c r="G6" s="224" t="s">
        <v>45</v>
      </c>
      <c r="H6" s="225"/>
      <c r="I6" s="226"/>
      <c r="J6" s="4" t="s">
        <v>18</v>
      </c>
      <c r="K6" s="227" t="s">
        <v>324</v>
      </c>
      <c r="L6" s="228"/>
      <c r="M6" s="228"/>
      <c r="N6" s="228"/>
      <c r="O6" s="229"/>
    </row>
    <row r="7" spans="1:19" ht="17.25" thickBot="1">
      <c r="A7" s="118" t="s">
        <v>21</v>
      </c>
      <c r="B7" s="227"/>
      <c r="C7" s="228"/>
      <c r="D7" s="228"/>
      <c r="E7" s="228"/>
      <c r="F7" s="229"/>
      <c r="G7" s="23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60,246 KRW (3.01%)</v>
      </c>
      <c r="H7" s="231"/>
      <c r="I7" s="232"/>
      <c r="J7" s="4" t="s">
        <v>21</v>
      </c>
      <c r="K7" s="227" t="s">
        <v>325</v>
      </c>
      <c r="L7" s="228"/>
      <c r="M7" s="228"/>
      <c r="N7" s="228"/>
      <c r="O7" s="229"/>
    </row>
    <row r="8" spans="1:19" ht="17.25" thickBot="1">
      <c r="A8" s="118" t="s">
        <v>24</v>
      </c>
      <c r="B8" s="227"/>
      <c r="C8" s="228"/>
      <c r="D8" s="228"/>
      <c r="E8" s="228"/>
      <c r="F8" s="229"/>
      <c r="G8" s="224" t="s">
        <v>255</v>
      </c>
      <c r="H8" s="225"/>
      <c r="I8" s="226"/>
      <c r="J8" s="4" t="s">
        <v>24</v>
      </c>
      <c r="K8" s="227"/>
      <c r="L8" s="228"/>
      <c r="M8" s="228"/>
      <c r="N8" s="228"/>
      <c r="O8" s="229"/>
      <c r="Q8" s="215" t="s">
        <v>27</v>
      </c>
      <c r="R8" s="217"/>
    </row>
    <row r="9" spans="1:19" ht="17.25" thickBot="1">
      <c r="A9" s="118" t="s">
        <v>28</v>
      </c>
      <c r="B9" s="227"/>
      <c r="C9" s="228"/>
      <c r="D9" s="228"/>
      <c r="E9" s="228"/>
      <c r="F9" s="229"/>
      <c r="G9" s="23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58,889 KRW (2.94%)</v>
      </c>
      <c r="H9" s="231"/>
      <c r="I9" s="232"/>
      <c r="J9" s="4" t="s">
        <v>28</v>
      </c>
      <c r="K9" s="227"/>
      <c r="L9" s="228"/>
      <c r="M9" s="228"/>
      <c r="N9" s="228"/>
      <c r="O9" s="229"/>
      <c r="Q9" s="2" t="s">
        <v>29</v>
      </c>
      <c r="R9" s="6">
        <v>10</v>
      </c>
    </row>
    <row r="10" spans="1:19">
      <c r="A10" s="118" t="s">
        <v>30</v>
      </c>
      <c r="B10" s="227"/>
      <c r="C10" s="228"/>
      <c r="D10" s="228"/>
      <c r="E10" s="228"/>
      <c r="F10" s="229"/>
      <c r="G10" s="224" t="s">
        <v>47</v>
      </c>
      <c r="H10" s="225"/>
      <c r="I10" s="226"/>
      <c r="J10" s="4" t="s">
        <v>30</v>
      </c>
      <c r="K10" s="227" t="s">
        <v>326</v>
      </c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1"/>
      <c r="I11" s="232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36"/>
      <c r="R13" s="236"/>
      <c r="S13" s="236"/>
    </row>
    <row r="14" spans="1:19" ht="17.25" customHeight="1" thickBot="1">
      <c r="A14" s="189" t="s">
        <v>35</v>
      </c>
      <c r="B14" s="215" t="s">
        <v>36</v>
      </c>
      <c r="C14" s="217"/>
      <c r="D14" s="215" t="s">
        <v>37</v>
      </c>
      <c r="E14" s="216"/>
      <c r="F14" s="217"/>
      <c r="G14" s="242">
        <f>_xlfn.IFNA(VLOOKUP(B14, 현재가테이블!$B$2:$D$200, 2, FALSE), "-")</f>
        <v>53976000</v>
      </c>
      <c r="H14" s="243"/>
      <c r="I14" s="244"/>
      <c r="J14" s="215" t="s">
        <v>38</v>
      </c>
      <c r="K14" s="216"/>
      <c r="L14" s="217"/>
      <c r="M14" s="245">
        <f>_xlfn.IFNA(VLOOKUP(B14, 현재가테이블!$B$2:$D$200, 3, FALSE), "-")</f>
        <v>-2.1216407400000001E-2</v>
      </c>
      <c r="N14" s="246"/>
      <c r="O14" s="247"/>
      <c r="Q14" s="236"/>
      <c r="R14" s="236"/>
      <c r="S14" s="236"/>
    </row>
    <row r="15" spans="1:19" ht="17.25" customHeight="1" thickBot="1">
      <c r="A15" s="280" t="s">
        <v>39</v>
      </c>
      <c r="B15" s="281" t="str">
        <f>TEXT($G$1, "[$-ko-KR]yyyy-mm-dd(ddd) ") &amp; "오전 00:00"</f>
        <v>2021-08-09(월) 오전 00:00</v>
      </c>
      <c r="C15" s="282"/>
      <c r="D15" s="238" t="str">
        <f>TEXT($G$1, "[$-ko-KR]yyyy-mm-dd(ddd) ") &amp; "오후 14:00"</f>
        <v>2021-08-09(월) 오후 14:00</v>
      </c>
      <c r="E15" s="239"/>
      <c r="F15" s="240"/>
      <c r="G15" s="238" t="str">
        <f>TEXT($G$1, "[$-ko-KR]yyyy-mm-dd(ddd) ") &amp; "오후 19:00"</f>
        <v>2021-08-09(월) 오후 19:00</v>
      </c>
      <c r="H15" s="239"/>
      <c r="I15" s="240"/>
      <c r="J15" s="238" t="str">
        <f>TEXT($G$1, "[$-ko-KR]yyyy-mm-dd(ddd) ") &amp; "오후 21:00"</f>
        <v>2021-08-09(월) 오후 21:00</v>
      </c>
      <c r="K15" s="239"/>
      <c r="L15" s="240"/>
      <c r="M15" s="238" t="str">
        <f>TEXT($G$1+1, "[$-ko-KR]yyyy-mm-dd(ddd) ") &amp; "오전 00:00"</f>
        <v>2021-08-10(화) 오전 00:00</v>
      </c>
      <c r="N15" s="239"/>
      <c r="O15" s="240"/>
      <c r="Q15" s="236"/>
      <c r="R15" s="236"/>
      <c r="S15" s="236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1"/>
      <c r="R16" s="241"/>
      <c r="S16" s="24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6"/>
      <c r="R17" s="236"/>
      <c r="S17" s="23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6"/>
      <c r="R18" s="236"/>
      <c r="S18" s="23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1"/>
      <c r="R19" s="241"/>
      <c r="S19" s="24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1"/>
      <c r="R20" s="241"/>
      <c r="S20" s="24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1"/>
      <c r="R21" s="241"/>
      <c r="S21" s="24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1"/>
      <c r="R22" s="241"/>
      <c r="S22" s="24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1"/>
      <c r="R23" s="241"/>
      <c r="S23" s="24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1"/>
      <c r="R24" s="241"/>
      <c r="S24" s="24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0"/>
      <c r="R26" s="251"/>
      <c r="S26" s="25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3"/>
      <c r="R27" s="254"/>
      <c r="S27" s="25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6"/>
      <c r="R28" s="257"/>
      <c r="S28" s="25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1"/>
      <c r="R29" s="241"/>
      <c r="S29" s="24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6"/>
      <c r="R30" s="236"/>
      <c r="S30" s="23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6"/>
      <c r="R31" s="236"/>
      <c r="S31" s="23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1"/>
      <c r="R32" s="241"/>
      <c r="S32" s="24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1"/>
      <c r="R33" s="241"/>
      <c r="S33" s="24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1"/>
      <c r="R34" s="241"/>
      <c r="S34" s="24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3"/>
      <c r="R35" s="264"/>
      <c r="S35" s="26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6"/>
      <c r="R36" s="267"/>
      <c r="S36" s="268"/>
    </row>
    <row r="37" spans="1:19" ht="17.25" customHeight="1" thickBot="1">
      <c r="A37" s="132" t="s">
        <v>42</v>
      </c>
      <c r="B37" s="274">
        <v>100000</v>
      </c>
      <c r="C37" s="27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9"/>
      <c r="R37" s="270"/>
      <c r="S37" s="27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36"/>
      <c r="R40" s="236"/>
      <c r="S40" s="236"/>
    </row>
    <row r="41" spans="1:19" ht="17.25" customHeight="1" thickBot="1">
      <c r="A41" s="189" t="s">
        <v>267</v>
      </c>
      <c r="B41" s="215" t="s">
        <v>49</v>
      </c>
      <c r="C41" s="217"/>
      <c r="D41" s="215" t="s">
        <v>58</v>
      </c>
      <c r="E41" s="216"/>
      <c r="F41" s="217"/>
      <c r="G41" s="242">
        <f>_xlfn.IFNA(VLOOKUP(B41, 현재가테이블!$B$2:$D$200, 2, FALSE), "-")</f>
        <v>53976000</v>
      </c>
      <c r="H41" s="243"/>
      <c r="I41" s="244"/>
      <c r="J41" s="215" t="s">
        <v>59</v>
      </c>
      <c r="K41" s="216"/>
      <c r="L41" s="217"/>
      <c r="M41" s="245">
        <f>_xlfn.IFNA(VLOOKUP(B41, 현재가테이블!$B$2:$D$200, 3, FALSE), "-")</f>
        <v>-2.1216407400000001E-2</v>
      </c>
      <c r="N41" s="246"/>
      <c r="O41" s="247"/>
      <c r="Q41" s="236"/>
      <c r="R41" s="236"/>
      <c r="S41" s="236"/>
    </row>
    <row r="42" spans="1:19" ht="17.25" customHeight="1" thickBot="1">
      <c r="A42" s="276" t="s">
        <v>55</v>
      </c>
      <c r="B42" s="278" t="str">
        <f>TEXT($G$1, "[$-ko-KR]yyyy-mm-dd(ddd) ") &amp; "오전 00:00"</f>
        <v>2021-08-09(월) 오전 00:00</v>
      </c>
      <c r="C42" s="279"/>
      <c r="D42" s="238" t="str">
        <f>TEXT($G$1, "[$-ko-KR]yyyy-mm-dd(ddd) ") &amp; "오후 14:00"</f>
        <v>2021-08-09(월) 오후 14:00</v>
      </c>
      <c r="E42" s="239"/>
      <c r="F42" s="240"/>
      <c r="G42" s="238" t="str">
        <f>TEXT($G$1, "[$-ko-KR]yyyy-mm-dd(ddd) ") &amp; "오후 19:00"</f>
        <v>2021-08-09(월) 오후 19:00</v>
      </c>
      <c r="H42" s="239"/>
      <c r="I42" s="240"/>
      <c r="J42" s="238" t="str">
        <f>TEXT($G$1, "[$-ko-KR]yyyy-mm-dd(ddd) ") &amp; "오후 21:00"</f>
        <v>2021-08-09(월) 오후 21:00</v>
      </c>
      <c r="K42" s="239"/>
      <c r="L42" s="240"/>
      <c r="M42" s="238" t="str">
        <f>TEXT($G$1+1, "[$-ko-KR]yyyy-mm-dd(ddd) ") &amp; "오전 00:00"</f>
        <v>2021-08-10(화) 오전 00:00</v>
      </c>
      <c r="N42" s="239"/>
      <c r="O42" s="240"/>
      <c r="Q42" s="236"/>
      <c r="R42" s="236"/>
      <c r="S42" s="236"/>
    </row>
    <row r="43" spans="1:19" ht="17.25" customHeight="1" thickBot="1">
      <c r="A43" s="27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1"/>
      <c r="R43" s="241"/>
      <c r="S43" s="241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>
        <v>67</v>
      </c>
      <c r="N44" s="14">
        <f>IF(ISNUMBER(M44), (M44 - $B44) / $B44, "")</f>
        <v>-4.4576523031203148E-3</v>
      </c>
      <c r="O44" s="16">
        <f>IF(ISNUMBER(M44), $B64 * N44, "")</f>
        <v>-445.76523031203146</v>
      </c>
      <c r="Q44" s="236"/>
      <c r="R44" s="236"/>
      <c r="S44" s="236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>
        <v>4.41</v>
      </c>
      <c r="N45" s="32">
        <f t="shared" ref="N45:N48" si="17">IF(ISNUMBER(M45), (M45 - $B45) / $B45, "")</f>
        <v>1.6129032258064582E-2</v>
      </c>
      <c r="O45" s="18">
        <f>IF(ISNUMBER(M45), $B64 * N45, "")</f>
        <v>1612.9032258064581</v>
      </c>
      <c r="Q45" s="236"/>
      <c r="R45" s="236"/>
      <c r="S45" s="236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>
        <v>13.6</v>
      </c>
      <c r="N46" s="32">
        <f t="shared" si="17"/>
        <v>2.2556390977443528E-2</v>
      </c>
      <c r="O46" s="18">
        <f>IF(ISNUMBER(M46), $B64 * N46, "")</f>
        <v>2255.639097744353</v>
      </c>
      <c r="Q46" s="241"/>
      <c r="R46" s="241"/>
      <c r="S46" s="241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>
        <v>84.3</v>
      </c>
      <c r="N47" s="32">
        <f t="shared" si="17"/>
        <v>2.5547445255474383E-2</v>
      </c>
      <c r="O47" s="18">
        <f>IF(ISNUMBER(M47), $B64 * N47, "")</f>
        <v>2554.7445255474381</v>
      </c>
      <c r="Q47" s="241"/>
      <c r="R47" s="241"/>
      <c r="S47" s="241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>
        <v>103</v>
      </c>
      <c r="N48" s="21">
        <f t="shared" si="17"/>
        <v>3.6217303822937565E-2</v>
      </c>
      <c r="O48" s="22">
        <f>IF(ISNUMBER(M48), $B64 * N48, "")</f>
        <v>3621.7303822937565</v>
      </c>
      <c r="Q48" s="241"/>
      <c r="R48" s="241"/>
      <c r="S48" s="241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>
        <v>101</v>
      </c>
      <c r="N49" s="107">
        <f>IF(ISNUMBER(M49), (M49 - $B49) / $B49, "")</f>
        <v>1.6096579476861109E-2</v>
      </c>
      <c r="O49" s="108">
        <f>IF(ISNUMBER(M49), $B64 * N49, "")</f>
        <v>1609.6579476861109</v>
      </c>
      <c r="Q49" s="241"/>
      <c r="R49" s="241"/>
      <c r="S49" s="241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>
        <v>12.7</v>
      </c>
      <c r="N50" s="32">
        <f t="shared" ref="N50:N53" si="21">IF(ISNUMBER(M50), (M50 - $B50) / $B50, "")</f>
        <v>3.2520325203251918E-2</v>
      </c>
      <c r="O50" s="18">
        <f>IF(ISNUMBER(M50), $B64 * N50, "")</f>
        <v>3252.0325203251919</v>
      </c>
      <c r="Q50" s="241"/>
      <c r="R50" s="241"/>
      <c r="S50" s="241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>
        <v>12</v>
      </c>
      <c r="N51" s="32">
        <f t="shared" si="21"/>
        <v>1.6949152542372819E-2</v>
      </c>
      <c r="O51" s="18">
        <f>IF(ISNUMBER(M51), $B64 * N51, "")</f>
        <v>1694.9152542372819</v>
      </c>
      <c r="Q51" s="241"/>
      <c r="R51" s="241"/>
      <c r="S51" s="241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>
        <v>31.6</v>
      </c>
      <c r="N52" s="32">
        <f t="shared" si="21"/>
        <v>3.9473684210526411E-2</v>
      </c>
      <c r="O52" s="18">
        <f>IF(ISNUMBER(M52), $B64 * N52, "")</f>
        <v>3947.3684210526412</v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>
        <v>11.5</v>
      </c>
      <c r="N53" s="25">
        <f t="shared" si="21"/>
        <v>1.7699115044247725E-2</v>
      </c>
      <c r="O53" s="104">
        <f>IF(ISNUMBER(M53), $B64 * N53, "")</f>
        <v>1769.9115044247726</v>
      </c>
      <c r="Q53" s="250"/>
      <c r="R53" s="251"/>
      <c r="S53" s="252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>
        <v>17.100000000000001</v>
      </c>
      <c r="N54" s="14">
        <f>IF(ISNUMBER(M54), (M54 - $B54) / $B54, "")</f>
        <v>2.3952095808383363E-2</v>
      </c>
      <c r="O54" s="16">
        <f>IF(ISNUMBER(M54), $B64 * N54, "")</f>
        <v>2395.2095808383365</v>
      </c>
      <c r="Q54" s="253"/>
      <c r="R54" s="254"/>
      <c r="S54" s="255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>
        <v>22.2</v>
      </c>
      <c r="N55" s="32">
        <f t="shared" ref="N55:N58" si="25">IF(ISNUMBER(M55), (M55 - $B55) / $B55, "")</f>
        <v>2.7777777777777676E-2</v>
      </c>
      <c r="O55" s="18">
        <f>IF(ISNUMBER(M55), $B64 * N55, "")</f>
        <v>2777.7777777777674</v>
      </c>
      <c r="Q55" s="256"/>
      <c r="R55" s="257"/>
      <c r="S55" s="258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>
        <v>19.2</v>
      </c>
      <c r="N56" s="32">
        <f t="shared" si="25"/>
        <v>3.7837837837837798E-2</v>
      </c>
      <c r="O56" s="18">
        <f>IF(ISNUMBER(M56), $B64 * N56, "")</f>
        <v>3783.7837837837797</v>
      </c>
      <c r="Q56" s="241"/>
      <c r="R56" s="241"/>
      <c r="S56" s="241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>
        <v>100</v>
      </c>
      <c r="N57" s="32">
        <f t="shared" si="25"/>
        <v>4.3841336116910261E-2</v>
      </c>
      <c r="O57" s="18">
        <f>IF(ISNUMBER(M57), $B64 * N57, "")</f>
        <v>4384.1336116910261</v>
      </c>
      <c r="Q57" s="236"/>
      <c r="R57" s="236"/>
      <c r="S57" s="236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>
        <v>68.2</v>
      </c>
      <c r="N58" s="21">
        <f t="shared" si="25"/>
        <v>2.8657616892911096E-2</v>
      </c>
      <c r="O58" s="22">
        <f>IF(ISNUMBER(M58), $B64 * N58, "")</f>
        <v>2865.7616892911096</v>
      </c>
      <c r="Q58" s="236"/>
      <c r="R58" s="236"/>
      <c r="S58" s="236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>
        <v>10.6</v>
      </c>
      <c r="N59" s="107">
        <f>IF(ISNUMBER(M59), (M59 - $B59) / $B59, "")</f>
        <v>3.9215686274509838E-2</v>
      </c>
      <c r="O59" s="108">
        <f>IF(ISNUMBER(M59), $B64 * N59, "")</f>
        <v>3921.568627450984</v>
      </c>
      <c r="Q59" s="241"/>
      <c r="R59" s="241"/>
      <c r="S59" s="241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>
        <v>69.099999999999994</v>
      </c>
      <c r="N60" s="32">
        <f t="shared" ref="N60:N63" si="29">IF(ISNUMBER(M60), (M60 - $B60) / $B60, "")</f>
        <v>2.9806259314456039E-2</v>
      </c>
      <c r="O60" s="18">
        <f>IF(ISNUMBER(M60), $B64 * N60, "")</f>
        <v>2980.6259314456038</v>
      </c>
      <c r="Q60" s="241"/>
      <c r="R60" s="241"/>
      <c r="S60" s="241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>
        <v>16.3</v>
      </c>
      <c r="N61" s="32">
        <f t="shared" si="29"/>
        <v>3.164556962025316E-2</v>
      </c>
      <c r="O61" s="18">
        <f>IF(ISNUMBER(M61), $B64 * N61, "")</f>
        <v>3164.5569620253159</v>
      </c>
      <c r="Q61" s="241"/>
      <c r="R61" s="241"/>
      <c r="S61" s="241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>
        <v>29.3</v>
      </c>
      <c r="N62" s="32">
        <f t="shared" si="29"/>
        <v>3.900709219858161E-2</v>
      </c>
      <c r="O62" s="18">
        <f>IF(ISNUMBER(M62), $B64 * N62, "")</f>
        <v>3900.7092198581608</v>
      </c>
      <c r="Q62" s="263"/>
      <c r="R62" s="264"/>
      <c r="S62" s="265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>
        <v>85.6</v>
      </c>
      <c r="N63" s="25">
        <f t="shared" si="29"/>
        <v>3.7575757575757505E-2</v>
      </c>
      <c r="O63" s="104">
        <f>IF(ISNUMBER(M63), $B64 * N63, "")</f>
        <v>3757.5757575757507</v>
      </c>
      <c r="Q63" s="266"/>
      <c r="R63" s="267"/>
      <c r="S63" s="268"/>
    </row>
    <row r="64" spans="1:19" ht="17.25" customHeight="1" thickBot="1">
      <c r="A64" s="132" t="s">
        <v>270</v>
      </c>
      <c r="B64" s="274">
        <f>$B$37</f>
        <v>100000</v>
      </c>
      <c r="C64" s="275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2.7902420295271894E-2</v>
      </c>
      <c r="O64" s="28">
        <f>SUM(O44:O63)</f>
        <v>55804.840590543812</v>
      </c>
      <c r="Q64" s="269"/>
      <c r="R64" s="270"/>
      <c r="S64" s="27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36"/>
      <c r="R67" s="236"/>
      <c r="S67" s="236"/>
    </row>
    <row r="68" spans="1:19" ht="17.25" thickBot="1">
      <c r="A68" s="189" t="s">
        <v>267</v>
      </c>
      <c r="B68" s="215" t="s">
        <v>49</v>
      </c>
      <c r="C68" s="217"/>
      <c r="D68" s="215" t="s">
        <v>58</v>
      </c>
      <c r="E68" s="216"/>
      <c r="F68" s="217"/>
      <c r="G68" s="242">
        <f>_xlfn.IFNA(VLOOKUP(B68, 현재가테이블!$B$2:$D$200, 2, FALSE), "-")</f>
        <v>53976000</v>
      </c>
      <c r="H68" s="243"/>
      <c r="I68" s="244"/>
      <c r="J68" s="215" t="s">
        <v>59</v>
      </c>
      <c r="K68" s="216"/>
      <c r="L68" s="217"/>
      <c r="M68" s="245">
        <f>_xlfn.IFNA(VLOOKUP(B68, 현재가테이블!$B$2:$D$200, 3, FALSE), "-")</f>
        <v>-2.1216407400000001E-2</v>
      </c>
      <c r="N68" s="246"/>
      <c r="O68" s="247"/>
      <c r="Q68" s="236"/>
      <c r="R68" s="236"/>
      <c r="S68" s="236"/>
    </row>
    <row r="69" spans="1:19" ht="17.25" thickBot="1">
      <c r="A69" s="276" t="s">
        <v>55</v>
      </c>
      <c r="B69" s="278" t="str">
        <f>TEXT($G$1, "[$-ko-KR]yyyy-mm-dd(ddd) ") &amp; "오전 00:00"</f>
        <v>2021-08-09(월) 오전 00:00</v>
      </c>
      <c r="C69" s="279"/>
      <c r="D69" s="238" t="str">
        <f>TEXT($G$1, "[$-ko-KR]yyyy-mm-dd(ddd) ") &amp; "오후 14:00"</f>
        <v>2021-08-09(월) 오후 14:00</v>
      </c>
      <c r="E69" s="239"/>
      <c r="F69" s="240"/>
      <c r="G69" s="238" t="str">
        <f>TEXT($G$1, "[$-ko-KR]yyyy-mm-dd(ddd) ") &amp; "오후 19:00"</f>
        <v>2021-08-09(월) 오후 19:00</v>
      </c>
      <c r="H69" s="239"/>
      <c r="I69" s="240"/>
      <c r="J69" s="238" t="str">
        <f>TEXT($G$1, "[$-ko-KR]yyyy-mm-dd(ddd) ") &amp; "오후 21:00"</f>
        <v>2021-08-09(월) 오후 21:00</v>
      </c>
      <c r="K69" s="239"/>
      <c r="L69" s="240"/>
      <c r="M69" s="238" t="str">
        <f>TEXT($G$1+1, "[$-ko-KR]yyyy-mm-dd(ddd) ") &amp; "오전 00:00"</f>
        <v>2021-08-10(화) 오전 00:00</v>
      </c>
      <c r="N69" s="239"/>
      <c r="O69" s="240"/>
      <c r="Q69" s="236"/>
      <c r="R69" s="236"/>
      <c r="S69" s="236"/>
    </row>
    <row r="70" spans="1:19" ht="17.25" thickBot="1">
      <c r="A70" s="27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1"/>
      <c r="R70" s="241"/>
      <c r="S70" s="241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>
        <v>356</v>
      </c>
      <c r="N71" s="14">
        <f>IF(ISNUMBER(M71), (M71 - $B71) / $B71, "")</f>
        <v>2.2988505747126436E-2</v>
      </c>
      <c r="O71" s="16">
        <f>IF(ISNUMBER(M71), $B91 * N71, "")</f>
        <v>2298.8505747126437</v>
      </c>
      <c r="Q71" s="236"/>
      <c r="R71" s="236"/>
      <c r="S71" s="236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>
        <v>135</v>
      </c>
      <c r="N72" s="32">
        <f t="shared" ref="N72:N75" si="33">IF(ISNUMBER(M72), (M72 - $B72) / $B72, "")</f>
        <v>1.5037593984962405E-2</v>
      </c>
      <c r="O72" s="18">
        <f>IF(ISNUMBER(M72), $B91 * N72, "")</f>
        <v>1503.7593984962405</v>
      </c>
      <c r="Q72" s="236"/>
      <c r="R72" s="236"/>
      <c r="S72" s="236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>
        <v>862</v>
      </c>
      <c r="N73" s="32">
        <f t="shared" si="33"/>
        <v>2.8639618138424822E-2</v>
      </c>
      <c r="O73" s="18">
        <f>IF(ISNUMBER(M73), $B91 * N73, "")</f>
        <v>2863.9618138424821</v>
      </c>
      <c r="Q73" s="241"/>
      <c r="R73" s="241"/>
      <c r="S73" s="241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>
        <v>935</v>
      </c>
      <c r="N74" s="32">
        <f t="shared" si="33"/>
        <v>3.3149171270718231E-2</v>
      </c>
      <c r="O74" s="18">
        <f>IF(ISNUMBER(M74), $B91 * N74, "")</f>
        <v>3314.917127071823</v>
      </c>
      <c r="Q74" s="241"/>
      <c r="R74" s="241"/>
      <c r="S74" s="241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>
        <v>105</v>
      </c>
      <c r="N75" s="21">
        <f t="shared" si="33"/>
        <v>3.9603960396039604E-2</v>
      </c>
      <c r="O75" s="22">
        <f>IF(ISNUMBER(M75), $B91 * N75, "")</f>
        <v>3960.3960396039606</v>
      </c>
      <c r="Q75" s="241"/>
      <c r="R75" s="241"/>
      <c r="S75" s="241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>
        <v>208</v>
      </c>
      <c r="N76" s="107">
        <f>IF(ISNUMBER(M76), (M76 - $B76) / $B76, "")</f>
        <v>2.9702970297029702E-2</v>
      </c>
      <c r="O76" s="108">
        <f>IF(ISNUMBER(M76), $B91 * N76, "")</f>
        <v>2970.2970297029701</v>
      </c>
      <c r="Q76" s="241"/>
      <c r="R76" s="241"/>
      <c r="S76" s="241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>
        <v>290</v>
      </c>
      <c r="N77" s="32">
        <f t="shared" ref="N77:N80" si="37">IF(ISNUMBER(M77), (M77 - $B77) / $B77, "")</f>
        <v>4.3165467625899283E-2</v>
      </c>
      <c r="O77" s="18">
        <f>IF(ISNUMBER(M77), $B91 * N77, "")</f>
        <v>4316.5467625899282</v>
      </c>
      <c r="Q77" s="241"/>
      <c r="R77" s="241"/>
      <c r="S77" s="241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>
        <v>345</v>
      </c>
      <c r="N78" s="32">
        <f t="shared" si="37"/>
        <v>4.5454545454545456E-2</v>
      </c>
      <c r="O78" s="18">
        <f>IF(ISNUMBER(M78), $B91 * N78, "")</f>
        <v>4545.454545454546</v>
      </c>
      <c r="Q78" s="241"/>
      <c r="R78" s="241"/>
      <c r="S78" s="241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>
        <v>109</v>
      </c>
      <c r="N79" s="32">
        <f t="shared" si="37"/>
        <v>9.2592592592592587E-3</v>
      </c>
      <c r="O79" s="18">
        <f>IF(ISNUMBER(M79), $B91 * N79, "")</f>
        <v>925.92592592592587</v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>
        <v>714</v>
      </c>
      <c r="N80" s="25">
        <f t="shared" si="37"/>
        <v>7.052186177715092E-3</v>
      </c>
      <c r="O80" s="104">
        <f>IF(ISNUMBER(M80), $B91 * N80, "")</f>
        <v>705.21861777150923</v>
      </c>
      <c r="Q80" s="250"/>
      <c r="R80" s="251"/>
      <c r="S80" s="252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>
        <v>250</v>
      </c>
      <c r="N81" s="14">
        <f>IF(ISNUMBER(M81), (M81 - $B81) / $B81, "")</f>
        <v>2.0408163265306121E-2</v>
      </c>
      <c r="O81" s="16">
        <f>IF(ISNUMBER(M81), $B91 * N81, "")</f>
        <v>2040.8163265306121</v>
      </c>
      <c r="Q81" s="253"/>
      <c r="R81" s="254"/>
      <c r="S81" s="255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>
        <v>121</v>
      </c>
      <c r="N82" s="32">
        <f t="shared" ref="N82:N85" si="41">IF(ISNUMBER(M82), (M82 - $B82) / $B82, "")</f>
        <v>5.2173913043478258E-2</v>
      </c>
      <c r="O82" s="18">
        <f>IF(ISNUMBER(M82), $B91 * N82, "")</f>
        <v>5217.391304347826</v>
      </c>
      <c r="Q82" s="256"/>
      <c r="R82" s="257"/>
      <c r="S82" s="258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>
        <v>384</v>
      </c>
      <c r="N83" s="32">
        <f t="shared" si="41"/>
        <v>2.6737967914438502E-2</v>
      </c>
      <c r="O83" s="18">
        <f>IF(ISNUMBER(M83), $B91 * N83, "")</f>
        <v>2673.79679144385</v>
      </c>
      <c r="Q83" s="241"/>
      <c r="R83" s="241"/>
      <c r="S83" s="241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>
        <v>992</v>
      </c>
      <c r="N84" s="32">
        <f t="shared" si="41"/>
        <v>1.7435897435897435E-2</v>
      </c>
      <c r="O84" s="18">
        <f>IF(ISNUMBER(M84), $B91 * N84, "")</f>
        <v>1743.5897435897434</v>
      </c>
      <c r="Q84" s="236"/>
      <c r="R84" s="236"/>
      <c r="S84" s="236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>
        <v>981</v>
      </c>
      <c r="N85" s="21">
        <f t="shared" si="41"/>
        <v>4.472843450479233E-2</v>
      </c>
      <c r="O85" s="22">
        <f>IF(ISNUMBER(M85), $B91 * N85, "")</f>
        <v>4472.8434504792331</v>
      </c>
      <c r="Q85" s="236"/>
      <c r="R85" s="236"/>
      <c r="S85" s="236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>
        <v>795</v>
      </c>
      <c r="N86" s="107">
        <f>IF(ISNUMBER(M86), (M86 - $B86) / $B86, "")</f>
        <v>4.0575916230366493E-2</v>
      </c>
      <c r="O86" s="108">
        <f>IF(ISNUMBER(M86), $B91 * N86, "")</f>
        <v>4057.5916230366493</v>
      </c>
      <c r="Q86" s="241"/>
      <c r="R86" s="241"/>
      <c r="S86" s="241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>
        <v>159</v>
      </c>
      <c r="N87" s="32">
        <f t="shared" ref="N87:N90" si="45">IF(ISNUMBER(M87), (M87 - $B87) / $B87, "")</f>
        <v>3.2467532467532464E-2</v>
      </c>
      <c r="O87" s="18">
        <f>IF(ISNUMBER(M87), $B91 * N87, "")</f>
        <v>3246.7532467532465</v>
      </c>
      <c r="Q87" s="241"/>
      <c r="R87" s="241"/>
      <c r="S87" s="241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>
        <v>480</v>
      </c>
      <c r="N88" s="32">
        <f t="shared" si="45"/>
        <v>3.4482758620689655E-2</v>
      </c>
      <c r="O88" s="18">
        <f>IF(ISNUMBER(M88), $B91 * N88, "")</f>
        <v>3448.2758620689656</v>
      </c>
      <c r="Q88" s="241"/>
      <c r="R88" s="241"/>
      <c r="S88" s="241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>
        <v>289</v>
      </c>
      <c r="N89" s="32">
        <f t="shared" si="45"/>
        <v>3.214285714285714E-2</v>
      </c>
      <c r="O89" s="18">
        <f>IF(ISNUMBER(M89), $B91 * N89, "")</f>
        <v>3214.2857142857138</v>
      </c>
      <c r="Q89" s="263"/>
      <c r="R89" s="264"/>
      <c r="S89" s="265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>
        <v>603</v>
      </c>
      <c r="N90" s="25">
        <f t="shared" si="45"/>
        <v>2.7257240204429302E-2</v>
      </c>
      <c r="O90" s="104">
        <f>IF(ISNUMBER(M90), $B91 * N90, "")</f>
        <v>2725.7240204429304</v>
      </c>
      <c r="Q90" s="266"/>
      <c r="R90" s="267"/>
      <c r="S90" s="268"/>
    </row>
    <row r="91" spans="1:19" ht="17.25" thickBot="1">
      <c r="A91" s="132" t="s">
        <v>270</v>
      </c>
      <c r="B91" s="274">
        <f>$B$37</f>
        <v>100000</v>
      </c>
      <c r="C91" s="275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3.01231979590754E-2</v>
      </c>
      <c r="O91" s="28">
        <f>SUM(O71:O90)</f>
        <v>60246.395918150789</v>
      </c>
      <c r="Q91" s="269"/>
      <c r="R91" s="270"/>
      <c r="S91" s="27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36"/>
      <c r="R94" s="236"/>
      <c r="S94" s="236"/>
    </row>
    <row r="95" spans="1:19" ht="17.25" thickBot="1">
      <c r="A95" s="189" t="s">
        <v>267</v>
      </c>
      <c r="B95" s="215" t="s">
        <v>49</v>
      </c>
      <c r="C95" s="217"/>
      <c r="D95" s="215" t="s">
        <v>58</v>
      </c>
      <c r="E95" s="216"/>
      <c r="F95" s="217"/>
      <c r="G95" s="242">
        <f>_xlfn.IFNA(VLOOKUP(B95, 현재가테이블!$B$2:$D$200, 2, FALSE), "-")</f>
        <v>53976000</v>
      </c>
      <c r="H95" s="243"/>
      <c r="I95" s="244"/>
      <c r="J95" s="215" t="s">
        <v>59</v>
      </c>
      <c r="K95" s="216"/>
      <c r="L95" s="217"/>
      <c r="M95" s="245">
        <f>_xlfn.IFNA(VLOOKUP(B95, 현재가테이블!$B$2:$D$200, 3, FALSE), "-")</f>
        <v>-2.1216407400000001E-2</v>
      </c>
      <c r="N95" s="246"/>
      <c r="O95" s="247"/>
      <c r="Q95" s="236"/>
      <c r="R95" s="236"/>
      <c r="S95" s="236"/>
    </row>
    <row r="96" spans="1:19" ht="17.25" thickBot="1">
      <c r="A96" s="276" t="s">
        <v>55</v>
      </c>
      <c r="B96" s="278" t="str">
        <f>TEXT($G$1, "[$-ko-KR]yyyy-mm-dd(ddd) ") &amp; "오전 00:00"</f>
        <v>2021-08-09(월) 오전 00:00</v>
      </c>
      <c r="C96" s="279"/>
      <c r="D96" s="238" t="str">
        <f>TEXT($G$1, "[$-ko-KR]yyyy-mm-dd(ddd) ") &amp; "오후 14:00"</f>
        <v>2021-08-09(월) 오후 14:00</v>
      </c>
      <c r="E96" s="239"/>
      <c r="F96" s="240"/>
      <c r="G96" s="238" t="str">
        <f>TEXT($G$1, "[$-ko-KR]yyyy-mm-dd(ddd) ") &amp; "오후 19:00"</f>
        <v>2021-08-09(월) 오후 19:00</v>
      </c>
      <c r="H96" s="239"/>
      <c r="I96" s="240"/>
      <c r="J96" s="238" t="str">
        <f>TEXT($G$1, "[$-ko-KR]yyyy-mm-dd(ddd) ") &amp; "오후 21:00"</f>
        <v>2021-08-09(월) 오후 21:00</v>
      </c>
      <c r="K96" s="239"/>
      <c r="L96" s="240"/>
      <c r="M96" s="238" t="str">
        <f>TEXT($G$1+1, "[$-ko-KR]yyyy-mm-dd(ddd) ") &amp; "오전 00:00"</f>
        <v>2021-08-10(화) 오전 00:00</v>
      </c>
      <c r="N96" s="239"/>
      <c r="O96" s="240"/>
      <c r="Q96" s="236"/>
      <c r="R96" s="236"/>
      <c r="S96" s="236"/>
    </row>
    <row r="97" spans="1:19" ht="17.25" thickBot="1">
      <c r="A97" s="27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1"/>
      <c r="R97" s="241"/>
      <c r="S97" s="241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>
        <v>356</v>
      </c>
      <c r="N98" s="14">
        <f>IF(ISNUMBER(M98), (M98 - $B98) / $B98, "")</f>
        <v>2.2988505747126436E-2</v>
      </c>
      <c r="O98" s="16">
        <f>IF(ISNUMBER(M98), $B118 * N98, "")</f>
        <v>2298.8505747126437</v>
      </c>
      <c r="Q98" s="236"/>
      <c r="R98" s="236"/>
      <c r="S98" s="236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>
        <v>67</v>
      </c>
      <c r="N99" s="32">
        <f t="shared" ref="N99:N102" si="49">IF(ISNUMBER(M99), (M99 - $B99) / $B99, "")</f>
        <v>-4.4576523031203148E-3</v>
      </c>
      <c r="O99" s="18">
        <f>IF(ISNUMBER(M99), $B118 * N99, "")</f>
        <v>-445.76523031203146</v>
      </c>
      <c r="Q99" s="236"/>
      <c r="R99" s="236"/>
      <c r="S99" s="236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>
        <v>12320</v>
      </c>
      <c r="N100" s="32">
        <f t="shared" si="49"/>
        <v>4.0749796251018742E-3</v>
      </c>
      <c r="O100" s="18">
        <f>IF(ISNUMBER(M100), $B118 * N100, "")</f>
        <v>407.49796251018739</v>
      </c>
      <c r="Q100" s="241"/>
      <c r="R100" s="241"/>
      <c r="S100" s="241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>
        <v>1135</v>
      </c>
      <c r="N101" s="32">
        <f t="shared" si="49"/>
        <v>-1.3043478260869565E-2</v>
      </c>
      <c r="O101" s="18">
        <f>IF(ISNUMBER(M101), $B118 * N101, "")</f>
        <v>-1304.3478260869565</v>
      </c>
      <c r="Q101" s="241"/>
      <c r="R101" s="241"/>
      <c r="S101" s="241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>
        <v>67700</v>
      </c>
      <c r="N102" s="21">
        <f t="shared" si="49"/>
        <v>4.3020323394155173E-3</v>
      </c>
      <c r="O102" s="22">
        <f>IF(ISNUMBER(M102), $B118 * N102, "")</f>
        <v>430.20323394155173</v>
      </c>
      <c r="Q102" s="241"/>
      <c r="R102" s="241"/>
      <c r="S102" s="241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>
        <v>3295</v>
      </c>
      <c r="N103" s="107">
        <f>IF(ISNUMBER(M103), (M103 - $B103) / $B103, "")</f>
        <v>0.12457337883959044</v>
      </c>
      <c r="O103" s="108">
        <f>IF(ISNUMBER(M103), $B118 * N103, "")</f>
        <v>12457.337883959044</v>
      </c>
      <c r="Q103" s="241"/>
      <c r="R103" s="241"/>
      <c r="S103" s="241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>
        <v>1045</v>
      </c>
      <c r="N104" s="32">
        <f t="shared" ref="N104:N107" si="53">IF(ISNUMBER(M104), (M104 - $B104) / $B104, "")</f>
        <v>1.4563106796116505E-2</v>
      </c>
      <c r="O104" s="18">
        <f>IF(ISNUMBER(M104), $B118 * N104, "")</f>
        <v>1456.3106796116506</v>
      </c>
      <c r="Q104" s="241"/>
      <c r="R104" s="241"/>
      <c r="S104" s="241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>
        <v>30320</v>
      </c>
      <c r="N105" s="32">
        <f t="shared" si="53"/>
        <v>1.1340893929286191E-2</v>
      </c>
      <c r="O105" s="18">
        <f>IF(ISNUMBER(M105), $B118 * N105, "")</f>
        <v>1134.0893929286192</v>
      </c>
      <c r="Q105" s="241"/>
      <c r="R105" s="241"/>
      <c r="S105" s="241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>
        <v>1775</v>
      </c>
      <c r="N106" s="32">
        <f t="shared" si="53"/>
        <v>7.575757575757576E-2</v>
      </c>
      <c r="O106" s="18">
        <f>IF(ISNUMBER(M106), $B118 * N106, "")</f>
        <v>7575.757575757576</v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>
        <v>135</v>
      </c>
      <c r="N107" s="25">
        <f t="shared" si="53"/>
        <v>1.5037593984962405E-2</v>
      </c>
      <c r="O107" s="104">
        <f>IF(ISNUMBER(M107), $B118 * N107, "")</f>
        <v>1503.7593984962405</v>
      </c>
      <c r="Q107" s="250"/>
      <c r="R107" s="251"/>
      <c r="S107" s="252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>
        <v>199650</v>
      </c>
      <c r="N108" s="14">
        <f>IF(ISNUMBER(M108), (M108 - $B108) / $B108, "")</f>
        <v>0.15072046109510087</v>
      </c>
      <c r="O108" s="16">
        <f>IF(ISNUMBER(M108), $B118 * N108, "")</f>
        <v>15072.046109510087</v>
      </c>
      <c r="Q108" s="253"/>
      <c r="R108" s="254"/>
      <c r="S108" s="255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>
        <v>4.41</v>
      </c>
      <c r="N109" s="32">
        <f t="shared" ref="N109:N112" si="57">IF(ISNUMBER(M109), (M109 - $B109) / $B109, "")</f>
        <v>1.6129032258064582E-2</v>
      </c>
      <c r="O109" s="18">
        <f>IF(ISNUMBER(M109), $B118 * N109, "")</f>
        <v>1612.9032258064581</v>
      </c>
      <c r="Q109" s="256"/>
      <c r="R109" s="257"/>
      <c r="S109" s="258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>
        <v>862</v>
      </c>
      <c r="N110" s="32">
        <f t="shared" si="57"/>
        <v>2.8639618138424822E-2</v>
      </c>
      <c r="O110" s="18">
        <f>IF(ISNUMBER(M110), $B118 * N110, "")</f>
        <v>2863.9618138424821</v>
      </c>
      <c r="Q110" s="241"/>
      <c r="R110" s="241"/>
      <c r="S110" s="241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>
        <v>935</v>
      </c>
      <c r="N111" s="32">
        <f t="shared" si="57"/>
        <v>3.3149171270718231E-2</v>
      </c>
      <c r="O111" s="18">
        <f>IF(ISNUMBER(M111), $B118 * N111, "")</f>
        <v>3314.917127071823</v>
      </c>
      <c r="Q111" s="236"/>
      <c r="R111" s="236"/>
      <c r="S111" s="236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>
        <v>105</v>
      </c>
      <c r="N112" s="21">
        <f t="shared" si="57"/>
        <v>3.9603960396039604E-2</v>
      </c>
      <c r="O112" s="22">
        <f>IF(ISNUMBER(M112), $B118 * N112, "")</f>
        <v>3960.3960396039606</v>
      </c>
      <c r="Q112" s="236"/>
      <c r="R112" s="236"/>
      <c r="S112" s="236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>
        <v>67680</v>
      </c>
      <c r="N113" s="107">
        <f>IF(ISNUMBER(M113), (M113 - $B113) / $B113, "")</f>
        <v>4.203233256351039E-2</v>
      </c>
      <c r="O113" s="108">
        <f>IF(ISNUMBER(M113), $B118 * N113, "")</f>
        <v>4203.233256351039</v>
      </c>
      <c r="Q113" s="241"/>
      <c r="R113" s="241"/>
      <c r="S113" s="241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>
        <v>67790</v>
      </c>
      <c r="N114" s="32">
        <f t="shared" ref="N114:N117" si="61">IF(ISNUMBER(M114), (M114 - $B114) / $B114, "")</f>
        <v>2.4637243047158405E-2</v>
      </c>
      <c r="O114" s="18">
        <f>IF(ISNUMBER(M114), $B118 * N114, "")</f>
        <v>2463.7243047158404</v>
      </c>
      <c r="Q114" s="241"/>
      <c r="R114" s="241"/>
      <c r="S114" s="241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>
        <v>208</v>
      </c>
      <c r="N115" s="32">
        <f t="shared" si="61"/>
        <v>2.9702970297029702E-2</v>
      </c>
      <c r="O115" s="18">
        <f>IF(ISNUMBER(M115), $B118 * N115, "")</f>
        <v>2970.2970297029701</v>
      </c>
      <c r="Q115" s="241"/>
      <c r="R115" s="241"/>
      <c r="S115" s="241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>
        <v>5775</v>
      </c>
      <c r="N116" s="32">
        <f t="shared" si="61"/>
        <v>5.0955414012738856E-2</v>
      </c>
      <c r="O116" s="18">
        <f>IF(ISNUMBER(M116), $B118 * N116, "")</f>
        <v>5095.5414012738856</v>
      </c>
      <c r="Q116" s="263"/>
      <c r="R116" s="264"/>
      <c r="S116" s="265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>
        <v>290</v>
      </c>
      <c r="N117" s="25">
        <f t="shared" si="61"/>
        <v>4.3165467625899283E-2</v>
      </c>
      <c r="O117" s="104">
        <f>IF(ISNUMBER(M117), $B118 * N117, "")</f>
        <v>4316.5467625899282</v>
      </c>
      <c r="Q117" s="266"/>
      <c r="R117" s="267"/>
      <c r="S117" s="268"/>
    </row>
    <row r="118" spans="1:19" ht="17.25" thickBot="1">
      <c r="A118" s="132" t="s">
        <v>270</v>
      </c>
      <c r="B118" s="274">
        <f>$B$37</f>
        <v>100000</v>
      </c>
      <c r="C118" s="275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3.56936303579935E-2</v>
      </c>
      <c r="O118" s="28">
        <f>SUM(O98:O117)</f>
        <v>71387.260715987009</v>
      </c>
      <c r="Q118" s="269"/>
      <c r="R118" s="270"/>
      <c r="S118" s="27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36"/>
      <c r="R121" s="236"/>
      <c r="S121" s="236"/>
    </row>
    <row r="122" spans="1:19" ht="17.25" thickBot="1">
      <c r="A122" s="189" t="s">
        <v>267</v>
      </c>
      <c r="B122" s="215" t="s">
        <v>49</v>
      </c>
      <c r="C122" s="217"/>
      <c r="D122" s="215" t="s">
        <v>58</v>
      </c>
      <c r="E122" s="216"/>
      <c r="F122" s="217"/>
      <c r="G122" s="242">
        <f>_xlfn.IFNA(VLOOKUP(B122, 현재가테이블!$B$2:$D$200, 2, FALSE), "-")</f>
        <v>53976000</v>
      </c>
      <c r="H122" s="243"/>
      <c r="I122" s="244"/>
      <c r="J122" s="215" t="s">
        <v>59</v>
      </c>
      <c r="K122" s="216"/>
      <c r="L122" s="217"/>
      <c r="M122" s="245">
        <f>_xlfn.IFNA(VLOOKUP(B122, 현재가테이블!$B$2:$D$200, 3, FALSE), "-")</f>
        <v>-2.1216407400000001E-2</v>
      </c>
      <c r="N122" s="246"/>
      <c r="O122" s="247"/>
      <c r="Q122" s="236"/>
      <c r="R122" s="236"/>
      <c r="S122" s="236"/>
    </row>
    <row r="123" spans="1:19" ht="17.25" thickBot="1">
      <c r="A123" s="276" t="s">
        <v>55</v>
      </c>
      <c r="B123" s="278" t="str">
        <f>TEXT($G$1, "[$-ko-KR]yyyy-mm-dd(ddd) ") &amp; "오전 00:00"</f>
        <v>2021-08-09(월) 오전 00:00</v>
      </c>
      <c r="C123" s="279"/>
      <c r="D123" s="238" t="str">
        <f>TEXT($G$1, "[$-ko-KR]yyyy-mm-dd(ddd) ") &amp; "오후 14:00"</f>
        <v>2021-08-09(월) 오후 14:00</v>
      </c>
      <c r="E123" s="239"/>
      <c r="F123" s="240"/>
      <c r="G123" s="238" t="str">
        <f>TEXT($G$1, "[$-ko-KR]yyyy-mm-dd(ddd) ") &amp; "오후 19:00"</f>
        <v>2021-08-09(월) 오후 19:00</v>
      </c>
      <c r="H123" s="239"/>
      <c r="I123" s="240"/>
      <c r="J123" s="238" t="str">
        <f>TEXT($G$1, "[$-ko-KR]yyyy-mm-dd(ddd) ") &amp; "오후 21:00"</f>
        <v>2021-08-09(월) 오후 21:00</v>
      </c>
      <c r="K123" s="239"/>
      <c r="L123" s="240"/>
      <c r="M123" s="238" t="str">
        <f>TEXT($G$1+1, "[$-ko-KR]yyyy-mm-dd(ddd) ") &amp; "오전 00:00"</f>
        <v>2021-08-10(화) 오전 00:00</v>
      </c>
      <c r="N123" s="239"/>
      <c r="O123" s="240"/>
      <c r="Q123" s="236"/>
      <c r="R123" s="236"/>
      <c r="S123" s="236"/>
    </row>
    <row r="124" spans="1:19" ht="17.25" thickBot="1">
      <c r="A124" s="27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1"/>
      <c r="R124" s="241"/>
      <c r="S124" s="241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>
        <v>4.41</v>
      </c>
      <c r="N125" s="14">
        <f>IF(ISNUMBER(M125), (M125 - $B125) / $B125, "")</f>
        <v>1.6129032258064582E-2</v>
      </c>
      <c r="O125" s="16">
        <f>IF(ISNUMBER(M125), $B145 * N125, "")</f>
        <v>1612.9032258064581</v>
      </c>
      <c r="Q125" s="236"/>
      <c r="R125" s="236"/>
      <c r="S125" s="236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>
        <v>13.6</v>
      </c>
      <c r="N126" s="32">
        <f t="shared" ref="N126:N129" si="65">IF(ISNUMBER(M126), (M126 - $B126) / $B126, "")</f>
        <v>2.2556390977443528E-2</v>
      </c>
      <c r="O126" s="18">
        <f>IF(ISNUMBER(M126), $B145 * N126, "")</f>
        <v>2255.639097744353</v>
      </c>
      <c r="Q126" s="236"/>
      <c r="R126" s="236"/>
      <c r="S126" s="236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>
        <v>84.3</v>
      </c>
      <c r="N127" s="32">
        <f t="shared" si="65"/>
        <v>2.5547445255474383E-2</v>
      </c>
      <c r="O127" s="18">
        <f>IF(ISNUMBER(M127), $B145 * N127, "")</f>
        <v>2554.7445255474381</v>
      </c>
      <c r="Q127" s="241"/>
      <c r="R127" s="241"/>
      <c r="S127" s="241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>
        <v>103</v>
      </c>
      <c r="N128" s="32">
        <f t="shared" si="65"/>
        <v>3.6217303822937565E-2</v>
      </c>
      <c r="O128" s="18">
        <f>IF(ISNUMBER(M128), $B145 * N128, "")</f>
        <v>3621.7303822937565</v>
      </c>
      <c r="Q128" s="241"/>
      <c r="R128" s="241"/>
      <c r="S128" s="241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>
        <v>101</v>
      </c>
      <c r="N129" s="21">
        <f t="shared" si="65"/>
        <v>1.6096579476861109E-2</v>
      </c>
      <c r="O129" s="22">
        <f>IF(ISNUMBER(M129), $B145 * N129, "")</f>
        <v>1609.6579476861109</v>
      </c>
      <c r="Q129" s="241"/>
      <c r="R129" s="241"/>
      <c r="S129" s="241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>
        <v>12.7</v>
      </c>
      <c r="N130" s="107">
        <f>IF(ISNUMBER(M130), (M130 - $B130) / $B130, "")</f>
        <v>3.2520325203251918E-2</v>
      </c>
      <c r="O130" s="108">
        <f>IF(ISNUMBER(M130), $B145 * N130, "")</f>
        <v>3252.0325203251919</v>
      </c>
      <c r="Q130" s="241"/>
      <c r="R130" s="241"/>
      <c r="S130" s="241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>
        <v>12</v>
      </c>
      <c r="N131" s="32">
        <f t="shared" ref="N131:N134" si="69">IF(ISNUMBER(M131), (M131 - $B131) / $B131, "")</f>
        <v>1.6949152542372819E-2</v>
      </c>
      <c r="O131" s="18">
        <f>IF(ISNUMBER(M131), $B145 * N131, "")</f>
        <v>1694.9152542372819</v>
      </c>
      <c r="Q131" s="241"/>
      <c r="R131" s="241"/>
      <c r="S131" s="241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>
        <v>31.6</v>
      </c>
      <c r="N132" s="32">
        <f t="shared" si="69"/>
        <v>3.9473684210526411E-2</v>
      </c>
      <c r="O132" s="18">
        <f>IF(ISNUMBER(M132), $B145 * N132, "")</f>
        <v>3947.3684210526412</v>
      </c>
      <c r="Q132" s="241"/>
      <c r="R132" s="241"/>
      <c r="S132" s="241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>
        <v>11.5</v>
      </c>
      <c r="N133" s="32">
        <f t="shared" si="69"/>
        <v>1.7699115044247725E-2</v>
      </c>
      <c r="O133" s="18">
        <f>IF(ISNUMBER(M133), $B145 * N133, "")</f>
        <v>1769.9115044247726</v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>
        <v>17.100000000000001</v>
      </c>
      <c r="N134" s="25">
        <f t="shared" si="69"/>
        <v>2.3952095808383363E-2</v>
      </c>
      <c r="O134" s="104">
        <f>IF(ISNUMBER(M134), $B145 * N134, "")</f>
        <v>2395.2095808383365</v>
      </c>
      <c r="Q134" s="250"/>
      <c r="R134" s="251"/>
      <c r="S134" s="252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>
        <v>22.2</v>
      </c>
      <c r="N135" s="14">
        <f>IF(ISNUMBER(M135), (M135 - $B135) / $B135, "")</f>
        <v>2.7777777777777676E-2</v>
      </c>
      <c r="O135" s="16">
        <f>IF(ISNUMBER(M135), $B145 * N135, "")</f>
        <v>2777.7777777777674</v>
      </c>
      <c r="Q135" s="253"/>
      <c r="R135" s="254"/>
      <c r="S135" s="255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>
        <v>19.2</v>
      </c>
      <c r="N136" s="32">
        <f t="shared" ref="N136:N139" si="73">IF(ISNUMBER(M136), (M136 - $B136) / $B136, "")</f>
        <v>3.7837837837837798E-2</v>
      </c>
      <c r="O136" s="18">
        <f>IF(ISNUMBER(M136), $B145 * N136, "")</f>
        <v>3783.7837837837797</v>
      </c>
      <c r="Q136" s="256"/>
      <c r="R136" s="257"/>
      <c r="S136" s="258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>
        <v>100</v>
      </c>
      <c r="N137" s="32">
        <f t="shared" si="73"/>
        <v>4.3841336116910261E-2</v>
      </c>
      <c r="O137" s="18">
        <f>IF(ISNUMBER(M137), $B145 * N137, "")</f>
        <v>4384.1336116910261</v>
      </c>
      <c r="Q137" s="241"/>
      <c r="R137" s="241"/>
      <c r="S137" s="241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>
        <v>68.2</v>
      </c>
      <c r="N138" s="32">
        <f t="shared" si="73"/>
        <v>2.8657616892911096E-2</v>
      </c>
      <c r="O138" s="18">
        <f>IF(ISNUMBER(M138), $B145 * N138, "")</f>
        <v>2865.7616892911096</v>
      </c>
      <c r="Q138" s="236"/>
      <c r="R138" s="236"/>
      <c r="S138" s="236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>
        <v>10.6</v>
      </c>
      <c r="N139" s="21">
        <f t="shared" si="73"/>
        <v>3.9215686274509838E-2</v>
      </c>
      <c r="O139" s="22">
        <f>IF(ISNUMBER(M139), $B145 * N139, "")</f>
        <v>3921.568627450984</v>
      </c>
      <c r="Q139" s="236"/>
      <c r="R139" s="236"/>
      <c r="S139" s="236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>
        <v>69.099999999999994</v>
      </c>
      <c r="N140" s="107">
        <f>IF(ISNUMBER(M140), (M140 - $B140) / $B140, "")</f>
        <v>2.9806259314456039E-2</v>
      </c>
      <c r="O140" s="108">
        <f>IF(ISNUMBER(M140), $B145 * N140, "")</f>
        <v>2980.6259314456038</v>
      </c>
      <c r="Q140" s="241"/>
      <c r="R140" s="241"/>
      <c r="S140" s="241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>
        <v>16.3</v>
      </c>
      <c r="N141" s="32">
        <f t="shared" ref="N141:N144" si="77">IF(ISNUMBER(M141), (M141 - $B141) / $B141, "")</f>
        <v>3.164556962025316E-2</v>
      </c>
      <c r="O141" s="18">
        <f>IF(ISNUMBER(M141), $B145 * N141, "")</f>
        <v>3164.5569620253159</v>
      </c>
      <c r="Q141" s="241"/>
      <c r="R141" s="241"/>
      <c r="S141" s="241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>
        <v>29.3</v>
      </c>
      <c r="N142" s="32">
        <f t="shared" si="77"/>
        <v>3.900709219858161E-2</v>
      </c>
      <c r="O142" s="18">
        <f>IF(ISNUMBER(M142), $B145 * N142, "")</f>
        <v>3900.7092198581608</v>
      </c>
      <c r="Q142" s="241"/>
      <c r="R142" s="241"/>
      <c r="S142" s="241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>
        <v>85.6</v>
      </c>
      <c r="N143" s="32">
        <f t="shared" si="77"/>
        <v>3.7575757575757505E-2</v>
      </c>
      <c r="O143" s="18">
        <f>IF(ISNUMBER(M143), $B145 * N143, "")</f>
        <v>3757.5757575757507</v>
      </c>
      <c r="Q143" s="263"/>
      <c r="R143" s="264"/>
      <c r="S143" s="265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>
        <v>13.8</v>
      </c>
      <c r="N144" s="25">
        <f t="shared" si="77"/>
        <v>2.9850746268656744E-2</v>
      </c>
      <c r="O144" s="104">
        <f>IF(ISNUMBER(M144), $B145 * N144, "")</f>
        <v>2985.0746268656744</v>
      </c>
      <c r="Q144" s="266"/>
      <c r="R144" s="267"/>
      <c r="S144" s="268"/>
    </row>
    <row r="145" spans="1:19" ht="17.25" thickBot="1">
      <c r="A145" s="132" t="s">
        <v>270</v>
      </c>
      <c r="B145" s="274">
        <f>$B$37</f>
        <v>100000</v>
      </c>
      <c r="C145" s="275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2.9617840223860749E-2</v>
      </c>
      <c r="O145" s="28">
        <f>SUM(O125:O144)</f>
        <v>59235.680447721512</v>
      </c>
      <c r="Q145" s="269"/>
      <c r="R145" s="270"/>
      <c r="S145" s="27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36"/>
      <c r="R148" s="236"/>
      <c r="S148" s="236"/>
    </row>
    <row r="149" spans="1:19" ht="17.25" thickBot="1">
      <c r="A149" s="189" t="s">
        <v>267</v>
      </c>
      <c r="B149" s="215" t="s">
        <v>49</v>
      </c>
      <c r="C149" s="217"/>
      <c r="D149" s="215" t="s">
        <v>58</v>
      </c>
      <c r="E149" s="216"/>
      <c r="F149" s="217"/>
      <c r="G149" s="242">
        <f>_xlfn.IFNA(VLOOKUP(B149, 현재가테이블!$B$2:$D$200, 2, FALSE), "-")</f>
        <v>53976000</v>
      </c>
      <c r="H149" s="243"/>
      <c r="I149" s="244"/>
      <c r="J149" s="215" t="s">
        <v>59</v>
      </c>
      <c r="K149" s="216"/>
      <c r="L149" s="217"/>
      <c r="M149" s="245">
        <f>_xlfn.IFNA(VLOOKUP(B149, 현재가테이블!$B$2:$D$200, 3, FALSE), "-")</f>
        <v>-2.1216407400000001E-2</v>
      </c>
      <c r="N149" s="246"/>
      <c r="O149" s="247"/>
      <c r="Q149" s="236"/>
      <c r="R149" s="236"/>
      <c r="S149" s="236"/>
    </row>
    <row r="150" spans="1:19" ht="17.25" thickBot="1">
      <c r="A150" s="276" t="s">
        <v>55</v>
      </c>
      <c r="B150" s="278" t="str">
        <f>TEXT($G$1, "[$-ko-KR]yyyy-mm-dd(ddd) ") &amp; "오전 00:00"</f>
        <v>2021-08-09(월) 오전 00:00</v>
      </c>
      <c r="C150" s="279"/>
      <c r="D150" s="238" t="str">
        <f>TEXT($G$1, "[$-ko-KR]yyyy-mm-dd(ddd) ") &amp; "오후 14:00"</f>
        <v>2021-08-09(월) 오후 14:00</v>
      </c>
      <c r="E150" s="239"/>
      <c r="F150" s="240"/>
      <c r="G150" s="238" t="str">
        <f>TEXT($G$1, "[$-ko-KR]yyyy-mm-dd(ddd) ") &amp; "오후 19:00"</f>
        <v>2021-08-09(월) 오후 19:00</v>
      </c>
      <c r="H150" s="239"/>
      <c r="I150" s="240"/>
      <c r="J150" s="238" t="str">
        <f>TEXT($G$1, "[$-ko-KR]yyyy-mm-dd(ddd) ") &amp; "오후 21:00"</f>
        <v>2021-08-09(월) 오후 21:00</v>
      </c>
      <c r="K150" s="239"/>
      <c r="L150" s="240"/>
      <c r="M150" s="238" t="str">
        <f>TEXT($G$1+1, "[$-ko-KR]yyyy-mm-dd(ddd) ") &amp; "오전 00:00"</f>
        <v>2021-08-10(화) 오전 00:00</v>
      </c>
      <c r="N150" s="239"/>
      <c r="O150" s="240"/>
      <c r="Q150" s="236"/>
      <c r="R150" s="236"/>
      <c r="S150" s="236"/>
    </row>
    <row r="151" spans="1:19" ht="17.25" thickBot="1">
      <c r="A151" s="27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1"/>
      <c r="R151" s="241"/>
      <c r="S151" s="241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>
        <v>981</v>
      </c>
      <c r="N152" s="14">
        <f>IF(ISNUMBER(M152), (M152 - $B152) / $B152, "")</f>
        <v>4.472843450479233E-2</v>
      </c>
      <c r="O152" s="16">
        <f>IF(ISNUMBER(M152), $B172 * N152, "")</f>
        <v>4472.8434504792331</v>
      </c>
      <c r="Q152" s="236"/>
      <c r="R152" s="236"/>
      <c r="S152" s="236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>
        <v>795</v>
      </c>
      <c r="N153" s="32">
        <f t="shared" ref="N153:N156" si="81">IF(ISNUMBER(M153), (M153 - $B153) / $B153, "")</f>
        <v>4.0575916230366493E-2</v>
      </c>
      <c r="O153" s="18">
        <f>IF(ISNUMBER(M153), $B172 * N153, "")</f>
        <v>4057.5916230366493</v>
      </c>
      <c r="Q153" s="236"/>
      <c r="R153" s="236"/>
      <c r="S153" s="236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>
        <v>159</v>
      </c>
      <c r="N154" s="32">
        <f t="shared" si="81"/>
        <v>3.2467532467532464E-2</v>
      </c>
      <c r="O154" s="18">
        <f>IF(ISNUMBER(M154), $B172 * N154, "")</f>
        <v>3246.7532467532465</v>
      </c>
      <c r="Q154" s="241"/>
      <c r="R154" s="241"/>
      <c r="S154" s="241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>
        <v>480</v>
      </c>
      <c r="N155" s="32">
        <f t="shared" si="81"/>
        <v>3.4482758620689655E-2</v>
      </c>
      <c r="O155" s="18">
        <f>IF(ISNUMBER(M155), $B172 * N155, "")</f>
        <v>3448.2758620689656</v>
      </c>
      <c r="Q155" s="241"/>
      <c r="R155" s="241"/>
      <c r="S155" s="241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>
        <v>289</v>
      </c>
      <c r="N156" s="21">
        <f t="shared" si="81"/>
        <v>3.214285714285714E-2</v>
      </c>
      <c r="O156" s="22">
        <f>IF(ISNUMBER(M156), $B172 * N156, "")</f>
        <v>3214.2857142857138</v>
      </c>
      <c r="Q156" s="241"/>
      <c r="R156" s="241"/>
      <c r="S156" s="241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>
        <v>603</v>
      </c>
      <c r="N157" s="107">
        <f>IF(ISNUMBER(M157), (M157 - $B157) / $B157, "")</f>
        <v>2.7257240204429302E-2</v>
      </c>
      <c r="O157" s="108">
        <f>IF(ISNUMBER(M157), $B172 * N157, "")</f>
        <v>2725.7240204429304</v>
      </c>
      <c r="Q157" s="241"/>
      <c r="R157" s="241"/>
      <c r="S157" s="241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>
        <v>342</v>
      </c>
      <c r="N158" s="32">
        <f t="shared" ref="N158:N161" si="85">IF(ISNUMBER(M158), (M158 - $B158) / $B158, "")</f>
        <v>2.3952095808383235E-2</v>
      </c>
      <c r="O158" s="18">
        <f>IF(ISNUMBER(M158), $B172 * N158, "")</f>
        <v>2395.2095808383233</v>
      </c>
      <c r="Q158" s="241"/>
      <c r="R158" s="241"/>
      <c r="S158" s="241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>
        <v>227</v>
      </c>
      <c r="N159" s="32">
        <f t="shared" si="85"/>
        <v>2.2522522522522521E-2</v>
      </c>
      <c r="O159" s="18">
        <f>IF(ISNUMBER(M159), $B172 * N159, "")</f>
        <v>2252.2522522522522</v>
      </c>
      <c r="Q159" s="241"/>
      <c r="R159" s="241"/>
      <c r="S159" s="241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>
        <v>308</v>
      </c>
      <c r="N160" s="32">
        <f t="shared" si="85"/>
        <v>3.3557046979865772E-2</v>
      </c>
      <c r="O160" s="18">
        <f>IF(ISNUMBER(M160), $B172 * N160, "")</f>
        <v>3355.7046979865772</v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>
        <v>334</v>
      </c>
      <c r="N161" s="25">
        <f t="shared" si="85"/>
        <v>3.7267080745341616E-2</v>
      </c>
      <c r="O161" s="104">
        <f>IF(ISNUMBER(M161), $B172 * N161, "")</f>
        <v>3726.7080745341614</v>
      </c>
      <c r="Q161" s="250"/>
      <c r="R161" s="251"/>
      <c r="S161" s="252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>
        <v>209</v>
      </c>
      <c r="N162" s="14">
        <f>IF(ISNUMBER(M162), (M162 - $B162) / $B162, "")</f>
        <v>2.9556650246305417E-2</v>
      </c>
      <c r="O162" s="16">
        <f>IF(ISNUMBER(M162), $B172 * N162, "")</f>
        <v>2955.6650246305417</v>
      </c>
      <c r="Q162" s="253"/>
      <c r="R162" s="254"/>
      <c r="S162" s="255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>
        <v>317</v>
      </c>
      <c r="N163" s="32">
        <f t="shared" ref="N163:N166" si="89">IF(ISNUMBER(M163), (M163 - $B163) / $B163, "")</f>
        <v>2.5889967637540454E-2</v>
      </c>
      <c r="O163" s="18">
        <f>IF(ISNUMBER(M163), $B172 * N163, "")</f>
        <v>2588.9967637540453</v>
      </c>
      <c r="Q163" s="256"/>
      <c r="R163" s="257"/>
      <c r="S163" s="258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>
        <v>136</v>
      </c>
      <c r="N164" s="32">
        <f t="shared" si="89"/>
        <v>3.0303030303030304E-2</v>
      </c>
      <c r="O164" s="18">
        <f>IF(ISNUMBER(M164), $B172 * N164, "")</f>
        <v>3030.3030303030305</v>
      </c>
      <c r="Q164" s="241"/>
      <c r="R164" s="241"/>
      <c r="S164" s="241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>
        <v>202</v>
      </c>
      <c r="N165" s="32">
        <f t="shared" si="89"/>
        <v>3.5897435897435895E-2</v>
      </c>
      <c r="O165" s="18">
        <f>IF(ISNUMBER(M165), $B172 * N165, "")</f>
        <v>3589.7435897435894</v>
      </c>
      <c r="Q165" s="236"/>
      <c r="R165" s="236"/>
      <c r="S165" s="236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>
        <v>141</v>
      </c>
      <c r="N166" s="21">
        <f t="shared" si="89"/>
        <v>2.9197080291970802E-2</v>
      </c>
      <c r="O166" s="22">
        <f>IF(ISNUMBER(M166), $B172 * N166, "")</f>
        <v>2919.7080291970801</v>
      </c>
      <c r="Q166" s="236"/>
      <c r="R166" s="236"/>
      <c r="S166" s="236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>
        <v>189</v>
      </c>
      <c r="N167" s="107">
        <f>IF(ISNUMBER(M167), (M167 - $B167) / $B167, "")</f>
        <v>2.1621621621621623E-2</v>
      </c>
      <c r="O167" s="108">
        <f>IF(ISNUMBER(M167), $B172 * N167, "")</f>
        <v>2162.1621621621621</v>
      </c>
      <c r="Q167" s="241"/>
      <c r="R167" s="241"/>
      <c r="S167" s="241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>
        <v>389</v>
      </c>
      <c r="N168" s="32">
        <f t="shared" ref="N168:N171" si="93">IF(ISNUMBER(M168), (M168 - $B168) / $B168, "")</f>
        <v>3.1830238726790451E-2</v>
      </c>
      <c r="O168" s="18">
        <f>IF(ISNUMBER(M168), $B172 * N168, "")</f>
        <v>3183.0238726790453</v>
      </c>
      <c r="Q168" s="241"/>
      <c r="R168" s="241"/>
      <c r="S168" s="241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>
        <v>515</v>
      </c>
      <c r="N169" s="32">
        <f t="shared" si="93"/>
        <v>1.7786561264822136E-2</v>
      </c>
      <c r="O169" s="18">
        <f>IF(ISNUMBER(M169), $B172 * N169, "")</f>
        <v>1778.6561264822135</v>
      </c>
      <c r="Q169" s="241"/>
      <c r="R169" s="241"/>
      <c r="S169" s="241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>
        <v>263</v>
      </c>
      <c r="N170" s="32">
        <f t="shared" si="93"/>
        <v>7.6628352490421452E-3</v>
      </c>
      <c r="O170" s="18">
        <f>IF(ISNUMBER(M170), $B172 * N170, "")</f>
        <v>766.28352490421457</v>
      </c>
      <c r="Q170" s="263"/>
      <c r="R170" s="264"/>
      <c r="S170" s="265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>
        <v>153</v>
      </c>
      <c r="N171" s="25">
        <f t="shared" si="93"/>
        <v>2.6845637583892617E-2</v>
      </c>
      <c r="O171" s="104">
        <f>IF(ISNUMBER(M171), $B172 * N171, "")</f>
        <v>2684.5637583892617</v>
      </c>
      <c r="Q171" s="266"/>
      <c r="R171" s="267"/>
      <c r="S171" s="268"/>
    </row>
    <row r="172" spans="1:19" ht="17.25" thickBot="1">
      <c r="A172" s="132" t="s">
        <v>270</v>
      </c>
      <c r="B172" s="274">
        <f>$B$37</f>
        <v>100000</v>
      </c>
      <c r="C172" s="275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2.9277227202461613E-2</v>
      </c>
      <c r="O172" s="28">
        <f>SUM(O152:O171)</f>
        <v>58554.454404923228</v>
      </c>
      <c r="Q172" s="269"/>
      <c r="R172" s="270"/>
      <c r="S172" s="27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36"/>
      <c r="R175" s="236"/>
      <c r="S175" s="236"/>
    </row>
    <row r="176" spans="1:19" ht="17.25" thickBot="1">
      <c r="A176" s="189" t="s">
        <v>267</v>
      </c>
      <c r="B176" s="215" t="s">
        <v>49</v>
      </c>
      <c r="C176" s="217"/>
      <c r="D176" s="215" t="s">
        <v>58</v>
      </c>
      <c r="E176" s="216"/>
      <c r="F176" s="217"/>
      <c r="G176" s="242">
        <f>_xlfn.IFNA(VLOOKUP(B176, 현재가테이블!$B$2:$D$200, 2, FALSE), "-")</f>
        <v>53976000</v>
      </c>
      <c r="H176" s="243"/>
      <c r="I176" s="244"/>
      <c r="J176" s="215" t="s">
        <v>59</v>
      </c>
      <c r="K176" s="216"/>
      <c r="L176" s="217"/>
      <c r="M176" s="245">
        <f>_xlfn.IFNA(VLOOKUP(B176, 현재가테이블!$B$2:$D$200, 3, FALSE), "-")</f>
        <v>-2.1216407400000001E-2</v>
      </c>
      <c r="N176" s="246"/>
      <c r="O176" s="247"/>
      <c r="Q176" s="236"/>
      <c r="R176" s="236"/>
      <c r="S176" s="236"/>
    </row>
    <row r="177" spans="1:19" ht="17.25" thickBot="1">
      <c r="A177" s="276" t="s">
        <v>55</v>
      </c>
      <c r="B177" s="278" t="str">
        <f>TEXT($G$1, "[$-ko-KR]yyyy-mm-dd(ddd) ") &amp; "오전 00:00"</f>
        <v>2021-08-09(월) 오전 00:00</v>
      </c>
      <c r="C177" s="279"/>
      <c r="D177" s="238" t="str">
        <f>TEXT($G$1, "[$-ko-KR]yyyy-mm-dd(ddd) ") &amp; "오후 14:00"</f>
        <v>2021-08-09(월) 오후 14:00</v>
      </c>
      <c r="E177" s="239"/>
      <c r="F177" s="240"/>
      <c r="G177" s="238" t="str">
        <f>TEXT($G$1, "[$-ko-KR]yyyy-mm-dd(ddd) ") &amp; "오후 19:00"</f>
        <v>2021-08-09(월) 오후 19:00</v>
      </c>
      <c r="H177" s="239"/>
      <c r="I177" s="240"/>
      <c r="J177" s="238" t="str">
        <f>TEXT($G$1, "[$-ko-KR]yyyy-mm-dd(ddd) ") &amp; "오후 21:00"</f>
        <v>2021-08-09(월) 오후 21:00</v>
      </c>
      <c r="K177" s="239"/>
      <c r="L177" s="240"/>
      <c r="M177" s="238" t="str">
        <f>TEXT($G$1+1, "[$-ko-KR]yyyy-mm-dd(ddd) ") &amp; "오전 00:00"</f>
        <v>2021-08-10(화) 오전 00:00</v>
      </c>
      <c r="N177" s="239"/>
      <c r="O177" s="240"/>
      <c r="Q177" s="236"/>
      <c r="R177" s="236"/>
      <c r="S177" s="236"/>
    </row>
    <row r="178" spans="1:19" ht="17.25" thickBot="1">
      <c r="A178" s="27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1"/>
      <c r="R178" s="241"/>
      <c r="S178" s="241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>
        <v>334</v>
      </c>
      <c r="N179" s="14">
        <f>IF(ISNUMBER(M179), (M179 - $B179) / $B179, "")</f>
        <v>3.7267080745341616E-2</v>
      </c>
      <c r="O179" s="16">
        <f>IF(ISNUMBER(M179), $B199 * N179, "")</f>
        <v>3726.7080745341614</v>
      </c>
      <c r="Q179" s="236"/>
      <c r="R179" s="236"/>
      <c r="S179" s="236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>
        <v>4360</v>
      </c>
      <c r="N180" s="32">
        <f t="shared" ref="N180:N183" si="97">IF(ISNUMBER(M180), (M180 - $B180) / $B180, "")</f>
        <v>3.3175355450236969E-2</v>
      </c>
      <c r="O180" s="18">
        <f>IF(ISNUMBER(M180), $B199 * N180, "")</f>
        <v>3317.5355450236971</v>
      </c>
      <c r="Q180" s="236"/>
      <c r="R180" s="236"/>
      <c r="S180" s="236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>
        <v>1300</v>
      </c>
      <c r="N181" s="32">
        <f t="shared" si="97"/>
        <v>4.4176706827309238E-2</v>
      </c>
      <c r="O181" s="18">
        <f>IF(ISNUMBER(M181), $B199 * N181, "")</f>
        <v>4417.6706827309235</v>
      </c>
      <c r="Q181" s="241"/>
      <c r="R181" s="241"/>
      <c r="S181" s="241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>
        <v>16.3</v>
      </c>
      <c r="N182" s="32">
        <f t="shared" si="97"/>
        <v>3.164556962025316E-2</v>
      </c>
      <c r="O182" s="18">
        <f>IF(ISNUMBER(M182), $B199 * N182, "")</f>
        <v>3164.5569620253159</v>
      </c>
      <c r="Q182" s="241"/>
      <c r="R182" s="241"/>
      <c r="S182" s="241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>
        <v>209</v>
      </c>
      <c r="N183" s="21">
        <f t="shared" si="97"/>
        <v>2.9556650246305417E-2</v>
      </c>
      <c r="O183" s="22">
        <f>IF(ISNUMBER(M183), $B199 * N183, "")</f>
        <v>2955.6650246305417</v>
      </c>
      <c r="Q183" s="241"/>
      <c r="R183" s="241"/>
      <c r="S183" s="241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>
        <v>317</v>
      </c>
      <c r="N184" s="107">
        <f>IF(ISNUMBER(M184), (M184 - $B184) / $B184, "")</f>
        <v>2.5889967637540454E-2</v>
      </c>
      <c r="O184" s="108">
        <f>IF(ISNUMBER(M184), $B199 * N184, "")</f>
        <v>2588.9967637540453</v>
      </c>
      <c r="Q184" s="241"/>
      <c r="R184" s="241"/>
      <c r="S184" s="241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>
        <v>136</v>
      </c>
      <c r="N185" s="32">
        <f t="shared" ref="N185:N188" si="101">IF(ISNUMBER(M185), (M185 - $B185) / $B185, "")</f>
        <v>3.0303030303030304E-2</v>
      </c>
      <c r="O185" s="18">
        <f>IF(ISNUMBER(M185), $B199 * N185, "")</f>
        <v>3030.3030303030305</v>
      </c>
      <c r="Q185" s="241"/>
      <c r="R185" s="241"/>
      <c r="S185" s="241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>
        <v>202</v>
      </c>
      <c r="N186" s="32">
        <f t="shared" si="101"/>
        <v>3.5897435897435895E-2</v>
      </c>
      <c r="O186" s="18">
        <f>IF(ISNUMBER(M186), $B199 * N186, "")</f>
        <v>3589.7435897435894</v>
      </c>
      <c r="Q186" s="241"/>
      <c r="R186" s="241"/>
      <c r="S186" s="241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>
        <v>29.3</v>
      </c>
      <c r="N187" s="32">
        <f t="shared" si="101"/>
        <v>3.900709219858161E-2</v>
      </c>
      <c r="O187" s="18">
        <f>IF(ISNUMBER(M187), $B199 * N187, "")</f>
        <v>3900.7092198581608</v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>
        <v>85.6</v>
      </c>
      <c r="N188" s="25">
        <f t="shared" si="101"/>
        <v>3.7575757575757505E-2</v>
      </c>
      <c r="O188" s="104">
        <f>IF(ISNUMBER(M188), $B199 * N188, "")</f>
        <v>3757.5757575757507</v>
      </c>
      <c r="Q188" s="250"/>
      <c r="R188" s="251"/>
      <c r="S188" s="252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>
        <v>141</v>
      </c>
      <c r="N189" s="14">
        <f>IF(ISNUMBER(M189), (M189 - $B189) / $B189, "")</f>
        <v>2.9197080291970802E-2</v>
      </c>
      <c r="O189" s="16">
        <f>IF(ISNUMBER(M189), $B199 * N189, "")</f>
        <v>2919.7080291970801</v>
      </c>
      <c r="Q189" s="253"/>
      <c r="R189" s="254"/>
      <c r="S189" s="255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>
        <v>13.8</v>
      </c>
      <c r="N190" s="32">
        <f t="shared" ref="N190:N193" si="105">IF(ISNUMBER(M190), (M190 - $B190) / $B190, "")</f>
        <v>2.9850746268656744E-2</v>
      </c>
      <c r="O190" s="18">
        <f>IF(ISNUMBER(M190), $B199 * N190, "")</f>
        <v>2985.0746268656744</v>
      </c>
      <c r="Q190" s="256"/>
      <c r="R190" s="257"/>
      <c r="S190" s="258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>
        <v>2615</v>
      </c>
      <c r="N191" s="32">
        <f t="shared" si="105"/>
        <v>3.3596837944664032E-2</v>
      </c>
      <c r="O191" s="18">
        <f>IF(ISNUMBER(M191), $B199 * N191, "")</f>
        <v>3359.683794466403</v>
      </c>
      <c r="Q191" s="241"/>
      <c r="R191" s="241"/>
      <c r="S191" s="241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>
        <v>189</v>
      </c>
      <c r="N192" s="32">
        <f t="shared" si="105"/>
        <v>2.1621621621621623E-2</v>
      </c>
      <c r="O192" s="18">
        <f>IF(ISNUMBER(M192), $B199 * N192, "")</f>
        <v>2162.1621621621621</v>
      </c>
      <c r="Q192" s="236"/>
      <c r="R192" s="236"/>
      <c r="S192" s="236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>
        <v>389</v>
      </c>
      <c r="N193" s="21">
        <f t="shared" si="105"/>
        <v>3.1830238726790451E-2</v>
      </c>
      <c r="O193" s="22">
        <f>IF(ISNUMBER(M193), $B199 * N193, "")</f>
        <v>3183.0238726790453</v>
      </c>
      <c r="Q193" s="236"/>
      <c r="R193" s="236"/>
      <c r="S193" s="236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>
        <v>4335</v>
      </c>
      <c r="N194" s="107">
        <f>IF(ISNUMBER(M194), (M194 - $B194) / $B194, "")</f>
        <v>1.5222482435597189E-2</v>
      </c>
      <c r="O194" s="108">
        <f>IF(ISNUMBER(M194), $B199 * N194, "")</f>
        <v>1522.248243559719</v>
      </c>
      <c r="Q194" s="241"/>
      <c r="R194" s="241"/>
      <c r="S194" s="241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>
        <v>10380</v>
      </c>
      <c r="N195" s="32">
        <f t="shared" ref="N195:N198" si="109">IF(ISNUMBER(M195), (M195 - $B195) / $B195, "")</f>
        <v>3.0784508440913606E-2</v>
      </c>
      <c r="O195" s="18">
        <f>IF(ISNUMBER(M195), $B199 * N195, "")</f>
        <v>3078.4508440913605</v>
      </c>
      <c r="Q195" s="241"/>
      <c r="R195" s="241"/>
      <c r="S195" s="241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>
        <v>515</v>
      </c>
      <c r="N196" s="32">
        <f t="shared" si="109"/>
        <v>1.7786561264822136E-2</v>
      </c>
      <c r="O196" s="18">
        <f>IF(ISNUMBER(M196), $B199 * N196, "")</f>
        <v>1778.6561264822135</v>
      </c>
      <c r="Q196" s="241"/>
      <c r="R196" s="241"/>
      <c r="S196" s="241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>
        <v>263</v>
      </c>
      <c r="N197" s="32">
        <f t="shared" si="109"/>
        <v>7.6628352490421452E-3</v>
      </c>
      <c r="O197" s="18">
        <f>IF(ISNUMBER(M197), $B199 * N197, "")</f>
        <v>766.28352490421457</v>
      </c>
      <c r="Q197" s="263"/>
      <c r="R197" s="264"/>
      <c r="S197" s="265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>
        <v>153</v>
      </c>
      <c r="N198" s="25">
        <f t="shared" si="109"/>
        <v>2.6845637583892617E-2</v>
      </c>
      <c r="O198" s="104">
        <f>IF(ISNUMBER(M198), $B199 * N198, "")</f>
        <v>2684.5637583892617</v>
      </c>
      <c r="Q198" s="266"/>
      <c r="R198" s="267"/>
      <c r="S198" s="268"/>
    </row>
    <row r="199" spans="1:19" ht="17.25" thickBot="1">
      <c r="A199" s="132" t="s">
        <v>270</v>
      </c>
      <c r="B199" s="274">
        <f>$B$37</f>
        <v>100000</v>
      </c>
      <c r="C199" s="275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2.9444659816488174E-2</v>
      </c>
      <c r="O199" s="28">
        <f>SUM(O179:O198)</f>
        <v>58889.319632976352</v>
      </c>
      <c r="Q199" s="269"/>
      <c r="R199" s="270"/>
      <c r="S199" s="27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10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0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0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0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0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0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0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9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9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9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96" priority="157">
      <formula>AND($N17 &gt; 0, ISNUMBER($N17))</formula>
    </cfRule>
    <cfRule type="expression" dxfId="1095" priority="158">
      <formula>AND($N17 = 0 * ISNUMBER($N17))</formula>
    </cfRule>
    <cfRule type="expression" dxfId="1094" priority="159">
      <formula>AND($N17 &lt; 0, ISNUMBER($N17))</formula>
    </cfRule>
  </conditionalFormatting>
  <conditionalFormatting sqref="A17:F36">
    <cfRule type="expression" dxfId="1093" priority="166">
      <formula>AND($E17 &gt; 0, ISNUMBER($E17))</formula>
    </cfRule>
    <cfRule type="expression" dxfId="1092" priority="167">
      <formula>AND($E17 = 0 * ISNUMBER($E17))</formula>
    </cfRule>
    <cfRule type="expression" dxfId="1091" priority="168">
      <formula>AND($E17 &lt; 0, ISNUMBER($E17))</formula>
    </cfRule>
  </conditionalFormatting>
  <conditionalFormatting sqref="A17:C36 G17:I36">
    <cfRule type="expression" dxfId="1090" priority="163">
      <formula>AND($H17 &gt; 0, ISNUMBER($H17))</formula>
    </cfRule>
    <cfRule type="expression" dxfId="1089" priority="164">
      <formula>AND($H17 = 0 * ISNUMBER($H17))</formula>
    </cfRule>
    <cfRule type="expression" dxfId="1088" priority="165">
      <formula>AND($H17 &lt; 0, ISNUMBER($H17))</formula>
    </cfRule>
  </conditionalFormatting>
  <conditionalFormatting sqref="A17:C36 J17:L36">
    <cfRule type="expression" dxfId="1087" priority="160">
      <formula>AND($K17 &gt; 0, ISNUMBER($K17))</formula>
    </cfRule>
    <cfRule type="expression" dxfId="1086" priority="161">
      <formula>AND($K17 = 0 * ISNUMBER($K17))</formula>
    </cfRule>
    <cfRule type="expression" dxfId="1085" priority="162">
      <formula>AND($K17 &lt; 0, ISNUMBER($K17))</formula>
    </cfRule>
  </conditionalFormatting>
  <conditionalFormatting sqref="D15:F16 E37:F37">
    <cfRule type="expression" dxfId="1084" priority="154">
      <formula>$E$37 &gt; 0</formula>
    </cfRule>
    <cfRule type="expression" dxfId="1083" priority="155">
      <formula>$E$37 = 0</formula>
    </cfRule>
    <cfRule type="expression" dxfId="1082" priority="156">
      <formula>$E$37 &lt; 0</formula>
    </cfRule>
  </conditionalFormatting>
  <conditionalFormatting sqref="G15:I16 H37:I37">
    <cfRule type="expression" dxfId="1081" priority="151">
      <formula>$H$37 &gt; 0</formula>
    </cfRule>
    <cfRule type="expression" dxfId="1080" priority="152">
      <formula>$H$37 = 0</formula>
    </cfRule>
    <cfRule type="expression" dxfId="1079" priority="153">
      <formula>$H$37 &lt; 0</formula>
    </cfRule>
  </conditionalFormatting>
  <conditionalFormatting sqref="J15:L16 K37:L37">
    <cfRule type="expression" dxfId="1078" priority="148">
      <formula>$K$37 &gt; 0</formula>
    </cfRule>
    <cfRule type="expression" dxfId="1077" priority="149">
      <formula>$K$37 = 0</formula>
    </cfRule>
    <cfRule type="expression" dxfId="1076" priority="150">
      <formula>$K$37 &lt; 0</formula>
    </cfRule>
  </conditionalFormatting>
  <conditionalFormatting sqref="M15:O16 N37:O37">
    <cfRule type="expression" dxfId="1075" priority="145">
      <formula>$N$37 &gt; 0</formula>
    </cfRule>
    <cfRule type="expression" dxfId="1074" priority="146">
      <formula>$N$37 = 0</formula>
    </cfRule>
    <cfRule type="expression" dxfId="1073" priority="147">
      <formula>$N$37 &lt; 0</formula>
    </cfRule>
  </conditionalFormatting>
  <conditionalFormatting sqref="A44:C63 M44:O63">
    <cfRule type="expression" dxfId="1072" priority="133">
      <formula>AND($N44 &gt; 0, ISNUMBER($N44))</formula>
    </cfRule>
    <cfRule type="expression" dxfId="1071" priority="134">
      <formula>AND($N44 = 0 * ISNUMBER($N44))</formula>
    </cfRule>
    <cfRule type="expression" dxfId="1070" priority="135">
      <formula>AND($N44 &lt; 0, ISNUMBER($N44))</formula>
    </cfRule>
  </conditionalFormatting>
  <conditionalFormatting sqref="A44:F63">
    <cfRule type="expression" dxfId="1069" priority="142">
      <formula>AND($E44 &gt; 0, ISNUMBER($E44))</formula>
    </cfRule>
    <cfRule type="expression" dxfId="1068" priority="143">
      <formula>AND($E44 = 0 * ISNUMBER($E44))</formula>
    </cfRule>
    <cfRule type="expression" dxfId="1067" priority="144">
      <formula>AND($E44 &lt; 0, ISNUMBER($E44))</formula>
    </cfRule>
  </conditionalFormatting>
  <conditionalFormatting sqref="A44:C63 G44:I63">
    <cfRule type="expression" dxfId="1066" priority="139">
      <formula>AND($H44 &gt; 0, ISNUMBER($H44))</formula>
    </cfRule>
    <cfRule type="expression" dxfId="1065" priority="140">
      <formula>AND($H44 = 0 * ISNUMBER($H44))</formula>
    </cfRule>
    <cfRule type="expression" dxfId="1064" priority="141">
      <formula>AND($H44 &lt; 0, ISNUMBER($H44))</formula>
    </cfRule>
  </conditionalFormatting>
  <conditionalFormatting sqref="A44:C63 J44:L63">
    <cfRule type="expression" dxfId="1063" priority="136">
      <formula>AND($K44 &gt; 0, ISNUMBER($K44))</formula>
    </cfRule>
    <cfRule type="expression" dxfId="1062" priority="137">
      <formula>AND($K44 = 0 * ISNUMBER($K44))</formula>
    </cfRule>
    <cfRule type="expression" dxfId="1061" priority="138">
      <formula>AND($K44 &lt; 0, ISNUMBER($K44))</formula>
    </cfRule>
  </conditionalFormatting>
  <conditionalFormatting sqref="D42:F43 E64:F64">
    <cfRule type="expression" dxfId="1060" priority="130">
      <formula>$E$64 &gt; 0</formula>
    </cfRule>
    <cfRule type="expression" dxfId="1059" priority="131">
      <formula>$E$64 = 0</formula>
    </cfRule>
    <cfRule type="expression" dxfId="1058" priority="132">
      <formula>$E$64 &lt; 0</formula>
    </cfRule>
  </conditionalFormatting>
  <conditionalFormatting sqref="G42:I43 H64:I64">
    <cfRule type="expression" dxfId="1057" priority="127">
      <formula>$H$64 &gt; 0</formula>
    </cfRule>
    <cfRule type="expression" dxfId="1056" priority="128">
      <formula>$H$64 = 0</formula>
    </cfRule>
    <cfRule type="expression" dxfId="1055" priority="129">
      <formula>$H$64 &lt; 0</formula>
    </cfRule>
  </conditionalFormatting>
  <conditionalFormatting sqref="J42:L43 K64:L64">
    <cfRule type="expression" dxfId="1054" priority="124">
      <formula>$K$64 &gt; 0</formula>
    </cfRule>
    <cfRule type="expression" dxfId="1053" priority="125">
      <formula>$K$64 = 0</formula>
    </cfRule>
    <cfRule type="expression" dxfId="1052" priority="126">
      <formula>$K$64 &lt; 0</formula>
    </cfRule>
  </conditionalFormatting>
  <conditionalFormatting sqref="M42:O43 N64:O64">
    <cfRule type="expression" dxfId="1051" priority="121">
      <formula>$N$64 &gt; 0</formula>
    </cfRule>
    <cfRule type="expression" dxfId="1050" priority="122">
      <formula>$N$64 = 0</formula>
    </cfRule>
    <cfRule type="expression" dxfId="1049" priority="123">
      <formula>$N$64 &lt; 0</formula>
    </cfRule>
  </conditionalFormatting>
  <conditionalFormatting sqref="A71:C90 M71:O90">
    <cfRule type="expression" dxfId="1048" priority="109">
      <formula>AND($N71 &gt; 0, ISNUMBER($N71))</formula>
    </cfRule>
    <cfRule type="expression" dxfId="1047" priority="110">
      <formula>AND($N71 = 0 * ISNUMBER($N71))</formula>
    </cfRule>
    <cfRule type="expression" dxfId="1046" priority="111">
      <formula>AND($N71 &lt; 0, ISNUMBER($N71))</formula>
    </cfRule>
  </conditionalFormatting>
  <conditionalFormatting sqref="A71:F90">
    <cfRule type="expression" dxfId="1045" priority="118">
      <formula>AND($E71 &gt; 0, ISNUMBER($E71))</formula>
    </cfRule>
    <cfRule type="expression" dxfId="1044" priority="119">
      <formula>AND($E71 = 0 * ISNUMBER($E71))</formula>
    </cfRule>
    <cfRule type="expression" dxfId="1043" priority="120">
      <formula>AND($E71 &lt; 0, ISNUMBER($E71))</formula>
    </cfRule>
  </conditionalFormatting>
  <conditionalFormatting sqref="A71:C90 G71:I90">
    <cfRule type="expression" dxfId="1042" priority="115">
      <formula>AND($H71 &gt; 0, ISNUMBER($H71))</formula>
    </cfRule>
    <cfRule type="expression" dxfId="1041" priority="116">
      <formula>AND($H71 = 0 * ISNUMBER($H71))</formula>
    </cfRule>
    <cfRule type="expression" dxfId="1040" priority="117">
      <formula>AND($H71 &lt; 0, ISNUMBER($H71))</formula>
    </cfRule>
  </conditionalFormatting>
  <conditionalFormatting sqref="A71:C90 J71:L90">
    <cfRule type="expression" dxfId="1039" priority="112">
      <formula>AND($K71 &gt; 0, ISNUMBER($K71))</formula>
    </cfRule>
    <cfRule type="expression" dxfId="1038" priority="113">
      <formula>AND($K71 = 0 * ISNUMBER($K71))</formula>
    </cfRule>
    <cfRule type="expression" dxfId="1037" priority="114">
      <formula>AND($K71 &lt; 0, ISNUMBER($K71))</formula>
    </cfRule>
  </conditionalFormatting>
  <conditionalFormatting sqref="D69:F70 E91:F91">
    <cfRule type="expression" dxfId="1036" priority="106">
      <formula>$E$91 &gt; 0</formula>
    </cfRule>
    <cfRule type="expression" dxfId="1035" priority="107">
      <formula>$E$91 = 0</formula>
    </cfRule>
    <cfRule type="expression" dxfId="1034" priority="108">
      <formula>$E$91 &lt; 0</formula>
    </cfRule>
  </conditionalFormatting>
  <conditionalFormatting sqref="G69:I70 H91:I91">
    <cfRule type="expression" dxfId="1033" priority="103">
      <formula>$H$91 &gt; 0</formula>
    </cfRule>
    <cfRule type="expression" dxfId="1032" priority="104">
      <formula>$H$91 = 0</formula>
    </cfRule>
    <cfRule type="expression" dxfId="1031" priority="105">
      <formula>$H$91 &lt; 0</formula>
    </cfRule>
  </conditionalFormatting>
  <conditionalFormatting sqref="J69:L70 K91:L91">
    <cfRule type="expression" dxfId="1030" priority="100">
      <formula>$K$91 &gt; 0</formula>
    </cfRule>
    <cfRule type="expression" dxfId="1029" priority="101">
      <formula>$K$91 = 0</formula>
    </cfRule>
    <cfRule type="expression" dxfId="1028" priority="102">
      <formula>$K$91 &lt; 0</formula>
    </cfRule>
  </conditionalFormatting>
  <conditionalFormatting sqref="M69:O70 N91:O91">
    <cfRule type="expression" dxfId="1027" priority="97">
      <formula>$N$91 &gt; 0</formula>
    </cfRule>
    <cfRule type="expression" dxfId="1026" priority="98">
      <formula>$N$91 = 0</formula>
    </cfRule>
    <cfRule type="expression" dxfId="1025" priority="99">
      <formula>$N$91 &lt; 0</formula>
    </cfRule>
  </conditionalFormatting>
  <conditionalFormatting sqref="A98:C117 M98:O117">
    <cfRule type="expression" dxfId="1024" priority="85">
      <formula>AND($N98 &gt; 0, ISNUMBER($N98))</formula>
    </cfRule>
    <cfRule type="expression" dxfId="1023" priority="86">
      <formula>AND($N98 = 0 * ISNUMBER($N98))</formula>
    </cfRule>
    <cfRule type="expression" dxfId="1022" priority="87">
      <formula>AND($N98 &lt; 0, ISNUMBER($N98))</formula>
    </cfRule>
  </conditionalFormatting>
  <conditionalFormatting sqref="A98:F117">
    <cfRule type="expression" dxfId="1021" priority="94">
      <formula>AND($E98 &gt; 0, ISNUMBER($E98))</formula>
    </cfRule>
    <cfRule type="expression" dxfId="1020" priority="95">
      <formula>AND($E98 = 0 * ISNUMBER($E98))</formula>
    </cfRule>
    <cfRule type="expression" dxfId="1019" priority="96">
      <formula>AND($E98 &lt; 0, ISNUMBER($E98))</formula>
    </cfRule>
  </conditionalFormatting>
  <conditionalFormatting sqref="A98:C117 G98:I117">
    <cfRule type="expression" dxfId="1018" priority="91">
      <formula>AND($H98 &gt; 0, ISNUMBER($H98))</formula>
    </cfRule>
    <cfRule type="expression" dxfId="1017" priority="92">
      <formula>AND($H98 = 0 * ISNUMBER($H98))</formula>
    </cfRule>
    <cfRule type="expression" dxfId="1016" priority="93">
      <formula>AND($H98 &lt; 0, ISNUMBER($H98))</formula>
    </cfRule>
  </conditionalFormatting>
  <conditionalFormatting sqref="A98:C117 J98:L117">
    <cfRule type="expression" dxfId="1015" priority="88">
      <formula>AND($K98 &gt; 0, ISNUMBER($K98))</formula>
    </cfRule>
    <cfRule type="expression" dxfId="1014" priority="89">
      <formula>AND($K98 = 0 * ISNUMBER($K98))</formula>
    </cfRule>
    <cfRule type="expression" dxfId="1013" priority="90">
      <formula>AND($K98 &lt; 0, ISNUMBER($K98))</formula>
    </cfRule>
  </conditionalFormatting>
  <conditionalFormatting sqref="D96:F97 E118:F118">
    <cfRule type="expression" dxfId="1012" priority="82">
      <formula>$E$118 &gt; 0</formula>
    </cfRule>
    <cfRule type="expression" dxfId="1011" priority="83">
      <formula>$E$118 = 0</formula>
    </cfRule>
    <cfRule type="expression" dxfId="1010" priority="84">
      <formula>$E$118 &lt; 0</formula>
    </cfRule>
  </conditionalFormatting>
  <conditionalFormatting sqref="G96:I97 H118:I118">
    <cfRule type="expression" dxfId="1009" priority="79">
      <formula>$H$118 &gt; 0</formula>
    </cfRule>
    <cfRule type="expression" dxfId="1008" priority="80">
      <formula>$H$118 = 0</formula>
    </cfRule>
    <cfRule type="expression" dxfId="1007" priority="81">
      <formula>$H$118 &lt; 0</formula>
    </cfRule>
  </conditionalFormatting>
  <conditionalFormatting sqref="J96:L97 K118:L118">
    <cfRule type="expression" dxfId="1006" priority="76">
      <formula>$K$118 &gt; 0</formula>
    </cfRule>
    <cfRule type="expression" dxfId="1005" priority="77">
      <formula>$K$118 = 0</formula>
    </cfRule>
    <cfRule type="expression" dxfId="1004" priority="78">
      <formula>$K$118 &lt; 0</formula>
    </cfRule>
  </conditionalFormatting>
  <conditionalFormatting sqref="M96:O97 N118:O118">
    <cfRule type="expression" dxfId="1003" priority="73">
      <formula>$N$118 &gt; 0</formula>
    </cfRule>
    <cfRule type="expression" dxfId="1002" priority="74">
      <formula>$N$118 = 0</formula>
    </cfRule>
    <cfRule type="expression" dxfId="1001" priority="75">
      <formula>$N$118 &lt; 0</formula>
    </cfRule>
  </conditionalFormatting>
  <conditionalFormatting sqref="A125:C144 M125:O144">
    <cfRule type="expression" dxfId="1000" priority="61">
      <formula>AND($N125 &gt; 0, ISNUMBER($N125))</formula>
    </cfRule>
    <cfRule type="expression" dxfId="999" priority="62">
      <formula>AND($N125 = 0 * ISNUMBER($N125))</formula>
    </cfRule>
    <cfRule type="expression" dxfId="998" priority="63">
      <formula>AND($N125 &lt; 0, ISNUMBER($N125))</formula>
    </cfRule>
  </conditionalFormatting>
  <conditionalFormatting sqref="A125:F144">
    <cfRule type="expression" dxfId="997" priority="70">
      <formula>AND($E125 &gt; 0, ISNUMBER($E125))</formula>
    </cfRule>
    <cfRule type="expression" dxfId="996" priority="71">
      <formula>AND($E125 = 0 * ISNUMBER($E125))</formula>
    </cfRule>
    <cfRule type="expression" dxfId="995" priority="72">
      <formula>AND($E125 &lt; 0, ISNUMBER($E125))</formula>
    </cfRule>
  </conditionalFormatting>
  <conditionalFormatting sqref="A125:C144 G125:I144">
    <cfRule type="expression" dxfId="994" priority="67">
      <formula>AND($H125 &gt; 0, ISNUMBER($H125))</formula>
    </cfRule>
    <cfRule type="expression" dxfId="993" priority="68">
      <formula>AND($H125 = 0 * ISNUMBER($H125))</formula>
    </cfRule>
    <cfRule type="expression" dxfId="992" priority="69">
      <formula>AND($H125 &lt; 0, ISNUMBER($H125))</formula>
    </cfRule>
  </conditionalFormatting>
  <conditionalFormatting sqref="A125:C144 J125:L144">
    <cfRule type="expression" dxfId="991" priority="64">
      <formula>AND($K125 &gt; 0, ISNUMBER($K125))</formula>
    </cfRule>
    <cfRule type="expression" dxfId="990" priority="65">
      <formula>AND($K125 = 0 * ISNUMBER($K125))</formula>
    </cfRule>
    <cfRule type="expression" dxfId="989" priority="66">
      <formula>AND($K125 &lt; 0, ISNUMBER($K125))</formula>
    </cfRule>
  </conditionalFormatting>
  <conditionalFormatting sqref="D123:F124 E145:F145">
    <cfRule type="expression" dxfId="988" priority="58">
      <formula>$E$145 &gt; 0</formula>
    </cfRule>
    <cfRule type="expression" dxfId="987" priority="59">
      <formula>$E$145 = 0</formula>
    </cfRule>
    <cfRule type="expression" dxfId="986" priority="60">
      <formula>$E$145 &lt; 0</formula>
    </cfRule>
  </conditionalFormatting>
  <conditionalFormatting sqref="G123:I124 H145:I145">
    <cfRule type="expression" dxfId="985" priority="55">
      <formula>$H$145 &gt; 0</formula>
    </cfRule>
    <cfRule type="expression" dxfId="984" priority="56">
      <formula>$H$145 = 0</formula>
    </cfRule>
    <cfRule type="expression" dxfId="983" priority="57">
      <formula>$H$145 &lt; 0</formula>
    </cfRule>
  </conditionalFormatting>
  <conditionalFormatting sqref="J123:L124 K145:L145">
    <cfRule type="expression" dxfId="982" priority="52">
      <formula>$K$145 &gt; 0</formula>
    </cfRule>
    <cfRule type="expression" dxfId="981" priority="53">
      <formula>$K$145 = 0</formula>
    </cfRule>
    <cfRule type="expression" dxfId="980" priority="54">
      <formula>$K$145 &lt; 0</formula>
    </cfRule>
  </conditionalFormatting>
  <conditionalFormatting sqref="M123:O124 N145:O145">
    <cfRule type="expression" dxfId="979" priority="49">
      <formula>$N$145 &gt; 0</formula>
    </cfRule>
    <cfRule type="expression" dxfId="978" priority="50">
      <formula>$N$145 = 0</formula>
    </cfRule>
    <cfRule type="expression" dxfId="977" priority="51">
      <formula>$N$145 &lt; 0</formula>
    </cfRule>
  </conditionalFormatting>
  <conditionalFormatting sqref="A152:C171 M152:O171">
    <cfRule type="expression" dxfId="976" priority="37">
      <formula>AND($N152 &gt; 0, ISNUMBER($N152))</formula>
    </cfRule>
    <cfRule type="expression" dxfId="975" priority="38">
      <formula>AND($N152 = 0 * ISNUMBER($N152))</formula>
    </cfRule>
    <cfRule type="expression" dxfId="974" priority="39">
      <formula>AND($N152 &lt; 0, ISNUMBER($N152))</formula>
    </cfRule>
  </conditionalFormatting>
  <conditionalFormatting sqref="A152:F171">
    <cfRule type="expression" dxfId="973" priority="46">
      <formula>AND($E152 &gt; 0, ISNUMBER($E152))</formula>
    </cfRule>
    <cfRule type="expression" dxfId="972" priority="47">
      <formula>AND($E152 = 0 * ISNUMBER($E152))</formula>
    </cfRule>
    <cfRule type="expression" dxfId="971" priority="48">
      <formula>AND($E152 &lt; 0, ISNUMBER($E152))</formula>
    </cfRule>
  </conditionalFormatting>
  <conditionalFormatting sqref="A152:C171 G152:I171">
    <cfRule type="expression" dxfId="970" priority="43">
      <formula>AND($H152 &gt; 0, ISNUMBER($H152))</formula>
    </cfRule>
    <cfRule type="expression" dxfId="969" priority="44">
      <formula>AND($H152 = 0 * ISNUMBER($H152))</formula>
    </cfRule>
    <cfRule type="expression" dxfId="968" priority="45">
      <formula>AND($H152 &lt; 0, ISNUMBER($H152))</formula>
    </cfRule>
  </conditionalFormatting>
  <conditionalFormatting sqref="A152:C171 J152:L171">
    <cfRule type="expression" dxfId="967" priority="40">
      <formula>AND($K152 &gt; 0, ISNUMBER($K152))</formula>
    </cfRule>
    <cfRule type="expression" dxfId="966" priority="41">
      <formula>AND($K152 = 0 * ISNUMBER($K152))</formula>
    </cfRule>
    <cfRule type="expression" dxfId="965" priority="42">
      <formula>AND($K152 &lt; 0, ISNUMBER($K152))</formula>
    </cfRule>
  </conditionalFormatting>
  <conditionalFormatting sqref="D150:F151 E172:F172">
    <cfRule type="expression" dxfId="964" priority="34">
      <formula>$E$172 &gt; 0</formula>
    </cfRule>
    <cfRule type="expression" dxfId="963" priority="35">
      <formula>$E$172 = 0</formula>
    </cfRule>
    <cfRule type="expression" dxfId="962" priority="36">
      <formula>$E$172 &lt; 0</formula>
    </cfRule>
  </conditionalFormatting>
  <conditionalFormatting sqref="G150:I151 H172:I172">
    <cfRule type="expression" dxfId="961" priority="31">
      <formula>$H$172 &gt; 0</formula>
    </cfRule>
    <cfRule type="expression" dxfId="960" priority="32">
      <formula>$H$172 = 0</formula>
    </cfRule>
    <cfRule type="expression" dxfId="959" priority="33">
      <formula>$H$172 &lt; 0</formula>
    </cfRule>
  </conditionalFormatting>
  <conditionalFormatting sqref="J150:L151 K172:L172">
    <cfRule type="expression" dxfId="958" priority="28">
      <formula>$K$172 &gt; 0</formula>
    </cfRule>
    <cfRule type="expression" dxfId="957" priority="29">
      <formula>$K$172 = 0</formula>
    </cfRule>
    <cfRule type="expression" dxfId="956" priority="30">
      <formula>$K$172 &lt; 0</formula>
    </cfRule>
  </conditionalFormatting>
  <conditionalFormatting sqref="M150:O151 N172:O172">
    <cfRule type="expression" dxfId="955" priority="25">
      <formula>$N$172 &gt; 0</formula>
    </cfRule>
    <cfRule type="expression" dxfId="954" priority="26">
      <formula>$N$172 = 0</formula>
    </cfRule>
    <cfRule type="expression" dxfId="953" priority="27">
      <formula>$N$172 &lt; 0</formula>
    </cfRule>
  </conditionalFormatting>
  <conditionalFormatting sqref="A179:C198 M179:O198">
    <cfRule type="expression" dxfId="952" priority="13">
      <formula>AND($N179 &gt; 0, ISNUMBER($N179))</formula>
    </cfRule>
    <cfRule type="expression" dxfId="951" priority="14">
      <formula>AND($N179 = 0 * ISNUMBER($N179))</formula>
    </cfRule>
    <cfRule type="expression" dxfId="950" priority="15">
      <formula>AND($N179 &lt; 0, ISNUMBER($N179))</formula>
    </cfRule>
  </conditionalFormatting>
  <conditionalFormatting sqref="A179:F198">
    <cfRule type="expression" dxfId="949" priority="22">
      <formula>AND($E179 &gt; 0, ISNUMBER($E179))</formula>
    </cfRule>
    <cfRule type="expression" dxfId="948" priority="23">
      <formula>AND($E179 = 0 * ISNUMBER($E179))</formula>
    </cfRule>
    <cfRule type="expression" dxfId="947" priority="24">
      <formula>AND($E179 &lt; 0, ISNUMBER($E179))</formula>
    </cfRule>
  </conditionalFormatting>
  <conditionalFormatting sqref="A179:C198 G179:I198">
    <cfRule type="expression" dxfId="946" priority="19">
      <formula>AND($H179 &gt; 0, ISNUMBER($H179))</formula>
    </cfRule>
    <cfRule type="expression" dxfId="945" priority="20">
      <formula>AND($H179 = 0 * ISNUMBER($H179))</formula>
    </cfRule>
    <cfRule type="expression" dxfId="944" priority="21">
      <formula>AND($H179 &lt; 0, ISNUMBER($H179))</formula>
    </cfRule>
  </conditionalFormatting>
  <conditionalFormatting sqref="A179:C198 J179:L198">
    <cfRule type="expression" dxfId="943" priority="16">
      <formula>AND($K179 &gt; 0, ISNUMBER($K179))</formula>
    </cfRule>
    <cfRule type="expression" dxfId="942" priority="17">
      <formula>AND($K179 = 0 * ISNUMBER($K179))</formula>
    </cfRule>
    <cfRule type="expression" dxfId="941" priority="18">
      <formula>AND($K179 &lt; 0, ISNUMBER($K179))</formula>
    </cfRule>
  </conditionalFormatting>
  <conditionalFormatting sqref="D177:F178 E199:F199">
    <cfRule type="expression" dxfId="940" priority="10">
      <formula>$E$199 &gt; 0</formula>
    </cfRule>
    <cfRule type="expression" dxfId="939" priority="11">
      <formula>$E$199 = 0</formula>
    </cfRule>
    <cfRule type="expression" dxfId="938" priority="12">
      <formula>$E$199 &lt; 0</formula>
    </cfRule>
  </conditionalFormatting>
  <conditionalFormatting sqref="G177:I178 H199:I199">
    <cfRule type="expression" dxfId="937" priority="7">
      <formula>$H$199 &gt; 0</formula>
    </cfRule>
    <cfRule type="expression" dxfId="936" priority="8">
      <formula>$H$199 = 0</formula>
    </cfRule>
    <cfRule type="expression" dxfId="935" priority="9">
      <formula>$H$199 &lt; 0</formula>
    </cfRule>
  </conditionalFormatting>
  <conditionalFormatting sqref="J177:L178 K199:L199">
    <cfRule type="expression" dxfId="934" priority="4">
      <formula>$K$199 &gt; 0</formula>
    </cfRule>
    <cfRule type="expression" dxfId="933" priority="5">
      <formula>$K$199 = 0</formula>
    </cfRule>
    <cfRule type="expression" dxfId="932" priority="6">
      <formula>$K$199 &lt; 0</formula>
    </cfRule>
  </conditionalFormatting>
  <conditionalFormatting sqref="M177:O178 N199:O199">
    <cfRule type="expression" dxfId="931" priority="1">
      <formula>$N$199 &gt; 0</formula>
    </cfRule>
    <cfRule type="expression" dxfId="930" priority="2">
      <formula>$N$199 = 0</formula>
    </cfRule>
    <cfRule type="expression" dxfId="92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524F-1E78-4678-B47F-BBD123AF7C8F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18">
        <v>44418</v>
      </c>
      <c r="H1" s="219"/>
      <c r="I1" s="220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24" t="s">
        <v>46</v>
      </c>
      <c r="H2" s="225"/>
      <c r="I2" s="226"/>
      <c r="J2" s="1" t="s">
        <v>3</v>
      </c>
      <c r="K2" s="221" t="s">
        <v>320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27" t="s">
        <v>328</v>
      </c>
      <c r="C3" s="228"/>
      <c r="D3" s="228"/>
      <c r="E3" s="228"/>
      <c r="F3" s="229"/>
      <c r="G3" s="23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4,908 KRW (0.25%)</v>
      </c>
      <c r="H3" s="231"/>
      <c r="I3" s="232"/>
      <c r="J3" s="4" t="s">
        <v>7</v>
      </c>
      <c r="K3" s="227" t="s">
        <v>321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7" t="s">
        <v>16</v>
      </c>
      <c r="C4" s="228"/>
      <c r="D4" s="228"/>
      <c r="E4" s="228"/>
      <c r="F4" s="229"/>
      <c r="G4" s="224" t="s">
        <v>44</v>
      </c>
      <c r="H4" s="225"/>
      <c r="I4" s="226"/>
      <c r="J4" s="4" t="s">
        <v>11</v>
      </c>
      <c r="K4" s="227" t="s">
        <v>322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7" t="s">
        <v>319</v>
      </c>
      <c r="C5" s="228"/>
      <c r="D5" s="228"/>
      <c r="E5" s="228"/>
      <c r="F5" s="229"/>
      <c r="G5" s="23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13,600 KRW (0.76%)</v>
      </c>
      <c r="H5" s="231"/>
      <c r="I5" s="232"/>
      <c r="J5" s="4" t="s">
        <v>15</v>
      </c>
      <c r="K5" s="227" t="s">
        <v>323</v>
      </c>
      <c r="L5" s="228"/>
      <c r="M5" s="228"/>
      <c r="N5" s="228"/>
      <c r="O5" s="229"/>
    </row>
    <row r="6" spans="1:19">
      <c r="A6" s="118" t="s">
        <v>18</v>
      </c>
      <c r="B6" s="227"/>
      <c r="C6" s="228"/>
      <c r="D6" s="228"/>
      <c r="E6" s="228"/>
      <c r="F6" s="229"/>
      <c r="G6" s="224" t="s">
        <v>45</v>
      </c>
      <c r="H6" s="225"/>
      <c r="I6" s="226"/>
      <c r="J6" s="4" t="s">
        <v>18</v>
      </c>
      <c r="K6" s="227" t="s">
        <v>324</v>
      </c>
      <c r="L6" s="228"/>
      <c r="M6" s="228"/>
      <c r="N6" s="228"/>
      <c r="O6" s="229"/>
    </row>
    <row r="7" spans="1:19" ht="17.25" thickBot="1">
      <c r="A7" s="118" t="s">
        <v>21</v>
      </c>
      <c r="B7" s="227"/>
      <c r="C7" s="228"/>
      <c r="D7" s="228"/>
      <c r="E7" s="228"/>
      <c r="F7" s="229"/>
      <c r="G7" s="23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35,328 KRW (1.77%)</v>
      </c>
      <c r="H7" s="231"/>
      <c r="I7" s="232"/>
      <c r="J7" s="4" t="s">
        <v>21</v>
      </c>
      <c r="K7" s="227" t="s">
        <v>325</v>
      </c>
      <c r="L7" s="228"/>
      <c r="M7" s="228"/>
      <c r="N7" s="228"/>
      <c r="O7" s="229"/>
    </row>
    <row r="8" spans="1:19" ht="17.25" thickBot="1">
      <c r="A8" s="118" t="s">
        <v>24</v>
      </c>
      <c r="B8" s="227"/>
      <c r="C8" s="228"/>
      <c r="D8" s="228"/>
      <c r="E8" s="228"/>
      <c r="F8" s="229"/>
      <c r="G8" s="224" t="s">
        <v>255</v>
      </c>
      <c r="H8" s="225"/>
      <c r="I8" s="226"/>
      <c r="J8" s="4" t="s">
        <v>24</v>
      </c>
      <c r="K8" s="227"/>
      <c r="L8" s="228"/>
      <c r="M8" s="228"/>
      <c r="N8" s="228"/>
      <c r="O8" s="229"/>
      <c r="Q8" s="215" t="s">
        <v>27</v>
      </c>
      <c r="R8" s="217"/>
    </row>
    <row r="9" spans="1:19" ht="17.25" thickBot="1">
      <c r="A9" s="118" t="s">
        <v>28</v>
      </c>
      <c r="B9" s="227"/>
      <c r="C9" s="228"/>
      <c r="D9" s="228"/>
      <c r="E9" s="228"/>
      <c r="F9" s="229"/>
      <c r="G9" s="23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21,336 KRW (1.07%)</v>
      </c>
      <c r="H9" s="231"/>
      <c r="I9" s="232"/>
      <c r="J9" s="4" t="s">
        <v>28</v>
      </c>
      <c r="K9" s="227"/>
      <c r="L9" s="228"/>
      <c r="M9" s="228"/>
      <c r="N9" s="228"/>
      <c r="O9" s="229"/>
      <c r="Q9" s="2" t="s">
        <v>29</v>
      </c>
      <c r="R9" s="6">
        <v>10</v>
      </c>
    </row>
    <row r="10" spans="1:19">
      <c r="A10" s="118" t="s">
        <v>30</v>
      </c>
      <c r="B10" s="227"/>
      <c r="C10" s="228"/>
      <c r="D10" s="228"/>
      <c r="E10" s="228"/>
      <c r="F10" s="229"/>
      <c r="G10" s="224" t="s">
        <v>47</v>
      </c>
      <c r="H10" s="225"/>
      <c r="I10" s="226"/>
      <c r="J10" s="4" t="s">
        <v>30</v>
      </c>
      <c r="K10" s="227" t="s">
        <v>326</v>
      </c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1"/>
      <c r="I11" s="232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36"/>
      <c r="R13" s="236"/>
      <c r="S13" s="236"/>
    </row>
    <row r="14" spans="1:19" ht="17.25" customHeight="1" thickBot="1">
      <c r="A14" s="193" t="s">
        <v>35</v>
      </c>
      <c r="B14" s="215" t="s">
        <v>36</v>
      </c>
      <c r="C14" s="217"/>
      <c r="D14" s="215" t="s">
        <v>37</v>
      </c>
      <c r="E14" s="216"/>
      <c r="F14" s="217"/>
      <c r="G14" s="242">
        <f>_xlfn.IFNA(VLOOKUP(B14, 현재가테이블!$B$2:$D$200, 2, FALSE), "-")</f>
        <v>53976000</v>
      </c>
      <c r="H14" s="243"/>
      <c r="I14" s="244"/>
      <c r="J14" s="215" t="s">
        <v>38</v>
      </c>
      <c r="K14" s="216"/>
      <c r="L14" s="217"/>
      <c r="M14" s="245">
        <f>_xlfn.IFNA(VLOOKUP(B14, 현재가테이블!$B$2:$D$200, 3, FALSE), "-")</f>
        <v>-2.1216407400000001E-2</v>
      </c>
      <c r="N14" s="246"/>
      <c r="O14" s="247"/>
      <c r="Q14" s="236"/>
      <c r="R14" s="236"/>
      <c r="S14" s="236"/>
    </row>
    <row r="15" spans="1:19" ht="17.25" customHeight="1" thickBot="1">
      <c r="A15" s="280" t="s">
        <v>39</v>
      </c>
      <c r="B15" s="281" t="str">
        <f>TEXT($G$1, "[$-ko-KR]yyyy-mm-dd(ddd) ") &amp; "오전 00:00"</f>
        <v>2021-08-10(화) 오전 00:00</v>
      </c>
      <c r="C15" s="282"/>
      <c r="D15" s="238" t="str">
        <f>TEXT($G$1, "[$-ko-KR]yyyy-mm-dd(ddd) ") &amp; "오후 14:00"</f>
        <v>2021-08-10(화) 오후 14:00</v>
      </c>
      <c r="E15" s="239"/>
      <c r="F15" s="240"/>
      <c r="G15" s="238" t="str">
        <f>TEXT($G$1, "[$-ko-KR]yyyy-mm-dd(ddd) ") &amp; "오후 19:00"</f>
        <v>2021-08-10(화) 오후 19:00</v>
      </c>
      <c r="H15" s="239"/>
      <c r="I15" s="240"/>
      <c r="J15" s="238" t="str">
        <f>TEXT($G$1, "[$-ko-KR]yyyy-mm-dd(ddd) ") &amp; "오후 21:00"</f>
        <v>2021-08-10(화) 오후 21:00</v>
      </c>
      <c r="K15" s="239"/>
      <c r="L15" s="240"/>
      <c r="M15" s="238" t="str">
        <f>TEXT($G$1+1, "[$-ko-KR]yyyy-mm-dd(ddd) ") &amp; "오전 00:00"</f>
        <v>2021-08-11(수) 오전 00:00</v>
      </c>
      <c r="N15" s="239"/>
      <c r="O15" s="240"/>
      <c r="Q15" s="236"/>
      <c r="R15" s="236"/>
      <c r="S15" s="236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1"/>
      <c r="R16" s="241"/>
      <c r="S16" s="24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6"/>
      <c r="R17" s="236"/>
      <c r="S17" s="23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6"/>
      <c r="R18" s="236"/>
      <c r="S18" s="23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1"/>
      <c r="R19" s="241"/>
      <c r="S19" s="24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1"/>
      <c r="R20" s="241"/>
      <c r="S20" s="24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1"/>
      <c r="R21" s="241"/>
      <c r="S21" s="24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1"/>
      <c r="R22" s="241"/>
      <c r="S22" s="24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1"/>
      <c r="R23" s="241"/>
      <c r="S23" s="24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1"/>
      <c r="R24" s="241"/>
      <c r="S24" s="24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0"/>
      <c r="R26" s="251"/>
      <c r="S26" s="25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3"/>
      <c r="R27" s="254"/>
      <c r="S27" s="25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6"/>
      <c r="R28" s="257"/>
      <c r="S28" s="25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1"/>
      <c r="R29" s="241"/>
      <c r="S29" s="24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6"/>
      <c r="R30" s="236"/>
      <c r="S30" s="23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6"/>
      <c r="R31" s="236"/>
      <c r="S31" s="23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1"/>
      <c r="R32" s="241"/>
      <c r="S32" s="24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1"/>
      <c r="R33" s="241"/>
      <c r="S33" s="24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1"/>
      <c r="R34" s="241"/>
      <c r="S34" s="24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3"/>
      <c r="R35" s="264"/>
      <c r="S35" s="26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6"/>
      <c r="R36" s="267"/>
      <c r="S36" s="268"/>
    </row>
    <row r="37" spans="1:19" ht="17.25" customHeight="1" thickBot="1">
      <c r="A37" s="132" t="s">
        <v>42</v>
      </c>
      <c r="B37" s="274">
        <v>100000</v>
      </c>
      <c r="C37" s="27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9"/>
      <c r="R37" s="270"/>
      <c r="S37" s="27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36"/>
      <c r="R40" s="236"/>
      <c r="S40" s="236"/>
    </row>
    <row r="41" spans="1:19" ht="17.25" customHeight="1" thickBot="1">
      <c r="A41" s="193" t="s">
        <v>267</v>
      </c>
      <c r="B41" s="215" t="s">
        <v>49</v>
      </c>
      <c r="C41" s="217"/>
      <c r="D41" s="215" t="s">
        <v>58</v>
      </c>
      <c r="E41" s="216"/>
      <c r="F41" s="217"/>
      <c r="G41" s="242">
        <f>_xlfn.IFNA(VLOOKUP(B41, 현재가테이블!$B$2:$D$200, 2, FALSE), "-")</f>
        <v>53976000</v>
      </c>
      <c r="H41" s="243"/>
      <c r="I41" s="244"/>
      <c r="J41" s="215" t="s">
        <v>59</v>
      </c>
      <c r="K41" s="216"/>
      <c r="L41" s="217"/>
      <c r="M41" s="245">
        <f>_xlfn.IFNA(VLOOKUP(B41, 현재가테이블!$B$2:$D$200, 3, FALSE), "-")</f>
        <v>-2.1216407400000001E-2</v>
      </c>
      <c r="N41" s="246"/>
      <c r="O41" s="247"/>
      <c r="Q41" s="236"/>
      <c r="R41" s="236"/>
      <c r="S41" s="236"/>
    </row>
    <row r="42" spans="1:19" ht="17.25" customHeight="1" thickBot="1">
      <c r="A42" s="276" t="s">
        <v>55</v>
      </c>
      <c r="B42" s="278" t="str">
        <f>TEXT($G$1, "[$-ko-KR]yyyy-mm-dd(ddd) ") &amp; "오전 00:00"</f>
        <v>2021-08-10(화) 오전 00:00</v>
      </c>
      <c r="C42" s="279"/>
      <c r="D42" s="238" t="str">
        <f>TEXT($G$1, "[$-ko-KR]yyyy-mm-dd(ddd) ") &amp; "오후 14:00"</f>
        <v>2021-08-10(화) 오후 14:00</v>
      </c>
      <c r="E42" s="239"/>
      <c r="F42" s="240"/>
      <c r="G42" s="238" t="str">
        <f>TEXT($G$1, "[$-ko-KR]yyyy-mm-dd(ddd) ") &amp; "오후 19:00"</f>
        <v>2021-08-10(화) 오후 19:00</v>
      </c>
      <c r="H42" s="239"/>
      <c r="I42" s="240"/>
      <c r="J42" s="238" t="str">
        <f>TEXT($G$1, "[$-ko-KR]yyyy-mm-dd(ddd) ") &amp; "오후 21:00"</f>
        <v>2021-08-10(화) 오후 21:00</v>
      </c>
      <c r="K42" s="239"/>
      <c r="L42" s="240"/>
      <c r="M42" s="238" t="str">
        <f>TEXT($G$1+1, "[$-ko-KR]yyyy-mm-dd(ddd) ") &amp; "오전 00:00"</f>
        <v>2021-08-11(수) 오전 00:00</v>
      </c>
      <c r="N42" s="239"/>
      <c r="O42" s="240"/>
      <c r="Q42" s="236"/>
      <c r="R42" s="236"/>
      <c r="S42" s="236"/>
    </row>
    <row r="43" spans="1:19" ht="17.25" customHeight="1" thickBot="1">
      <c r="A43" s="27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1"/>
      <c r="R43" s="241"/>
      <c r="S43" s="241"/>
    </row>
    <row r="44" spans="1:19" ht="17.25" customHeight="1" thickBot="1">
      <c r="A44" s="123" t="s">
        <v>240</v>
      </c>
      <c r="B44" s="124">
        <v>67</v>
      </c>
      <c r="C44" s="76">
        <v>6.1806656100000003E-2</v>
      </c>
      <c r="D44" s="13">
        <v>68.5</v>
      </c>
      <c r="E44" s="14">
        <f>IF(ISNUMBER(D44), (D44 - $B44) / $B44, "")</f>
        <v>2.2388059701492536E-2</v>
      </c>
      <c r="F44" s="16">
        <f>IF(ISNUMBER(D44), $B64 * E44, "")</f>
        <v>2238.8059701492534</v>
      </c>
      <c r="G44" s="29">
        <v>67.8</v>
      </c>
      <c r="H44" s="14">
        <f>IF(ISNUMBER(G44), (G44 - $B44) / $B44, "")</f>
        <v>1.1940298507462643E-2</v>
      </c>
      <c r="I44" s="100">
        <f>IF(ISNUMBER(G44), $B64 * H44, "")</f>
        <v>1194.0298507462644</v>
      </c>
      <c r="J44" s="13">
        <v>66.2</v>
      </c>
      <c r="K44" s="14">
        <f>IF(ISNUMBER(J44), (J44 - $B44) / $B44, "")</f>
        <v>-1.1940298507462643E-2</v>
      </c>
      <c r="L44" s="16">
        <f>IF(ISNUMBER(J44), $B64 * K44, "")</f>
        <v>-1194.0298507462644</v>
      </c>
      <c r="M44" s="29">
        <v>66.900000000000006</v>
      </c>
      <c r="N44" s="14">
        <f>IF(ISNUMBER(M44), (M44 - $B44) / $B44, "")</f>
        <v>-1.4925373134327511E-3</v>
      </c>
      <c r="O44" s="16">
        <f>IF(ISNUMBER(M44), $B64 * N44, "")</f>
        <v>-149.25373134327509</v>
      </c>
      <c r="Q44" s="236"/>
      <c r="R44" s="236"/>
      <c r="S44" s="236"/>
    </row>
    <row r="45" spans="1:19" ht="17.25" customHeight="1" thickBot="1">
      <c r="A45" s="125" t="s">
        <v>98</v>
      </c>
      <c r="B45" s="126">
        <v>4.41</v>
      </c>
      <c r="C45" s="77">
        <v>2.3201856100000001E-2</v>
      </c>
      <c r="D45" s="15">
        <v>4.4000000000000004</v>
      </c>
      <c r="E45" s="32">
        <f t="shared" ref="E45:E48" si="14">IF(ISNUMBER(D45), (D45 - $B45) / $B45, "")</f>
        <v>-2.2675736961450762E-3</v>
      </c>
      <c r="F45" s="18">
        <f>IF(ISNUMBER(D45), $B64 * E45, "")</f>
        <v>-226.75736961450761</v>
      </c>
      <c r="G45" s="31">
        <v>4.45</v>
      </c>
      <c r="H45" s="32">
        <f t="shared" ref="H45:H48" si="15">IF(ISNUMBER(G45), (G45 - $B45) / $B45, "")</f>
        <v>9.070294784580506E-3</v>
      </c>
      <c r="I45" s="101">
        <f>IF(ISNUMBER(G45), $B64 * H45, "")</f>
        <v>907.02947845805056</v>
      </c>
      <c r="J45" s="15">
        <v>4.3899999999999997</v>
      </c>
      <c r="K45" s="32">
        <f t="shared" ref="K45:K48" si="16">IF(ISNUMBER(J45), (J45 - $B45) / $B45, "")</f>
        <v>-4.5351473922903536E-3</v>
      </c>
      <c r="L45" s="18">
        <f>IF(ISNUMBER(J45), $B64 * K45, "")</f>
        <v>-453.51473922903534</v>
      </c>
      <c r="M45" s="31">
        <v>4.3899999999999997</v>
      </c>
      <c r="N45" s="32">
        <f t="shared" ref="N45:N48" si="17">IF(ISNUMBER(M45), (M45 - $B45) / $B45, "")</f>
        <v>-4.5351473922903536E-3</v>
      </c>
      <c r="O45" s="18">
        <f>IF(ISNUMBER(M45), $B64 * N45, "")</f>
        <v>-453.51473922903534</v>
      </c>
      <c r="Q45" s="236"/>
      <c r="R45" s="236"/>
      <c r="S45" s="236"/>
    </row>
    <row r="46" spans="1:19" ht="17.25" customHeight="1" thickBot="1">
      <c r="A46" s="125" t="s">
        <v>150</v>
      </c>
      <c r="B46" s="126">
        <v>12.7</v>
      </c>
      <c r="C46" s="77">
        <v>1.6E-2</v>
      </c>
      <c r="D46" s="15">
        <v>12.7</v>
      </c>
      <c r="E46" s="32">
        <f t="shared" si="14"/>
        <v>0</v>
      </c>
      <c r="F46" s="18">
        <f>IF(ISNUMBER(D46), $B64 * E46, "")</f>
        <v>0</v>
      </c>
      <c r="G46" s="31">
        <v>12.7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-7.8740157480314682E-3</v>
      </c>
      <c r="L46" s="18">
        <f>IF(ISNUMBER(J46), $B64 * K46, "")</f>
        <v>-787.40157480314679</v>
      </c>
      <c r="M46" s="31">
        <v>12.6</v>
      </c>
      <c r="N46" s="32">
        <f t="shared" si="17"/>
        <v>-7.8740157480314682E-3</v>
      </c>
      <c r="O46" s="18">
        <f>IF(ISNUMBER(M46), $B64 * N46, "")</f>
        <v>-787.40157480314679</v>
      </c>
      <c r="Q46" s="241"/>
      <c r="R46" s="241"/>
      <c r="S46" s="241"/>
    </row>
    <row r="47" spans="1:19" ht="17.25" customHeight="1" thickBot="1">
      <c r="A47" s="125" t="s">
        <v>65</v>
      </c>
      <c r="B47" s="126">
        <v>31.6</v>
      </c>
      <c r="C47" s="77">
        <v>1.2820512799999999E-2</v>
      </c>
      <c r="D47" s="15">
        <v>32.299999999999997</v>
      </c>
      <c r="E47" s="32">
        <f t="shared" si="14"/>
        <v>2.215189873417708E-2</v>
      </c>
      <c r="F47" s="18">
        <f>IF(ISNUMBER(D47), $B64 * E47, "")</f>
        <v>2215.189873417708</v>
      </c>
      <c r="G47" s="31">
        <v>33</v>
      </c>
      <c r="H47" s="32">
        <f t="shared" si="15"/>
        <v>4.4303797468354382E-2</v>
      </c>
      <c r="I47" s="101">
        <f>IF(ISNUMBER(G47), $B64 * H47, "")</f>
        <v>4430.3797468354378</v>
      </c>
      <c r="J47" s="15">
        <v>32.4</v>
      </c>
      <c r="K47" s="32">
        <f t="shared" si="16"/>
        <v>2.5316455696202441E-2</v>
      </c>
      <c r="L47" s="18">
        <f>IF(ISNUMBER(J47), $B64 * K47, "")</f>
        <v>2531.6455696202443</v>
      </c>
      <c r="M47" s="31">
        <v>32.1</v>
      </c>
      <c r="N47" s="32">
        <f t="shared" si="17"/>
        <v>1.582278481012658E-2</v>
      </c>
      <c r="O47" s="18">
        <f>IF(ISNUMBER(M47), $B64 * N47, "")</f>
        <v>1582.2784810126579</v>
      </c>
      <c r="Q47" s="241"/>
      <c r="R47" s="241"/>
      <c r="S47" s="241"/>
    </row>
    <row r="48" spans="1:19" ht="17.25" customHeight="1" thickBot="1">
      <c r="A48" s="127" t="s">
        <v>152</v>
      </c>
      <c r="B48" s="128">
        <v>84.3</v>
      </c>
      <c r="C48" s="78">
        <v>9.5808383E-3</v>
      </c>
      <c r="D48" s="20">
        <v>85</v>
      </c>
      <c r="E48" s="21">
        <f t="shared" si="14"/>
        <v>8.3036773428232843E-3</v>
      </c>
      <c r="F48" s="22">
        <f>IF(ISNUMBER(D48), $B64 * E48, "")</f>
        <v>830.36773428232846</v>
      </c>
      <c r="G48" s="30">
        <v>85.5</v>
      </c>
      <c r="H48" s="21">
        <f t="shared" si="15"/>
        <v>1.4234875444839892E-2</v>
      </c>
      <c r="I48" s="105">
        <f>IF(ISNUMBER(G48), $B64 * H48, "")</f>
        <v>1423.4875444839893</v>
      </c>
      <c r="J48" s="20">
        <v>85.4</v>
      </c>
      <c r="K48" s="21">
        <f t="shared" si="16"/>
        <v>1.3048635824436638E-2</v>
      </c>
      <c r="L48" s="22">
        <f>IF(ISNUMBER(J48), $B64 * K48, "")</f>
        <v>1304.8635824436637</v>
      </c>
      <c r="M48" s="30">
        <v>84.7</v>
      </c>
      <c r="N48" s="21">
        <f t="shared" si="17"/>
        <v>4.7449584816133539E-3</v>
      </c>
      <c r="O48" s="22">
        <f>IF(ISNUMBER(M48), $B64 * N48, "")</f>
        <v>474.4958481613354</v>
      </c>
      <c r="Q48" s="241"/>
      <c r="R48" s="241"/>
      <c r="S48" s="241"/>
    </row>
    <row r="49" spans="1:19" ht="17.25" customHeight="1" thickBot="1">
      <c r="A49" s="125" t="s">
        <v>208</v>
      </c>
      <c r="B49" s="129">
        <v>13.6</v>
      </c>
      <c r="C49" s="80">
        <v>7.4074073999999997E-3</v>
      </c>
      <c r="D49" s="106">
        <v>13.3</v>
      </c>
      <c r="E49" s="107">
        <f>IF(ISNUMBER(D49), (D49 - $B49) / $B49, "")</f>
        <v>-2.2058823529411686E-2</v>
      </c>
      <c r="F49" s="108">
        <f>IF(ISNUMBER(D49), $B64 * E49, "")</f>
        <v>-2205.8823529411688</v>
      </c>
      <c r="G49" s="109">
        <v>13.4</v>
      </c>
      <c r="H49" s="107">
        <f>IF(ISNUMBER(G49), (G49 - $B49) / $B49, "")</f>
        <v>-1.4705882352941124E-2</v>
      </c>
      <c r="I49" s="110">
        <f>IF(ISNUMBER(G49), $B64 * H49, "")</f>
        <v>-1470.5882352941123</v>
      </c>
      <c r="J49" s="106">
        <v>13.3</v>
      </c>
      <c r="K49" s="107">
        <f>IF(ISNUMBER(J49), (J49 - $B49) / $B49, "")</f>
        <v>-2.2058823529411686E-2</v>
      </c>
      <c r="L49" s="108">
        <f>IF(ISNUMBER(J49), $B64 * K49, "")</f>
        <v>-2205.8823529411688</v>
      </c>
      <c r="M49" s="109">
        <v>13.3</v>
      </c>
      <c r="N49" s="107">
        <f>IF(ISNUMBER(M49), (M49 - $B49) / $B49, "")</f>
        <v>-2.2058823529411686E-2</v>
      </c>
      <c r="O49" s="108">
        <f>IF(ISNUMBER(M49), $B64 * N49, "")</f>
        <v>-2205.8823529411688</v>
      </c>
      <c r="Q49" s="241"/>
      <c r="R49" s="241"/>
      <c r="S49" s="241"/>
    </row>
    <row r="50" spans="1:19" ht="17.25" customHeight="1" thickBot="1">
      <c r="A50" s="125" t="s">
        <v>148</v>
      </c>
      <c r="B50" s="126">
        <v>19.2</v>
      </c>
      <c r="C50" s="77">
        <v>5.2356021000000003E-3</v>
      </c>
      <c r="D50" s="15">
        <v>19.399999999999999</v>
      </c>
      <c r="E50" s="32">
        <f t="shared" ref="E50:E53" si="18">IF(ISNUMBER(D50), (D50 - $B50) / $B50, "")</f>
        <v>1.041666666666663E-2</v>
      </c>
      <c r="F50" s="18">
        <f>IF(ISNUMBER(D50), $B64 * E50, "")</f>
        <v>1041.6666666666629</v>
      </c>
      <c r="G50" s="31">
        <v>19.7</v>
      </c>
      <c r="H50" s="32">
        <f t="shared" ref="H50:H53" si="19">IF(ISNUMBER(G50), (G50 - $B50) / $B50, "")</f>
        <v>2.6041666666666668E-2</v>
      </c>
      <c r="I50" s="101">
        <f>IF(ISNUMBER(G50), $B64 * H50, "")</f>
        <v>2604.166666666667</v>
      </c>
      <c r="J50" s="15">
        <v>19.3</v>
      </c>
      <c r="K50" s="32">
        <f t="shared" ref="K50:K53" si="20">IF(ISNUMBER(J50), (J50 - $B50) / $B50, "")</f>
        <v>5.2083333333334076E-3</v>
      </c>
      <c r="L50" s="18">
        <f>IF(ISNUMBER(J50), $B64 * K50, "")</f>
        <v>520.83333333334076</v>
      </c>
      <c r="M50" s="31">
        <v>19.3</v>
      </c>
      <c r="N50" s="32">
        <f t="shared" ref="N50:N53" si="21">IF(ISNUMBER(M50), (M50 - $B50) / $B50, "")</f>
        <v>5.2083333333334076E-3</v>
      </c>
      <c r="O50" s="18">
        <f>IF(ISNUMBER(M50), $B64 * N50, "")</f>
        <v>520.83333333334076</v>
      </c>
      <c r="Q50" s="241"/>
      <c r="R50" s="241"/>
      <c r="S50" s="241"/>
    </row>
    <row r="51" spans="1:19" ht="17.25" customHeight="1" thickBot="1">
      <c r="A51" s="125" t="s">
        <v>188</v>
      </c>
      <c r="B51" s="126">
        <v>12</v>
      </c>
      <c r="C51" s="77">
        <v>0</v>
      </c>
      <c r="D51" s="15">
        <v>12.3</v>
      </c>
      <c r="E51" s="32">
        <f t="shared" si="18"/>
        <v>2.500000000000006E-2</v>
      </c>
      <c r="F51" s="18">
        <f>IF(ISNUMBER(D51), $B64 * E51, "")</f>
        <v>2500.0000000000059</v>
      </c>
      <c r="G51" s="31">
        <v>12.3</v>
      </c>
      <c r="H51" s="32">
        <f t="shared" si="19"/>
        <v>2.500000000000006E-2</v>
      </c>
      <c r="I51" s="101">
        <f>IF(ISNUMBER(G51), $B64 * H51, "")</f>
        <v>2500.0000000000059</v>
      </c>
      <c r="J51" s="15">
        <v>12.3</v>
      </c>
      <c r="K51" s="32">
        <f t="shared" si="20"/>
        <v>2.500000000000006E-2</v>
      </c>
      <c r="L51" s="18">
        <f>IF(ISNUMBER(J51), $B64 * K51, "")</f>
        <v>2500.0000000000059</v>
      </c>
      <c r="M51" s="31">
        <v>12.3</v>
      </c>
      <c r="N51" s="32">
        <f t="shared" si="21"/>
        <v>2.500000000000006E-2</v>
      </c>
      <c r="O51" s="18">
        <f>IF(ISNUMBER(M51), $B64 * N51, "")</f>
        <v>2500.0000000000059</v>
      </c>
      <c r="Q51" s="241"/>
      <c r="R51" s="241"/>
      <c r="S51" s="241"/>
    </row>
    <row r="52" spans="1:19" ht="17.25" customHeight="1" thickBot="1">
      <c r="A52" s="125" t="s">
        <v>216</v>
      </c>
      <c r="B52" s="126">
        <v>10.6</v>
      </c>
      <c r="C52" s="77">
        <v>0</v>
      </c>
      <c r="D52" s="15">
        <v>10.4</v>
      </c>
      <c r="E52" s="32">
        <f t="shared" si="18"/>
        <v>-1.886792452830182E-2</v>
      </c>
      <c r="F52" s="18">
        <f>IF(ISNUMBER(D52), $B64 * E52, "")</f>
        <v>-1886.7924528301821</v>
      </c>
      <c r="G52" s="31">
        <v>10.6</v>
      </c>
      <c r="H52" s="32">
        <f t="shared" si="19"/>
        <v>0</v>
      </c>
      <c r="I52" s="101">
        <f>IF(ISNUMBER(G52), $B64 * H52, "")</f>
        <v>0</v>
      </c>
      <c r="J52" s="15">
        <v>10.4</v>
      </c>
      <c r="K52" s="32">
        <f t="shared" si="20"/>
        <v>-1.886792452830182E-2</v>
      </c>
      <c r="L52" s="18">
        <f>IF(ISNUMBER(J52), $B64 * K52, "")</f>
        <v>-1886.7924528301821</v>
      </c>
      <c r="M52" s="31">
        <v>10.5</v>
      </c>
      <c r="N52" s="32">
        <f t="shared" si="21"/>
        <v>-9.4339622641509101E-3</v>
      </c>
      <c r="O52" s="18">
        <f>IF(ISNUMBER(M52), $B64 * N52, "")</f>
        <v>-943.39622641509106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-4.4843048999999996E-3</v>
      </c>
      <c r="D53" s="24">
        <v>22.1</v>
      </c>
      <c r="E53" s="25">
        <f t="shared" si="18"/>
        <v>-4.5045045045044091E-3</v>
      </c>
      <c r="F53" s="104">
        <f>IF(ISNUMBER(D53), $B64 * E53, "")</f>
        <v>-450.45045045044088</v>
      </c>
      <c r="G53" s="102">
        <v>22.4</v>
      </c>
      <c r="H53" s="25">
        <f t="shared" si="19"/>
        <v>9.0090090090089777E-3</v>
      </c>
      <c r="I53" s="103">
        <f>IF(ISNUMBER(G53), $B64 * H53, "")</f>
        <v>900.9009009008978</v>
      </c>
      <c r="J53" s="24">
        <v>22.3</v>
      </c>
      <c r="K53" s="25">
        <f t="shared" si="20"/>
        <v>4.5045045045045687E-3</v>
      </c>
      <c r="L53" s="104">
        <f>IF(ISNUMBER(J53), $B64 * K53, "")</f>
        <v>450.45045045045686</v>
      </c>
      <c r="M53" s="102">
        <v>22.2</v>
      </c>
      <c r="N53" s="25">
        <f t="shared" si="21"/>
        <v>0</v>
      </c>
      <c r="O53" s="104">
        <f>IF(ISNUMBER(M53), $B64 * N53, "")</f>
        <v>0</v>
      </c>
      <c r="Q53" s="250"/>
      <c r="R53" s="251"/>
      <c r="S53" s="252"/>
    </row>
    <row r="54" spans="1:19" ht="17.25" customHeight="1">
      <c r="A54" s="123" t="s">
        <v>190</v>
      </c>
      <c r="B54" s="124">
        <v>17.100000000000001</v>
      </c>
      <c r="C54" s="76">
        <v>-5.8139534999999999E-3</v>
      </c>
      <c r="D54" s="13">
        <v>17.100000000000001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17.399999999999999</v>
      </c>
      <c r="H54" s="14">
        <f>IF(ISNUMBER(G54), (G54 - $B54) / $B54, "")</f>
        <v>1.754385964912264E-2</v>
      </c>
      <c r="I54" s="100">
        <f>IF(ISNUMBER(G54), $B64 * H54, "")</f>
        <v>1754.3859649122639</v>
      </c>
      <c r="J54" s="13">
        <v>17.100000000000001</v>
      </c>
      <c r="K54" s="14">
        <f>IF(ISNUMBER(J54), (J54 - $B54) / $B54, "")</f>
        <v>0</v>
      </c>
      <c r="L54" s="16">
        <f>IF(ISNUMBER(J54), $B64 * K54, "")</f>
        <v>0</v>
      </c>
      <c r="M54" s="29">
        <v>17.100000000000001</v>
      </c>
      <c r="N54" s="14">
        <f>IF(ISNUMBER(M54), (M54 - $B54) / $B54, "")</f>
        <v>0</v>
      </c>
      <c r="O54" s="16">
        <f>IF(ISNUMBER(M54), $B64 * N54, "")</f>
        <v>0</v>
      </c>
      <c r="Q54" s="253"/>
      <c r="R54" s="254"/>
      <c r="S54" s="255"/>
    </row>
    <row r="55" spans="1:19" ht="17.25" customHeight="1" thickBot="1">
      <c r="A55" s="125" t="s">
        <v>250</v>
      </c>
      <c r="B55" s="126">
        <v>68.2</v>
      </c>
      <c r="C55" s="77">
        <v>-7.2780203999999998E-3</v>
      </c>
      <c r="D55" s="15">
        <v>71.599999999999994</v>
      </c>
      <c r="E55" s="32">
        <f t="shared" ref="E55:E58" si="22">IF(ISNUMBER(D55), (D55 - $B55) / $B55, "")</f>
        <v>4.9853372434017468E-2</v>
      </c>
      <c r="F55" s="18">
        <f>IF(ISNUMBER(D55), $B64 * E55, "")</f>
        <v>4985.3372434017465</v>
      </c>
      <c r="G55" s="31">
        <v>72.599999999999994</v>
      </c>
      <c r="H55" s="32">
        <f t="shared" ref="H55:H58" si="23">IF(ISNUMBER(G55), (G55 - $B55) / $B55, "")</f>
        <v>6.4516129032257938E-2</v>
      </c>
      <c r="I55" s="101">
        <f>IF(ISNUMBER(G55), $B64 * H55, "")</f>
        <v>6451.6129032257941</v>
      </c>
      <c r="J55" s="15">
        <v>70.8</v>
      </c>
      <c r="K55" s="32">
        <f t="shared" ref="K55:K58" si="24">IF(ISNUMBER(J55), (J55 - $B55) / $B55, "")</f>
        <v>3.8123167155425138E-2</v>
      </c>
      <c r="L55" s="18">
        <f>IF(ISNUMBER(J55), $B64 * K55, "")</f>
        <v>3812.316715542514</v>
      </c>
      <c r="M55" s="31">
        <v>70</v>
      </c>
      <c r="N55" s="32">
        <f t="shared" ref="N55:N58" si="25">IF(ISNUMBER(M55), (M55 - $B55) / $B55, "")</f>
        <v>2.63929618768328E-2</v>
      </c>
      <c r="O55" s="18">
        <f>IF(ISNUMBER(M55), $B64 * N55, "")</f>
        <v>2639.2961876832801</v>
      </c>
      <c r="Q55" s="256"/>
      <c r="R55" s="257"/>
      <c r="S55" s="258"/>
    </row>
    <row r="56" spans="1:19" ht="17.25" customHeight="1" thickBot="1">
      <c r="A56" s="125" t="s">
        <v>210</v>
      </c>
      <c r="B56" s="126">
        <v>11.5</v>
      </c>
      <c r="C56" s="77">
        <v>-8.6206896999999998E-3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11.7</v>
      </c>
      <c r="H56" s="32">
        <f t="shared" si="23"/>
        <v>1.7391304347826025E-2</v>
      </c>
      <c r="I56" s="101">
        <f>IF(ISNUMBER(G56), $B64 * H56, "")</f>
        <v>1739.1304347826024</v>
      </c>
      <c r="J56" s="15">
        <v>11.6</v>
      </c>
      <c r="K56" s="32">
        <f t="shared" si="24"/>
        <v>8.6956521739130124E-3</v>
      </c>
      <c r="L56" s="18">
        <f>IF(ISNUMBER(J56), $B64 * K56, "")</f>
        <v>869.56521739130119</v>
      </c>
      <c r="M56" s="31">
        <v>11.6</v>
      </c>
      <c r="N56" s="32">
        <f t="shared" si="25"/>
        <v>8.6956521739130124E-3</v>
      </c>
      <c r="O56" s="18">
        <f>IF(ISNUMBER(M56), $B64 * N56, "")</f>
        <v>869.56521739130119</v>
      </c>
      <c r="Q56" s="241"/>
      <c r="R56" s="241"/>
      <c r="S56" s="241"/>
    </row>
    <row r="57" spans="1:19" ht="17.25" customHeight="1" thickBot="1">
      <c r="A57" s="125" t="s">
        <v>234</v>
      </c>
      <c r="B57" s="126">
        <v>69.099999999999994</v>
      </c>
      <c r="C57" s="77">
        <v>-1.0028653300000001E-2</v>
      </c>
      <c r="D57" s="15">
        <v>70.5</v>
      </c>
      <c r="E57" s="32">
        <f t="shared" si="22"/>
        <v>2.0260492040521067E-2</v>
      </c>
      <c r="F57" s="18">
        <f>IF(ISNUMBER(D57), $B64 * E57, "")</f>
        <v>2026.0492040521067</v>
      </c>
      <c r="G57" s="31">
        <v>71.2</v>
      </c>
      <c r="H57" s="32">
        <f t="shared" si="23"/>
        <v>3.0390738060781602E-2</v>
      </c>
      <c r="I57" s="101">
        <f>IF(ISNUMBER(G57), $B64 * H57, "")</f>
        <v>3039.07380607816</v>
      </c>
      <c r="J57" s="15">
        <v>69.8</v>
      </c>
      <c r="K57" s="32">
        <f t="shared" si="24"/>
        <v>1.0130246020260534E-2</v>
      </c>
      <c r="L57" s="18">
        <f>IF(ISNUMBER(J57), $B64 * K57, "")</f>
        <v>1013.0246020260533</v>
      </c>
      <c r="M57" s="31">
        <v>70</v>
      </c>
      <c r="N57" s="32">
        <f t="shared" si="25"/>
        <v>1.3024602026049287E-2</v>
      </c>
      <c r="O57" s="18">
        <f>IF(ISNUMBER(M57), $B64 * N57, "")</f>
        <v>1302.4602026049288</v>
      </c>
      <c r="Q57" s="236"/>
      <c r="R57" s="236"/>
      <c r="S57" s="236"/>
    </row>
    <row r="58" spans="1:19" ht="17.25" customHeight="1" thickBot="1">
      <c r="A58" s="127" t="s">
        <v>122</v>
      </c>
      <c r="B58" s="128">
        <v>29.3</v>
      </c>
      <c r="C58" s="78">
        <v>-1.01351351E-2</v>
      </c>
      <c r="D58" s="20">
        <v>31.1</v>
      </c>
      <c r="E58" s="21">
        <f t="shared" si="22"/>
        <v>6.1433447098976135E-2</v>
      </c>
      <c r="F58" s="22">
        <f>IF(ISNUMBER(D58), $B64 * E58, "")</f>
        <v>6143.3447098976139</v>
      </c>
      <c r="G58" s="30">
        <v>31.2</v>
      </c>
      <c r="H58" s="21">
        <f t="shared" si="23"/>
        <v>6.4846416382252511E-2</v>
      </c>
      <c r="I58" s="105">
        <f>IF(ISNUMBER(G58), $B64 * H58, "")</f>
        <v>6484.641638225251</v>
      </c>
      <c r="J58" s="20">
        <v>31.2</v>
      </c>
      <c r="K58" s="21">
        <f t="shared" si="24"/>
        <v>6.4846416382252511E-2</v>
      </c>
      <c r="L58" s="22">
        <f>IF(ISNUMBER(J58), $B64 * K58, "")</f>
        <v>6484.641638225251</v>
      </c>
      <c r="M58" s="30">
        <v>30.1</v>
      </c>
      <c r="N58" s="21">
        <f t="shared" si="25"/>
        <v>2.7303754266211629E-2</v>
      </c>
      <c r="O58" s="22">
        <f>IF(ISNUMBER(M58), $B64 * N58, "")</f>
        <v>2730.3754266211627</v>
      </c>
      <c r="Q58" s="236"/>
      <c r="R58" s="236"/>
      <c r="S58" s="236"/>
    </row>
    <row r="59" spans="1:19" ht="17.25" customHeight="1" thickBot="1">
      <c r="A59" s="125" t="s">
        <v>202</v>
      </c>
      <c r="B59" s="129">
        <v>85.6</v>
      </c>
      <c r="C59" s="80">
        <v>-1.1547344100000001E-2</v>
      </c>
      <c r="D59" s="106">
        <v>85.9</v>
      </c>
      <c r="E59" s="107">
        <f>IF(ISNUMBER(D59), (D59 - $B59) / $B59, "")</f>
        <v>3.5046728971963948E-3</v>
      </c>
      <c r="F59" s="108">
        <f>IF(ISNUMBER(D59), $B64 * E59, "")</f>
        <v>350.4672897196395</v>
      </c>
      <c r="G59" s="109">
        <v>91.4</v>
      </c>
      <c r="H59" s="107">
        <f>IF(ISNUMBER(G59), (G59 - $B59) / $B59, "")</f>
        <v>6.7757009345794525E-2</v>
      </c>
      <c r="I59" s="110">
        <f>IF(ISNUMBER(G59), $B64 * H59, "")</f>
        <v>6775.7009345794522</v>
      </c>
      <c r="J59" s="106">
        <v>89.4</v>
      </c>
      <c r="K59" s="107">
        <f>IF(ISNUMBER(J59), (J59 - $B59) / $B59, "")</f>
        <v>4.4392523364486118E-2</v>
      </c>
      <c r="L59" s="108">
        <f>IF(ISNUMBER(J59), $B64 * K59, "")</f>
        <v>4439.2523364486115</v>
      </c>
      <c r="M59" s="109">
        <v>89.8</v>
      </c>
      <c r="N59" s="107">
        <f>IF(ISNUMBER(M59), (M59 - $B59) / $B59, "")</f>
        <v>4.9065420560747697E-2</v>
      </c>
      <c r="O59" s="108">
        <f>IF(ISNUMBER(M59), $B64 * N59, "")</f>
        <v>4906.5420560747698</v>
      </c>
      <c r="Q59" s="241"/>
      <c r="R59" s="241"/>
      <c r="S59" s="241"/>
    </row>
    <row r="60" spans="1:19" ht="17.25" customHeight="1" thickBot="1">
      <c r="A60" s="125" t="s">
        <v>178</v>
      </c>
      <c r="B60" s="126">
        <v>16.3</v>
      </c>
      <c r="C60" s="77">
        <v>-1.2121212100000001E-2</v>
      </c>
      <c r="D60" s="15">
        <v>16.399999999999999</v>
      </c>
      <c r="E60" s="32">
        <f t="shared" ref="E60:E63" si="26">IF(ISNUMBER(D60), (D60 - $B60) / $B60, "")</f>
        <v>6.1349693251532434E-3</v>
      </c>
      <c r="F60" s="18">
        <f>IF(ISNUMBER(D60), $B64 * E60, "")</f>
        <v>613.49693251532437</v>
      </c>
      <c r="G60" s="31">
        <v>16.600000000000001</v>
      </c>
      <c r="H60" s="32">
        <f t="shared" ref="H60:H63" si="27">IF(ISNUMBER(G60), (G60 - $B60) / $B60, "")</f>
        <v>1.8404907975460166E-2</v>
      </c>
      <c r="I60" s="101">
        <f>IF(ISNUMBER(G60), $B64 * H60, "")</f>
        <v>1840.4907975460167</v>
      </c>
      <c r="J60" s="15">
        <v>16.399999999999999</v>
      </c>
      <c r="K60" s="32">
        <f t="shared" ref="K60:K63" si="28">IF(ISNUMBER(J60), (J60 - $B60) / $B60, "")</f>
        <v>6.1349693251532434E-3</v>
      </c>
      <c r="L60" s="18">
        <f>IF(ISNUMBER(J60), $B64 * K60, "")</f>
        <v>613.49693251532437</v>
      </c>
      <c r="M60" s="31">
        <v>16.399999999999999</v>
      </c>
      <c r="N60" s="32">
        <f t="shared" ref="N60:N63" si="29">IF(ISNUMBER(M60), (M60 - $B60) / $B60, "")</f>
        <v>6.1349693251532434E-3</v>
      </c>
      <c r="O60" s="18">
        <f>IF(ISNUMBER(M60), $B64 * N60, "")</f>
        <v>613.49693251532437</v>
      </c>
      <c r="Q60" s="241"/>
      <c r="R60" s="241"/>
      <c r="S60" s="241"/>
    </row>
    <row r="61" spans="1:19" ht="17.25" customHeight="1" thickBot="1">
      <c r="A61" s="125" t="s">
        <v>204</v>
      </c>
      <c r="B61" s="126">
        <v>13.8</v>
      </c>
      <c r="C61" s="77">
        <v>-2.1276595700000001E-2</v>
      </c>
      <c r="D61" s="15">
        <v>13.9</v>
      </c>
      <c r="E61" s="32">
        <f t="shared" si="26"/>
        <v>7.246376811594177E-3</v>
      </c>
      <c r="F61" s="18">
        <f>IF(ISNUMBER(D61), $B64 * E61, "")</f>
        <v>724.63768115941775</v>
      </c>
      <c r="G61" s="31">
        <v>14.1</v>
      </c>
      <c r="H61" s="32">
        <f t="shared" si="27"/>
        <v>2.1739130434782532E-2</v>
      </c>
      <c r="I61" s="101">
        <f>IF(ISNUMBER(G61), $B64 * H61, "")</f>
        <v>2173.9130434782533</v>
      </c>
      <c r="J61" s="15">
        <v>13.9</v>
      </c>
      <c r="K61" s="32">
        <f t="shared" si="28"/>
        <v>7.246376811594177E-3</v>
      </c>
      <c r="L61" s="18">
        <f>IF(ISNUMBER(J61), $B64 * K61, "")</f>
        <v>724.63768115941775</v>
      </c>
      <c r="M61" s="31">
        <v>13.8</v>
      </c>
      <c r="N61" s="32">
        <f t="shared" si="29"/>
        <v>0</v>
      </c>
      <c r="O61" s="18">
        <f>IF(ISNUMBER(M61), $B64 * N61, "")</f>
        <v>0</v>
      </c>
      <c r="Q61" s="241"/>
      <c r="R61" s="241"/>
      <c r="S61" s="24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63"/>
      <c r="R62" s="264"/>
      <c r="S62" s="26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6"/>
      <c r="R63" s="267"/>
      <c r="S63" s="268"/>
    </row>
    <row r="64" spans="1:19" ht="17.25" customHeight="1" thickBot="1">
      <c r="A64" s="132" t="s">
        <v>270</v>
      </c>
      <c r="B64" s="274">
        <f>$B$37</f>
        <v>100000</v>
      </c>
      <c r="C64" s="275"/>
      <c r="D64" s="26" t="s">
        <v>271</v>
      </c>
      <c r="E64" s="27">
        <f>IF(COUNT(E44:E63), SUM(E44:E63) / COUNT(E44:E63), 0)</f>
        <v>1.0499711488569726E-2</v>
      </c>
      <c r="F64" s="28">
        <f>SUM(F44:F63)</f>
        <v>18899.480679425509</v>
      </c>
      <c r="G64" s="26" t="s">
        <v>271</v>
      </c>
      <c r="H64" s="27">
        <f>IF(COUNT(H44:H63), SUM(H44:H63) / COUNT(H44:H63), 0)</f>
        <v>2.3749086375347221E-2</v>
      </c>
      <c r="I64" s="28">
        <f>SUM(I44:I63)</f>
        <v>42748.355475624987</v>
      </c>
      <c r="J64" s="26" t="s">
        <v>271</v>
      </c>
      <c r="K64" s="27">
        <f>IF(COUNT(K44:K63), SUM(K44:K63) / COUNT(K44:K63), 0)</f>
        <v>1.0409503938114661E-2</v>
      </c>
      <c r="L64" s="28">
        <f>SUM(L44:L63)</f>
        <v>18737.107088606386</v>
      </c>
      <c r="M64" s="26" t="s">
        <v>271</v>
      </c>
      <c r="N64" s="27">
        <f>IF(COUNT(N44:N63), SUM(N44:N63) / COUNT(N44:N63), 0)</f>
        <v>7.5554972559257732E-3</v>
      </c>
      <c r="O64" s="28">
        <f>SUM(O44:O63)</f>
        <v>13599.895060666389</v>
      </c>
      <c r="Q64" s="269"/>
      <c r="R64" s="270"/>
      <c r="S64" s="27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36"/>
      <c r="R67" s="236"/>
      <c r="S67" s="236"/>
    </row>
    <row r="68" spans="1:19" ht="17.25" thickBot="1">
      <c r="A68" s="193" t="s">
        <v>267</v>
      </c>
      <c r="B68" s="215" t="s">
        <v>49</v>
      </c>
      <c r="C68" s="217"/>
      <c r="D68" s="215" t="s">
        <v>58</v>
      </c>
      <c r="E68" s="216"/>
      <c r="F68" s="217"/>
      <c r="G68" s="242">
        <f>_xlfn.IFNA(VLOOKUP(B68, 현재가테이블!$B$2:$D$200, 2, FALSE), "-")</f>
        <v>53976000</v>
      </c>
      <c r="H68" s="243"/>
      <c r="I68" s="244"/>
      <c r="J68" s="215" t="s">
        <v>59</v>
      </c>
      <c r="K68" s="216"/>
      <c r="L68" s="217"/>
      <c r="M68" s="245">
        <f>_xlfn.IFNA(VLOOKUP(B68, 현재가테이블!$B$2:$D$200, 3, FALSE), "-")</f>
        <v>-2.1216407400000001E-2</v>
      </c>
      <c r="N68" s="246"/>
      <c r="O68" s="247"/>
      <c r="Q68" s="236"/>
      <c r="R68" s="236"/>
      <c r="S68" s="236"/>
    </row>
    <row r="69" spans="1:19" ht="17.25" thickBot="1">
      <c r="A69" s="276" t="s">
        <v>55</v>
      </c>
      <c r="B69" s="278" t="str">
        <f>TEXT($G$1, "[$-ko-KR]yyyy-mm-dd(ddd) ") &amp; "오전 00:00"</f>
        <v>2021-08-10(화) 오전 00:00</v>
      </c>
      <c r="C69" s="279"/>
      <c r="D69" s="238" t="str">
        <f>TEXT($G$1, "[$-ko-KR]yyyy-mm-dd(ddd) ") &amp; "오후 14:00"</f>
        <v>2021-08-10(화) 오후 14:00</v>
      </c>
      <c r="E69" s="239"/>
      <c r="F69" s="240"/>
      <c r="G69" s="238" t="str">
        <f>TEXT($G$1, "[$-ko-KR]yyyy-mm-dd(ddd) ") &amp; "오후 19:00"</f>
        <v>2021-08-10(화) 오후 19:00</v>
      </c>
      <c r="H69" s="239"/>
      <c r="I69" s="240"/>
      <c r="J69" s="238" t="str">
        <f>TEXT($G$1, "[$-ko-KR]yyyy-mm-dd(ddd) ") &amp; "오후 21:00"</f>
        <v>2021-08-10(화) 오후 21:00</v>
      </c>
      <c r="K69" s="239"/>
      <c r="L69" s="240"/>
      <c r="M69" s="238" t="str">
        <f>TEXT($G$1+1, "[$-ko-KR]yyyy-mm-dd(ddd) ") &amp; "오전 00:00"</f>
        <v>2021-08-11(수) 오전 00:00</v>
      </c>
      <c r="N69" s="239"/>
      <c r="O69" s="240"/>
      <c r="Q69" s="236"/>
      <c r="R69" s="236"/>
      <c r="S69" s="236"/>
    </row>
    <row r="70" spans="1:19" ht="17.25" thickBot="1">
      <c r="A70" s="27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1"/>
      <c r="R70" s="241"/>
      <c r="S70" s="241"/>
    </row>
    <row r="71" spans="1:19" ht="17.25" thickBot="1">
      <c r="A71" s="123" t="s">
        <v>86</v>
      </c>
      <c r="B71" s="124">
        <v>356</v>
      </c>
      <c r="C71" s="76">
        <v>0.10559006210000001</v>
      </c>
      <c r="D71" s="13">
        <v>381</v>
      </c>
      <c r="E71" s="14">
        <f>IF(ISNUMBER(D71), (D71 - $B71) / $B71, "")</f>
        <v>7.02247191011236E-2</v>
      </c>
      <c r="F71" s="16">
        <f>IF(ISNUMBER(D71), $B91 * E71, "")</f>
        <v>7022.4719101123601</v>
      </c>
      <c r="G71" s="29">
        <v>383</v>
      </c>
      <c r="H71" s="14">
        <f>IF(ISNUMBER(G71), (G71 - $B71) / $B71, "")</f>
        <v>7.5842696629213488E-2</v>
      </c>
      <c r="I71" s="100">
        <f>IF(ISNUMBER(G71), $B91 * H71, "")</f>
        <v>7584.2696629213488</v>
      </c>
      <c r="J71" s="13">
        <v>373</v>
      </c>
      <c r="K71" s="14">
        <f>IF(ISNUMBER(J71), (J71 - $B71) / $B71, "")</f>
        <v>4.7752808988764044E-2</v>
      </c>
      <c r="L71" s="16">
        <f>IF(ISNUMBER(J71), $B91 * K71, "")</f>
        <v>4775.2808988764045</v>
      </c>
      <c r="M71" s="29">
        <v>367</v>
      </c>
      <c r="N71" s="14">
        <f>IF(ISNUMBER(M71), (M71 - $B71) / $B71, "")</f>
        <v>3.0898876404494381E-2</v>
      </c>
      <c r="O71" s="16">
        <f>IF(ISNUMBER(M71), $B91 * N71, "")</f>
        <v>3089.8876404494381</v>
      </c>
      <c r="Q71" s="236"/>
      <c r="R71" s="236"/>
      <c r="S71" s="236"/>
    </row>
    <row r="72" spans="1:19" ht="17.25" thickBot="1">
      <c r="A72" s="125" t="s">
        <v>132</v>
      </c>
      <c r="B72" s="126">
        <v>105</v>
      </c>
      <c r="C72" s="77">
        <v>3.9603960399999999E-2</v>
      </c>
      <c r="D72" s="15">
        <v>107</v>
      </c>
      <c r="E72" s="32">
        <f t="shared" ref="E72:E75" si="30">IF(ISNUMBER(D72), (D72 - $B72) / $B72, "")</f>
        <v>1.9047619047619049E-2</v>
      </c>
      <c r="F72" s="18">
        <f>IF(ISNUMBER(D72), $B91 * E72, "")</f>
        <v>1904.761904761905</v>
      </c>
      <c r="G72" s="31">
        <v>109</v>
      </c>
      <c r="H72" s="32">
        <f t="shared" ref="H72:H75" si="31">IF(ISNUMBER(G72), (G72 - $B72) / $B72, "")</f>
        <v>3.8095238095238099E-2</v>
      </c>
      <c r="I72" s="101">
        <f>IF(ISNUMBER(G72), $B91 * H72, "")</f>
        <v>3809.5238095238101</v>
      </c>
      <c r="J72" s="15">
        <v>112</v>
      </c>
      <c r="K72" s="32">
        <f t="shared" ref="K72:K75" si="32">IF(ISNUMBER(J72), (J72 - $B72) / $B72, "")</f>
        <v>6.6666666666666666E-2</v>
      </c>
      <c r="L72" s="18">
        <f>IF(ISNUMBER(J72), $B91 * K72, "")</f>
        <v>6666.666666666667</v>
      </c>
      <c r="M72" s="31">
        <v>110</v>
      </c>
      <c r="N72" s="32">
        <f t="shared" ref="N72:N75" si="33">IF(ISNUMBER(M72), (M72 - $B72) / $B72, "")</f>
        <v>4.7619047619047616E-2</v>
      </c>
      <c r="O72" s="18">
        <f>IF(ISNUMBER(M72), $B91 * N72, "")</f>
        <v>4761.9047619047615</v>
      </c>
      <c r="Q72" s="236"/>
      <c r="R72" s="236"/>
      <c r="S72" s="236"/>
    </row>
    <row r="73" spans="1:19" ht="17.25" thickBot="1">
      <c r="A73" s="125" t="s">
        <v>51</v>
      </c>
      <c r="B73" s="126">
        <v>345</v>
      </c>
      <c r="C73" s="77">
        <v>3.6036036E-2</v>
      </c>
      <c r="D73" s="15">
        <v>344</v>
      </c>
      <c r="E73" s="32">
        <f t="shared" si="30"/>
        <v>-2.8985507246376812E-3</v>
      </c>
      <c r="F73" s="18">
        <f>IF(ISNUMBER(D73), $B91 * E73, "")</f>
        <v>-289.85507246376812</v>
      </c>
      <c r="G73" s="31">
        <v>349</v>
      </c>
      <c r="H73" s="32">
        <f t="shared" si="31"/>
        <v>1.1594202898550725E-2</v>
      </c>
      <c r="I73" s="101">
        <f>IF(ISNUMBER(G73), $B91 * H73, "")</f>
        <v>1159.4202898550725</v>
      </c>
      <c r="J73" s="15">
        <v>351</v>
      </c>
      <c r="K73" s="32">
        <f t="shared" si="32"/>
        <v>1.7391304347826087E-2</v>
      </c>
      <c r="L73" s="18">
        <f>IF(ISNUMBER(J73), $B91 * K73, "")</f>
        <v>1739.1304347826087</v>
      </c>
      <c r="M73" s="31">
        <v>348</v>
      </c>
      <c r="N73" s="32">
        <f t="shared" si="33"/>
        <v>8.6956521739130436E-3</v>
      </c>
      <c r="O73" s="18">
        <f>IF(ISNUMBER(M73), $B91 * N73, "")</f>
        <v>869.56521739130437</v>
      </c>
      <c r="Q73" s="241"/>
      <c r="R73" s="241"/>
      <c r="S73" s="241"/>
    </row>
    <row r="74" spans="1:19" ht="17.25" thickBot="1">
      <c r="A74" s="125" t="s">
        <v>266</v>
      </c>
      <c r="B74" s="126">
        <v>290</v>
      </c>
      <c r="C74" s="77">
        <v>3.5714285700000001E-2</v>
      </c>
      <c r="D74" s="15">
        <v>291</v>
      </c>
      <c r="E74" s="32">
        <f t="shared" si="30"/>
        <v>3.4482758620689655E-3</v>
      </c>
      <c r="F74" s="18">
        <f>IF(ISNUMBER(D74), $B91 * E74, "")</f>
        <v>344.82758620689657</v>
      </c>
      <c r="G74" s="31">
        <v>297</v>
      </c>
      <c r="H74" s="32">
        <f t="shared" si="31"/>
        <v>2.4137931034482758E-2</v>
      </c>
      <c r="I74" s="101">
        <f>IF(ISNUMBER(G74), $B91 * H74, "")</f>
        <v>2413.7931034482758</v>
      </c>
      <c r="J74" s="15">
        <v>288</v>
      </c>
      <c r="K74" s="32">
        <f t="shared" si="32"/>
        <v>-6.8965517241379309E-3</v>
      </c>
      <c r="L74" s="18">
        <f>IF(ISNUMBER(J74), $B91 * K74, "")</f>
        <v>-689.65517241379314</v>
      </c>
      <c r="M74" s="31">
        <v>289</v>
      </c>
      <c r="N74" s="32">
        <f t="shared" si="33"/>
        <v>-3.4482758620689655E-3</v>
      </c>
      <c r="O74" s="18">
        <f>IF(ISNUMBER(M74), $B91 * N74, "")</f>
        <v>-344.82758620689657</v>
      </c>
      <c r="Q74" s="241"/>
      <c r="R74" s="241"/>
      <c r="S74" s="241"/>
    </row>
    <row r="75" spans="1:19" ht="17.25" thickBot="1">
      <c r="A75" s="127" t="s">
        <v>90</v>
      </c>
      <c r="B75" s="128">
        <v>935</v>
      </c>
      <c r="C75" s="78">
        <v>3.4292035399999997E-2</v>
      </c>
      <c r="D75" s="20">
        <v>934</v>
      </c>
      <c r="E75" s="21">
        <f t="shared" si="30"/>
        <v>-1.0695187165775401E-3</v>
      </c>
      <c r="F75" s="22">
        <f>IF(ISNUMBER(D75), $B91 * E75, "")</f>
        <v>-106.95187165775401</v>
      </c>
      <c r="G75" s="30">
        <v>943</v>
      </c>
      <c r="H75" s="21">
        <f t="shared" si="31"/>
        <v>8.5561497326203211E-3</v>
      </c>
      <c r="I75" s="105">
        <f>IF(ISNUMBER(G75), $B91 * H75, "")</f>
        <v>855.61497326203209</v>
      </c>
      <c r="J75" s="20">
        <v>937</v>
      </c>
      <c r="K75" s="21">
        <f t="shared" si="32"/>
        <v>2.1390374331550803E-3</v>
      </c>
      <c r="L75" s="22">
        <f>IF(ISNUMBER(J75), $B91 * K75, "")</f>
        <v>213.90374331550802</v>
      </c>
      <c r="M75" s="30">
        <v>949</v>
      </c>
      <c r="N75" s="21">
        <f t="shared" si="33"/>
        <v>1.4973262032085561E-2</v>
      </c>
      <c r="O75" s="22">
        <f>IF(ISNUMBER(M75), $B91 * N75, "")</f>
        <v>1497.3262032085561</v>
      </c>
      <c r="Q75" s="241"/>
      <c r="R75" s="241"/>
      <c r="S75" s="241"/>
    </row>
    <row r="76" spans="1:19" ht="17.25" thickBot="1">
      <c r="A76" s="125" t="s">
        <v>128</v>
      </c>
      <c r="B76" s="129">
        <v>121</v>
      </c>
      <c r="C76" s="80">
        <v>3.4188034200000002E-2</v>
      </c>
      <c r="D76" s="106">
        <v>121</v>
      </c>
      <c r="E76" s="107">
        <f>IF(ISNUMBER(D76), (D76 - $B76) / $B76, "")</f>
        <v>0</v>
      </c>
      <c r="F76" s="108">
        <f>IF(ISNUMBER(D76), $B91 * E76, "")</f>
        <v>0</v>
      </c>
      <c r="G76" s="109">
        <v>122</v>
      </c>
      <c r="H76" s="107">
        <f>IF(ISNUMBER(G76), (G76 - $B76) / $B76, "")</f>
        <v>8.2644628099173556E-3</v>
      </c>
      <c r="I76" s="110">
        <f>IF(ISNUMBER(G76), $B91 * H76, "")</f>
        <v>826.44628099173553</v>
      </c>
      <c r="J76" s="106">
        <v>121</v>
      </c>
      <c r="K76" s="107">
        <f>IF(ISNUMBER(J76), (J76 - $B76) / $B76, "")</f>
        <v>0</v>
      </c>
      <c r="L76" s="108">
        <f>IF(ISNUMBER(J76), $B91 * K76, "")</f>
        <v>0</v>
      </c>
      <c r="M76" s="109">
        <v>122</v>
      </c>
      <c r="N76" s="107">
        <f>IF(ISNUMBER(M76), (M76 - $B76) / $B76, "")</f>
        <v>8.2644628099173556E-3</v>
      </c>
      <c r="O76" s="108">
        <f>IF(ISNUMBER(M76), $B91 * N76, "")</f>
        <v>826.44628099173553</v>
      </c>
      <c r="Q76" s="241"/>
      <c r="R76" s="241"/>
      <c r="S76" s="241"/>
    </row>
    <row r="77" spans="1:19" ht="17.25" thickBot="1">
      <c r="A77" s="125" t="s">
        <v>61</v>
      </c>
      <c r="B77" s="126">
        <v>862</v>
      </c>
      <c r="C77" s="77">
        <v>3.23353293E-2</v>
      </c>
      <c r="D77" s="15">
        <v>900</v>
      </c>
      <c r="E77" s="32">
        <f t="shared" ref="E77:E80" si="34">IF(ISNUMBER(D77), (D77 - $B77) / $B77, "")</f>
        <v>4.4083526682134569E-2</v>
      </c>
      <c r="F77" s="18">
        <f>IF(ISNUMBER(D77), $B91 * E77, "")</f>
        <v>4408.352668213457</v>
      </c>
      <c r="G77" s="31">
        <v>903</v>
      </c>
      <c r="H77" s="32">
        <f t="shared" ref="H77:H80" si="35">IF(ISNUMBER(G77), (G77 - $B77) / $B77, "")</f>
        <v>4.7563805104408351E-2</v>
      </c>
      <c r="I77" s="101">
        <f>IF(ISNUMBER(G77), $B91 * H77, "")</f>
        <v>4756.3805104408348</v>
      </c>
      <c r="J77" s="15">
        <v>921</v>
      </c>
      <c r="K77" s="32">
        <f t="shared" ref="K77:K80" si="36">IF(ISNUMBER(J77), (J77 - $B77) / $B77, "")</f>
        <v>6.8445475638051048E-2</v>
      </c>
      <c r="L77" s="18">
        <f>IF(ISNUMBER(J77), $B91 * K77, "")</f>
        <v>6844.5475638051048</v>
      </c>
      <c r="M77" s="31">
        <v>941</v>
      </c>
      <c r="N77" s="32">
        <f t="shared" ref="N77:N80" si="37">IF(ISNUMBER(M77), (M77 - $B77) / $B77, "")</f>
        <v>9.1647331786542927E-2</v>
      </c>
      <c r="O77" s="18">
        <f>IF(ISNUMBER(M77), $B91 * N77, "")</f>
        <v>9164.7331786542927</v>
      </c>
      <c r="Q77" s="241"/>
      <c r="R77" s="241"/>
      <c r="S77" s="241"/>
    </row>
    <row r="78" spans="1:19" ht="17.25" thickBot="1">
      <c r="A78" s="125" t="s">
        <v>57</v>
      </c>
      <c r="B78" s="126">
        <v>208</v>
      </c>
      <c r="C78" s="77">
        <v>2.46305419E-2</v>
      </c>
      <c r="D78" s="15">
        <v>207</v>
      </c>
      <c r="E78" s="32">
        <f t="shared" si="34"/>
        <v>-4.807692307692308E-3</v>
      </c>
      <c r="F78" s="18">
        <f>IF(ISNUMBER(D78), $B91 * E78, "")</f>
        <v>-480.76923076923077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>
        <v>207</v>
      </c>
      <c r="N78" s="32">
        <f t="shared" si="37"/>
        <v>-4.807692307692308E-3</v>
      </c>
      <c r="O78" s="18">
        <f>IF(ISNUMBER(M78), $B91 * N78, "")</f>
        <v>-480.76923076923077</v>
      </c>
      <c r="Q78" s="241"/>
      <c r="R78" s="241"/>
      <c r="S78" s="241"/>
    </row>
    <row r="79" spans="1:19" ht="17.25" thickBot="1">
      <c r="A79" s="125" t="s">
        <v>252</v>
      </c>
      <c r="B79" s="126">
        <v>981</v>
      </c>
      <c r="C79" s="77">
        <v>2.2940563099999998E-2</v>
      </c>
      <c r="D79" s="15">
        <v>1000</v>
      </c>
      <c r="E79" s="32">
        <f t="shared" si="34"/>
        <v>1.9367991845056064E-2</v>
      </c>
      <c r="F79" s="18">
        <f>IF(ISNUMBER(D79), $B91 * E79, "")</f>
        <v>1936.7991845056065</v>
      </c>
      <c r="G79" s="31">
        <v>1000</v>
      </c>
      <c r="H79" s="32">
        <f t="shared" si="35"/>
        <v>1.9367991845056064E-2</v>
      </c>
      <c r="I79" s="101">
        <f>IF(ISNUMBER(G79), $B91 * H79, "")</f>
        <v>1936.7991845056065</v>
      </c>
      <c r="J79" s="15">
        <v>988</v>
      </c>
      <c r="K79" s="32">
        <f t="shared" si="36"/>
        <v>7.1355759429153924E-3</v>
      </c>
      <c r="L79" s="18">
        <f>IF(ISNUMBER(J79), $B91 * K79, "")</f>
        <v>713.5575942915392</v>
      </c>
      <c r="M79" s="31">
        <v>993</v>
      </c>
      <c r="N79" s="32">
        <f t="shared" si="37"/>
        <v>1.2232415902140673E-2</v>
      </c>
      <c r="O79" s="18">
        <f>IF(ISNUMBER(M79), $B91 * N79, "")</f>
        <v>1223.2415902140674</v>
      </c>
      <c r="Q79" s="33"/>
      <c r="R79" s="33"/>
    </row>
    <row r="80" spans="1:19" ht="17.25" thickBot="1">
      <c r="A80" s="130" t="s">
        <v>218</v>
      </c>
      <c r="B80" s="131">
        <v>135</v>
      </c>
      <c r="C80" s="79">
        <v>2.2727272699999999E-2</v>
      </c>
      <c r="D80" s="24">
        <v>133</v>
      </c>
      <c r="E80" s="25">
        <f t="shared" si="34"/>
        <v>-1.4814814814814815E-2</v>
      </c>
      <c r="F80" s="104">
        <f>IF(ISNUMBER(D80), $B91 * E80, "")</f>
        <v>-1481.4814814814815</v>
      </c>
      <c r="G80" s="102">
        <v>134</v>
      </c>
      <c r="H80" s="25">
        <f t="shared" si="35"/>
        <v>-7.4074074074074077E-3</v>
      </c>
      <c r="I80" s="103">
        <f>IF(ISNUMBER(G80), $B91 * H80, "")</f>
        <v>-740.74074074074076</v>
      </c>
      <c r="J80" s="24">
        <v>133</v>
      </c>
      <c r="K80" s="25">
        <f t="shared" si="36"/>
        <v>-1.4814814814814815E-2</v>
      </c>
      <c r="L80" s="104">
        <f>IF(ISNUMBER(J80), $B91 * K80, "")</f>
        <v>-1481.4814814814815</v>
      </c>
      <c r="M80" s="102">
        <v>132</v>
      </c>
      <c r="N80" s="25">
        <f t="shared" si="37"/>
        <v>-2.2222222222222223E-2</v>
      </c>
      <c r="O80" s="104">
        <f>IF(ISNUMBER(M80), $B91 * N80, "")</f>
        <v>-2222.2222222222222</v>
      </c>
      <c r="Q80" s="250"/>
      <c r="R80" s="251"/>
      <c r="S80" s="252"/>
    </row>
    <row r="81" spans="1:19">
      <c r="A81" s="123" t="s">
        <v>238</v>
      </c>
      <c r="B81" s="124">
        <v>103</v>
      </c>
      <c r="C81" s="76">
        <v>1.9801980199999999E-2</v>
      </c>
      <c r="D81" s="13">
        <v>103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-1.9417475728155338E-2</v>
      </c>
      <c r="L81" s="16">
        <f>IF(ISNUMBER(J81), $B91 * K81, "")</f>
        <v>-1941.7475728155339</v>
      </c>
      <c r="M81" s="29">
        <v>101</v>
      </c>
      <c r="N81" s="14">
        <f>IF(ISNUMBER(M81), (M81 - $B81) / $B81, "")</f>
        <v>-1.9417475728155338E-2</v>
      </c>
      <c r="O81" s="16">
        <f>IF(ISNUMBER(M81), $B91 * N81, "")</f>
        <v>-1941.7475728155339</v>
      </c>
      <c r="Q81" s="253"/>
      <c r="R81" s="254"/>
      <c r="S81" s="255"/>
    </row>
    <row r="82" spans="1:19" ht="17.25" thickBot="1">
      <c r="A82" s="125" t="s">
        <v>80</v>
      </c>
      <c r="B82" s="126">
        <v>795</v>
      </c>
      <c r="C82" s="77">
        <v>1.5325670499999999E-2</v>
      </c>
      <c r="D82" s="15">
        <v>815</v>
      </c>
      <c r="E82" s="32">
        <f t="shared" ref="E82:E85" si="38">IF(ISNUMBER(D82), (D82 - $B82) / $B82, "")</f>
        <v>2.5157232704402517E-2</v>
      </c>
      <c r="F82" s="18">
        <f>IF(ISNUMBER(D82), $B91 * E82, "")</f>
        <v>2515.7232704402518</v>
      </c>
      <c r="G82" s="31">
        <v>823</v>
      </c>
      <c r="H82" s="32">
        <f t="shared" ref="H82:H85" si="39">IF(ISNUMBER(G82), (G82 - $B82) / $B82, "")</f>
        <v>3.5220125786163521E-2</v>
      </c>
      <c r="I82" s="101">
        <f>IF(ISNUMBER(G82), $B91 * H82, "")</f>
        <v>3522.0125786163521</v>
      </c>
      <c r="J82" s="15">
        <v>818</v>
      </c>
      <c r="K82" s="32">
        <f t="shared" ref="K82:K85" si="40">IF(ISNUMBER(J82), (J82 - $B82) / $B82, "")</f>
        <v>2.8930817610062894E-2</v>
      </c>
      <c r="L82" s="18">
        <f>IF(ISNUMBER(J82), $B91 * K82, "")</f>
        <v>2893.0817610062895</v>
      </c>
      <c r="M82" s="31">
        <v>814</v>
      </c>
      <c r="N82" s="32">
        <f t="shared" ref="N82:N85" si="41">IF(ISNUMBER(M82), (M82 - $B82) / $B82, "")</f>
        <v>2.3899371069182392E-2</v>
      </c>
      <c r="O82" s="18">
        <f>IF(ISNUMBER(M82), $B91 * N82, "")</f>
        <v>2389.9371069182394</v>
      </c>
      <c r="Q82" s="256"/>
      <c r="R82" s="257"/>
      <c r="S82" s="258"/>
    </row>
    <row r="83" spans="1:19" ht="17.25" thickBot="1">
      <c r="A83" s="125" t="s">
        <v>162</v>
      </c>
      <c r="B83" s="126">
        <v>100</v>
      </c>
      <c r="C83" s="77">
        <v>1.01010101E-2</v>
      </c>
      <c r="D83" s="15">
        <v>101</v>
      </c>
      <c r="E83" s="32">
        <f t="shared" si="38"/>
        <v>0.01</v>
      </c>
      <c r="F83" s="18">
        <f>IF(ISNUMBER(D83), $B91 * E83, "")</f>
        <v>1000</v>
      </c>
      <c r="G83" s="31">
        <v>102</v>
      </c>
      <c r="H83" s="32">
        <f t="shared" si="39"/>
        <v>0.02</v>
      </c>
      <c r="I83" s="101">
        <f>IF(ISNUMBER(G83), $B91 * H83, "")</f>
        <v>2000</v>
      </c>
      <c r="J83" s="15">
        <v>101</v>
      </c>
      <c r="K83" s="32">
        <f t="shared" si="40"/>
        <v>0.01</v>
      </c>
      <c r="L83" s="18">
        <f>IF(ISNUMBER(J83), $B91 * K83, "")</f>
        <v>1000</v>
      </c>
      <c r="M83" s="31">
        <v>102</v>
      </c>
      <c r="N83" s="32">
        <f t="shared" si="41"/>
        <v>0.02</v>
      </c>
      <c r="O83" s="18">
        <f>IF(ISNUMBER(M83), $B91 * N83, "")</f>
        <v>2000</v>
      </c>
      <c r="Q83" s="241"/>
      <c r="R83" s="241"/>
      <c r="S83" s="241"/>
    </row>
    <row r="84" spans="1:19" ht="17.25" thickBot="1">
      <c r="A84" s="125" t="s">
        <v>54</v>
      </c>
      <c r="B84" s="126">
        <v>250</v>
      </c>
      <c r="C84" s="77">
        <v>8.0645161000000003E-3</v>
      </c>
      <c r="D84" s="15">
        <v>253</v>
      </c>
      <c r="E84" s="32">
        <f t="shared" si="38"/>
        <v>1.2E-2</v>
      </c>
      <c r="F84" s="18">
        <f>IF(ISNUMBER(D84), $B91 * E84, "")</f>
        <v>1200</v>
      </c>
      <c r="G84" s="31">
        <v>263</v>
      </c>
      <c r="H84" s="32">
        <f t="shared" si="39"/>
        <v>5.1999999999999998E-2</v>
      </c>
      <c r="I84" s="101">
        <f>IF(ISNUMBER(G84), $B91 * H84, "")</f>
        <v>5200</v>
      </c>
      <c r="J84" s="15">
        <v>258</v>
      </c>
      <c r="K84" s="32">
        <f t="shared" si="40"/>
        <v>3.2000000000000001E-2</v>
      </c>
      <c r="L84" s="18">
        <f>IF(ISNUMBER(J84), $B91 * K84, "")</f>
        <v>3200</v>
      </c>
      <c r="M84" s="31">
        <v>255</v>
      </c>
      <c r="N84" s="32">
        <f t="shared" si="41"/>
        <v>0.02</v>
      </c>
      <c r="O84" s="18">
        <f>IF(ISNUMBER(M84), $B91 * N84, "")</f>
        <v>2000</v>
      </c>
      <c r="Q84" s="236"/>
      <c r="R84" s="236"/>
      <c r="S84" s="236"/>
    </row>
    <row r="85" spans="1:19" ht="17.25" thickBot="1">
      <c r="A85" s="127" t="s">
        <v>138</v>
      </c>
      <c r="B85" s="128">
        <v>384</v>
      </c>
      <c r="C85" s="78">
        <v>7.8740157000000005E-3</v>
      </c>
      <c r="D85" s="20">
        <v>381</v>
      </c>
      <c r="E85" s="21">
        <f t="shared" si="38"/>
        <v>-7.8125E-3</v>
      </c>
      <c r="F85" s="22">
        <f>IF(ISNUMBER(D85), $B91 * E85, "")</f>
        <v>-781.25</v>
      </c>
      <c r="G85" s="30">
        <v>382</v>
      </c>
      <c r="H85" s="21">
        <f t="shared" si="39"/>
        <v>-5.208333333333333E-3</v>
      </c>
      <c r="I85" s="105">
        <f>IF(ISNUMBER(G85), $B91 * H85, "")</f>
        <v>-520.83333333333326</v>
      </c>
      <c r="J85" s="20">
        <v>382</v>
      </c>
      <c r="K85" s="21">
        <f t="shared" si="40"/>
        <v>-5.208333333333333E-3</v>
      </c>
      <c r="L85" s="22">
        <f>IF(ISNUMBER(J85), $B91 * K85, "")</f>
        <v>-520.83333333333326</v>
      </c>
      <c r="M85" s="30">
        <v>383</v>
      </c>
      <c r="N85" s="21">
        <f t="shared" si="41"/>
        <v>-2.6041666666666665E-3</v>
      </c>
      <c r="O85" s="22">
        <f>IF(ISNUMBER(M85), $B91 * N85, "")</f>
        <v>-260.41666666666663</v>
      </c>
      <c r="Q85" s="236"/>
      <c r="R85" s="236"/>
      <c r="S85" s="236"/>
    </row>
    <row r="86" spans="1:19" ht="17.25" thickBot="1">
      <c r="A86" s="125" t="s">
        <v>118</v>
      </c>
      <c r="B86" s="129">
        <v>159</v>
      </c>
      <c r="C86" s="80">
        <v>6.3291138999999998E-3</v>
      </c>
      <c r="D86" s="106">
        <v>163</v>
      </c>
      <c r="E86" s="107">
        <f>IF(ISNUMBER(D86), (D86 - $B86) / $B86, "")</f>
        <v>2.5157232704402517E-2</v>
      </c>
      <c r="F86" s="108">
        <f>IF(ISNUMBER(D86), $B91 * E86, "")</f>
        <v>2515.7232704402518</v>
      </c>
      <c r="G86" s="109">
        <v>165</v>
      </c>
      <c r="H86" s="107">
        <f>IF(ISNUMBER(G86), (G86 - $B86) / $B86, "")</f>
        <v>3.7735849056603772E-2</v>
      </c>
      <c r="I86" s="110">
        <f>IF(ISNUMBER(G86), $B91 * H86, "")</f>
        <v>3773.584905660377</v>
      </c>
      <c r="J86" s="106">
        <v>164</v>
      </c>
      <c r="K86" s="107">
        <f>IF(ISNUMBER(J86), (J86 - $B86) / $B86, "")</f>
        <v>3.1446540880503145E-2</v>
      </c>
      <c r="L86" s="108">
        <f>IF(ISNUMBER(J86), $B91 * K86, "")</f>
        <v>3144.6540880503144</v>
      </c>
      <c r="M86" s="109">
        <v>162</v>
      </c>
      <c r="N86" s="107">
        <f>IF(ISNUMBER(M86), (M86 - $B86) / $B86, "")</f>
        <v>1.8867924528301886E-2</v>
      </c>
      <c r="O86" s="108">
        <f>IF(ISNUMBER(M86), $B91 * N86, "")</f>
        <v>1886.7924528301885</v>
      </c>
      <c r="Q86" s="241"/>
      <c r="R86" s="241"/>
      <c r="S86" s="241"/>
    </row>
    <row r="87" spans="1:19" ht="17.25" thickBot="1">
      <c r="A87" s="125" t="s">
        <v>242</v>
      </c>
      <c r="B87" s="126">
        <v>480</v>
      </c>
      <c r="C87" s="77">
        <v>2.0876826999999998E-3</v>
      </c>
      <c r="D87" s="15">
        <v>484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486</v>
      </c>
      <c r="H87" s="32">
        <f t="shared" ref="H87:H90" si="43">IF(ISNUMBER(G87), (G87 - $B87) / $B87, "")</f>
        <v>1.2500000000000001E-2</v>
      </c>
      <c r="I87" s="101">
        <f>IF(ISNUMBER(G87), $B91 * H87, "")</f>
        <v>1250</v>
      </c>
      <c r="J87" s="15">
        <v>481</v>
      </c>
      <c r="K87" s="32">
        <f t="shared" ref="K87:K90" si="44">IF(ISNUMBER(J87), (J87 - $B87) / $B87, "")</f>
        <v>2.0833333333333333E-3</v>
      </c>
      <c r="L87" s="18">
        <f>IF(ISNUMBER(J87), $B91 * K87, "")</f>
        <v>208.33333333333334</v>
      </c>
      <c r="M87" s="31">
        <v>483</v>
      </c>
      <c r="N87" s="32">
        <f t="shared" ref="N87:N90" si="45">IF(ISNUMBER(M87), (M87 - $B87) / $B87, "")</f>
        <v>6.2500000000000003E-3</v>
      </c>
      <c r="O87" s="18">
        <f>IF(ISNUMBER(M87), $B91 * N87, "")</f>
        <v>625</v>
      </c>
      <c r="Q87" s="241"/>
      <c r="R87" s="241"/>
      <c r="S87" s="241"/>
    </row>
    <row r="88" spans="1:19" ht="17.25" thickBot="1">
      <c r="A88" s="125" t="s">
        <v>144</v>
      </c>
      <c r="B88" s="126">
        <v>109</v>
      </c>
      <c r="C88" s="77">
        <v>0</v>
      </c>
      <c r="D88" s="15">
        <v>109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1.834862385321101E-2</v>
      </c>
      <c r="I88" s="101">
        <f>IF(ISNUMBER(G88), $B91 * H88, "")</f>
        <v>1834.8623853211011</v>
      </c>
      <c r="J88" s="15">
        <v>113</v>
      </c>
      <c r="K88" s="32">
        <f t="shared" si="44"/>
        <v>3.669724770642202E-2</v>
      </c>
      <c r="L88" s="18">
        <f>IF(ISNUMBER(J88), $B91 * K88, "")</f>
        <v>3669.7247706422022</v>
      </c>
      <c r="M88" s="31">
        <v>109</v>
      </c>
      <c r="N88" s="32">
        <f t="shared" si="45"/>
        <v>0</v>
      </c>
      <c r="O88" s="18">
        <f>IF(ISNUMBER(M88), $B91 * N88, "")</f>
        <v>0</v>
      </c>
      <c r="Q88" s="241"/>
      <c r="R88" s="241"/>
      <c r="S88" s="241"/>
    </row>
    <row r="89" spans="1:19">
      <c r="A89" s="125" t="s">
        <v>130</v>
      </c>
      <c r="B89" s="126">
        <v>101</v>
      </c>
      <c r="C89" s="77">
        <v>0</v>
      </c>
      <c r="D89" s="15">
        <v>101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3.9603960396039604E-2</v>
      </c>
      <c r="I89" s="101">
        <f>IF(ISNUMBER(G89), $B91 * H89, "")</f>
        <v>3960.3960396039606</v>
      </c>
      <c r="J89" s="15">
        <v>103</v>
      </c>
      <c r="K89" s="32">
        <f t="shared" si="44"/>
        <v>1.9801980198019802E-2</v>
      </c>
      <c r="L89" s="18">
        <f>IF(ISNUMBER(J89), $B91 * K89, "")</f>
        <v>1980.1980198019803</v>
      </c>
      <c r="M89" s="31">
        <v>103</v>
      </c>
      <c r="N89" s="32">
        <f t="shared" si="45"/>
        <v>1.9801980198019802E-2</v>
      </c>
      <c r="O89" s="18">
        <f>IF(ISNUMBER(M89), $B91 * N89, "")</f>
        <v>1980.1980198019803</v>
      </c>
      <c r="Q89" s="263"/>
      <c r="R89" s="264"/>
      <c r="S89" s="265"/>
    </row>
    <row r="90" spans="1:19" ht="17.25" thickBot="1">
      <c r="A90" s="130" t="s">
        <v>114</v>
      </c>
      <c r="B90" s="131">
        <v>714</v>
      </c>
      <c r="C90" s="79">
        <v>-2.7932960999999998E-3</v>
      </c>
      <c r="D90" s="24">
        <v>718</v>
      </c>
      <c r="E90" s="25">
        <f t="shared" si="42"/>
        <v>5.6022408963585435E-3</v>
      </c>
      <c r="F90" s="104">
        <f>IF(ISNUMBER(D90), $B91 * E90, "")</f>
        <v>560.2240896358544</v>
      </c>
      <c r="G90" s="102">
        <v>737</v>
      </c>
      <c r="H90" s="25">
        <f t="shared" si="43"/>
        <v>3.2212885154061621E-2</v>
      </c>
      <c r="I90" s="103">
        <f>IF(ISNUMBER(G90), $B91 * H90, "")</f>
        <v>3221.2885154061623</v>
      </c>
      <c r="J90" s="24">
        <v>796</v>
      </c>
      <c r="K90" s="25">
        <f t="shared" si="44"/>
        <v>0.11484593837535013</v>
      </c>
      <c r="L90" s="104">
        <f>IF(ISNUMBER(J90), $B91 * K90, "")</f>
        <v>11484.593837535014</v>
      </c>
      <c r="M90" s="102">
        <v>773</v>
      </c>
      <c r="N90" s="25">
        <f t="shared" si="45"/>
        <v>8.2633053221288513E-2</v>
      </c>
      <c r="O90" s="104">
        <f>IF(ISNUMBER(M90), $B91 * N90, "")</f>
        <v>8263.3053221288519</v>
      </c>
      <c r="Q90" s="266"/>
      <c r="R90" s="267"/>
      <c r="S90" s="268"/>
    </row>
    <row r="91" spans="1:19" ht="17.25" thickBot="1">
      <c r="A91" s="132" t="s">
        <v>270</v>
      </c>
      <c r="B91" s="274">
        <f>$B$37</f>
        <v>100000</v>
      </c>
      <c r="C91" s="275"/>
      <c r="D91" s="26" t="s">
        <v>271</v>
      </c>
      <c r="E91" s="27">
        <f>IF(COUNT(E71:E90), SUM(E71:E90) / COUNT(E71:E90), 0)</f>
        <v>1.0550954780638841E-2</v>
      </c>
      <c r="F91" s="28">
        <f>SUM(F71:F90)</f>
        <v>21101.90956127768</v>
      </c>
      <c r="G91" s="26" t="s">
        <v>271</v>
      </c>
      <c r="H91" s="27">
        <f>IF(COUNT(H71:H90), SUM(H71:H90) / COUNT(H71:H90), 0)</f>
        <v>2.3902178313510526E-2</v>
      </c>
      <c r="I91" s="28">
        <f>SUM(I71:I90)</f>
        <v>47804.356627021058</v>
      </c>
      <c r="J91" s="26" t="s">
        <v>271</v>
      </c>
      <c r="K91" s="27">
        <f>IF(COUNT(K71:K90), SUM(K71:K90) / COUNT(K71:K90), 0)</f>
        <v>2.1709592960646798E-2</v>
      </c>
      <c r="L91" s="28">
        <f>SUM(L71:L90)</f>
        <v>43419.185921293596</v>
      </c>
      <c r="M91" s="26" t="s">
        <v>271</v>
      </c>
      <c r="N91" s="27">
        <f>IF(COUNT(N71:N90), SUM(N71:N90) / COUNT(N71:N90), 0)</f>
        <v>1.7664177247906428E-2</v>
      </c>
      <c r="O91" s="28">
        <f>SUM(O71:O90)</f>
        <v>35328.354495812862</v>
      </c>
      <c r="Q91" s="269"/>
      <c r="R91" s="270"/>
      <c r="S91" s="27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36"/>
      <c r="R94" s="236"/>
      <c r="S94" s="236"/>
    </row>
    <row r="95" spans="1:19" ht="17.25" thickBot="1">
      <c r="A95" s="193" t="s">
        <v>267</v>
      </c>
      <c r="B95" s="215" t="s">
        <v>49</v>
      </c>
      <c r="C95" s="217"/>
      <c r="D95" s="215" t="s">
        <v>58</v>
      </c>
      <c r="E95" s="216"/>
      <c r="F95" s="217"/>
      <c r="G95" s="242">
        <f>_xlfn.IFNA(VLOOKUP(B95, 현재가테이블!$B$2:$D$200, 2, FALSE), "-")</f>
        <v>53976000</v>
      </c>
      <c r="H95" s="243"/>
      <c r="I95" s="244"/>
      <c r="J95" s="215" t="s">
        <v>59</v>
      </c>
      <c r="K95" s="216"/>
      <c r="L95" s="217"/>
      <c r="M95" s="245">
        <f>_xlfn.IFNA(VLOOKUP(B95, 현재가테이블!$B$2:$D$200, 3, FALSE), "-")</f>
        <v>-2.1216407400000001E-2</v>
      </c>
      <c r="N95" s="246"/>
      <c r="O95" s="247"/>
      <c r="Q95" s="236"/>
      <c r="R95" s="236"/>
      <c r="S95" s="236"/>
    </row>
    <row r="96" spans="1:19" ht="17.25" thickBot="1">
      <c r="A96" s="276" t="s">
        <v>55</v>
      </c>
      <c r="B96" s="278" t="str">
        <f>TEXT($G$1, "[$-ko-KR]yyyy-mm-dd(ddd) ") &amp; "오전 00:00"</f>
        <v>2021-08-10(화) 오전 00:00</v>
      </c>
      <c r="C96" s="279"/>
      <c r="D96" s="238" t="str">
        <f>TEXT($G$1, "[$-ko-KR]yyyy-mm-dd(ddd) ") &amp; "오후 14:00"</f>
        <v>2021-08-10(화) 오후 14:00</v>
      </c>
      <c r="E96" s="239"/>
      <c r="F96" s="240"/>
      <c r="G96" s="238" t="str">
        <f>TEXT($G$1, "[$-ko-KR]yyyy-mm-dd(ddd) ") &amp; "오후 19:00"</f>
        <v>2021-08-10(화) 오후 19:00</v>
      </c>
      <c r="H96" s="239"/>
      <c r="I96" s="240"/>
      <c r="J96" s="238" t="str">
        <f>TEXT($G$1, "[$-ko-KR]yyyy-mm-dd(ddd) ") &amp; "오후 21:00"</f>
        <v>2021-08-10(화) 오후 21:00</v>
      </c>
      <c r="K96" s="239"/>
      <c r="L96" s="240"/>
      <c r="M96" s="238" t="str">
        <f>TEXT($G$1+1, "[$-ko-KR]yyyy-mm-dd(ddd) ") &amp; "오전 00:00"</f>
        <v>2021-08-11(수) 오전 00:00</v>
      </c>
      <c r="N96" s="239"/>
      <c r="O96" s="240"/>
      <c r="Q96" s="236"/>
      <c r="R96" s="236"/>
      <c r="S96" s="236"/>
    </row>
    <row r="97" spans="1:19" ht="17.25" thickBot="1">
      <c r="A97" s="27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1"/>
      <c r="R97" s="241"/>
      <c r="S97" s="241"/>
    </row>
    <row r="98" spans="1:19" ht="17.25" thickBot="1">
      <c r="A98" s="123" t="s">
        <v>88</v>
      </c>
      <c r="B98" s="124">
        <v>199650</v>
      </c>
      <c r="C98" s="76">
        <v>0.15940766549999999</v>
      </c>
      <c r="D98" s="13">
        <v>188650</v>
      </c>
      <c r="E98" s="14">
        <f>IF(ISNUMBER(D98), (D98 - $B98) / $B98, "")</f>
        <v>-5.5096418732782371E-2</v>
      </c>
      <c r="F98" s="16">
        <f>IF(ISNUMBER(D98), $B118 * E98, "")</f>
        <v>-5509.6418732782367</v>
      </c>
      <c r="G98" s="29">
        <v>192050</v>
      </c>
      <c r="H98" s="14">
        <f>IF(ISNUMBER(G98), (G98 - $B98) / $B98, "")</f>
        <v>-3.8066616579013272E-2</v>
      </c>
      <c r="I98" s="100">
        <f>IF(ISNUMBER(G98), $B118 * H98, "")</f>
        <v>-3806.6616579013271</v>
      </c>
      <c r="J98" s="13">
        <v>188150</v>
      </c>
      <c r="K98" s="14">
        <f>IF(ISNUMBER(J98), (J98 - $B98) / $B98, "")</f>
        <v>-5.7600801402454292E-2</v>
      </c>
      <c r="L98" s="16">
        <f>IF(ISNUMBER(J98), $B118 * K98, "")</f>
        <v>-5760.080140245429</v>
      </c>
      <c r="M98" s="29">
        <v>188050</v>
      </c>
      <c r="N98" s="14">
        <f>IF(ISNUMBER(M98), (M98 - $B98) / $B98, "")</f>
        <v>-5.8101677936388679E-2</v>
      </c>
      <c r="O98" s="16">
        <f>IF(ISNUMBER(M98), $B118 * N98, "")</f>
        <v>-5810.1677936388678</v>
      </c>
      <c r="Q98" s="236"/>
      <c r="R98" s="236"/>
      <c r="S98" s="236"/>
    </row>
    <row r="99" spans="1:19" ht="17.25" thickBot="1">
      <c r="A99" s="125" t="s">
        <v>146</v>
      </c>
      <c r="B99" s="126">
        <v>3295</v>
      </c>
      <c r="C99" s="77">
        <v>0.1480836237</v>
      </c>
      <c r="D99" s="15">
        <v>3405</v>
      </c>
      <c r="E99" s="32">
        <f t="shared" ref="E99:E102" si="46">IF(ISNUMBER(D99), (D99 - $B99) / $B99, "")</f>
        <v>3.3383915022761758E-2</v>
      </c>
      <c r="F99" s="18">
        <f>IF(ISNUMBER(D99), $B118 * E99, "")</f>
        <v>3338.3915022761757</v>
      </c>
      <c r="G99" s="31">
        <v>3470</v>
      </c>
      <c r="H99" s="32">
        <f t="shared" ref="H99:H102" si="47">IF(ISNUMBER(G99), (G99 - $B99) / $B99, "")</f>
        <v>5.3110773899848251E-2</v>
      </c>
      <c r="I99" s="101">
        <f>IF(ISNUMBER(G99), $B118 * H99, "")</f>
        <v>5311.0773899848255</v>
      </c>
      <c r="J99" s="15">
        <v>3430</v>
      </c>
      <c r="K99" s="32">
        <f t="shared" ref="K99:K102" si="48">IF(ISNUMBER(J99), (J99 - $B99) / $B99, "")</f>
        <v>4.09711684370258E-2</v>
      </c>
      <c r="L99" s="18">
        <f>IF(ISNUMBER(J99), $B118 * K99, "")</f>
        <v>4097.1168437025799</v>
      </c>
      <c r="M99" s="31">
        <v>3400</v>
      </c>
      <c r="N99" s="32">
        <f t="shared" ref="N99:N102" si="49">IF(ISNUMBER(M99), (M99 - $B99) / $B99, "")</f>
        <v>3.1866464339908952E-2</v>
      </c>
      <c r="O99" s="18">
        <f>IF(ISNUMBER(M99), $B118 * N99, "")</f>
        <v>3186.6464339908953</v>
      </c>
      <c r="Q99" s="236"/>
      <c r="R99" s="236"/>
      <c r="S99" s="236"/>
    </row>
    <row r="100" spans="1:19" ht="17.25" thickBot="1">
      <c r="A100" s="125" t="s">
        <v>86</v>
      </c>
      <c r="B100" s="126">
        <v>356</v>
      </c>
      <c r="C100" s="77">
        <v>0.10559006210000001</v>
      </c>
      <c r="D100" s="15">
        <v>381</v>
      </c>
      <c r="E100" s="32">
        <f t="shared" si="46"/>
        <v>7.02247191011236E-2</v>
      </c>
      <c r="F100" s="18">
        <f>IF(ISNUMBER(D100), $B118 * E100, "")</f>
        <v>7022.4719101123601</v>
      </c>
      <c r="G100" s="31">
        <v>383</v>
      </c>
      <c r="H100" s="32">
        <f t="shared" si="47"/>
        <v>7.5842696629213488E-2</v>
      </c>
      <c r="I100" s="101">
        <f>IF(ISNUMBER(G100), $B118 * H100, "")</f>
        <v>7584.2696629213488</v>
      </c>
      <c r="J100" s="15">
        <v>373</v>
      </c>
      <c r="K100" s="32">
        <f t="shared" si="48"/>
        <v>4.7752808988764044E-2</v>
      </c>
      <c r="L100" s="18">
        <f>IF(ISNUMBER(J100), $B118 * K100, "")</f>
        <v>4775.2808988764045</v>
      </c>
      <c r="M100" s="31">
        <v>367</v>
      </c>
      <c r="N100" s="32">
        <f t="shared" si="49"/>
        <v>3.0898876404494381E-2</v>
      </c>
      <c r="O100" s="18">
        <f>IF(ISNUMBER(M100), $B118 * N100, "")</f>
        <v>3089.8876404494381</v>
      </c>
      <c r="Q100" s="241"/>
      <c r="R100" s="241"/>
      <c r="S100" s="241"/>
    </row>
    <row r="101" spans="1:19" ht="17.25" thickBot="1">
      <c r="A101" s="125" t="s">
        <v>158</v>
      </c>
      <c r="B101" s="126">
        <v>20780</v>
      </c>
      <c r="C101" s="77">
        <v>0.1012188659</v>
      </c>
      <c r="D101" s="15">
        <v>20200</v>
      </c>
      <c r="E101" s="32">
        <f t="shared" si="46"/>
        <v>-2.791145332050048E-2</v>
      </c>
      <c r="F101" s="18">
        <f>IF(ISNUMBER(D101), $B118 * E101, "")</f>
        <v>-2791.1453320500482</v>
      </c>
      <c r="G101" s="31">
        <v>20290</v>
      </c>
      <c r="H101" s="32">
        <f t="shared" si="47"/>
        <v>-2.358036573628489E-2</v>
      </c>
      <c r="I101" s="101">
        <f>IF(ISNUMBER(G101), $B118 * H101, "")</f>
        <v>-2358.0365736284889</v>
      </c>
      <c r="J101" s="15">
        <v>19950</v>
      </c>
      <c r="K101" s="32">
        <f t="shared" si="48"/>
        <v>-3.9942252165543791E-2</v>
      </c>
      <c r="L101" s="18">
        <f>IF(ISNUMBER(J101), $B118 * K101, "")</f>
        <v>-3994.2252165543791</v>
      </c>
      <c r="M101" s="31">
        <v>19810</v>
      </c>
      <c r="N101" s="32">
        <f t="shared" si="49"/>
        <v>-4.6679499518768049E-2</v>
      </c>
      <c r="O101" s="18">
        <f>IF(ISNUMBER(M101), $B118 * N101, "")</f>
        <v>-4667.9499518768052</v>
      </c>
      <c r="Q101" s="241"/>
      <c r="R101" s="241"/>
      <c r="S101" s="241"/>
    </row>
    <row r="102" spans="1:19" ht="17.25" thickBot="1">
      <c r="A102" s="127" t="s">
        <v>156</v>
      </c>
      <c r="B102" s="128">
        <v>1775</v>
      </c>
      <c r="C102" s="78">
        <v>8.5626911299999997E-2</v>
      </c>
      <c r="D102" s="20">
        <v>1790</v>
      </c>
      <c r="E102" s="21">
        <f t="shared" si="46"/>
        <v>8.4507042253521118E-3</v>
      </c>
      <c r="F102" s="22">
        <f>IF(ISNUMBER(D102), $B118 * E102, "")</f>
        <v>845.07042253521115</v>
      </c>
      <c r="G102" s="30">
        <v>1830</v>
      </c>
      <c r="H102" s="21">
        <f t="shared" si="47"/>
        <v>3.0985915492957747E-2</v>
      </c>
      <c r="I102" s="105">
        <f>IF(ISNUMBER(G102), $B118 * H102, "")</f>
        <v>3098.5915492957747</v>
      </c>
      <c r="J102" s="20">
        <v>1815</v>
      </c>
      <c r="K102" s="21">
        <f t="shared" si="48"/>
        <v>2.2535211267605635E-2</v>
      </c>
      <c r="L102" s="22">
        <f>IF(ISNUMBER(J102), $B118 * K102, "")</f>
        <v>2253.5211267605637</v>
      </c>
      <c r="M102" s="30">
        <v>1800</v>
      </c>
      <c r="N102" s="21">
        <f t="shared" si="49"/>
        <v>1.4084507042253521E-2</v>
      </c>
      <c r="O102" s="22">
        <f>IF(ISNUMBER(M102), $B118 * N102, "")</f>
        <v>1408.4507042253522</v>
      </c>
      <c r="Q102" s="241"/>
      <c r="R102" s="241"/>
      <c r="S102" s="241"/>
    </row>
    <row r="103" spans="1:19" ht="17.25" thickBot="1">
      <c r="A103" s="125" t="s">
        <v>240</v>
      </c>
      <c r="B103" s="129">
        <v>67</v>
      </c>
      <c r="C103" s="80">
        <v>6.1806656100000003E-2</v>
      </c>
      <c r="D103" s="106">
        <v>68.5</v>
      </c>
      <c r="E103" s="107">
        <f>IF(ISNUMBER(D103), (D103 - $B103) / $B103, "")</f>
        <v>2.2388059701492536E-2</v>
      </c>
      <c r="F103" s="108">
        <f>IF(ISNUMBER(D103), $B118 * E103, "")</f>
        <v>2238.8059701492534</v>
      </c>
      <c r="G103" s="109">
        <v>67.8</v>
      </c>
      <c r="H103" s="107">
        <f>IF(ISNUMBER(G103), (G103 - $B103) / $B103, "")</f>
        <v>1.1940298507462643E-2</v>
      </c>
      <c r="I103" s="110">
        <f>IF(ISNUMBER(G103), $B118 * H103, "")</f>
        <v>1194.0298507462644</v>
      </c>
      <c r="J103" s="106">
        <v>66.2</v>
      </c>
      <c r="K103" s="107">
        <f>IF(ISNUMBER(J103), (J103 - $B103) / $B103, "")</f>
        <v>-1.1940298507462643E-2</v>
      </c>
      <c r="L103" s="108">
        <f>IF(ISNUMBER(J103), $B118 * K103, "")</f>
        <v>-1194.0298507462644</v>
      </c>
      <c r="M103" s="109">
        <v>66.900000000000006</v>
      </c>
      <c r="N103" s="107">
        <f>IF(ISNUMBER(M103), (M103 - $B103) / $B103, "")</f>
        <v>-1.4925373134327511E-3</v>
      </c>
      <c r="O103" s="108">
        <f>IF(ISNUMBER(M103), $B118 * N103, "")</f>
        <v>-149.25373134327509</v>
      </c>
      <c r="Q103" s="241"/>
      <c r="R103" s="241"/>
      <c r="S103" s="241"/>
    </row>
    <row r="104" spans="1:19" ht="17.25" thickBot="1">
      <c r="A104" s="125" t="s">
        <v>126</v>
      </c>
      <c r="B104" s="126">
        <v>184000</v>
      </c>
      <c r="C104" s="77">
        <v>5.8992805799999999E-2</v>
      </c>
      <c r="D104" s="15">
        <v>186400</v>
      </c>
      <c r="E104" s="32">
        <f t="shared" ref="E104:E107" si="50">IF(ISNUMBER(D104), (D104 - $B104) / $B104, "")</f>
        <v>1.3043478260869565E-2</v>
      </c>
      <c r="F104" s="18">
        <f>IF(ISNUMBER(D104), $B118 * E104, "")</f>
        <v>1304.3478260869565</v>
      </c>
      <c r="G104" s="31">
        <v>189000</v>
      </c>
      <c r="H104" s="32">
        <f t="shared" ref="H104:H107" si="51">IF(ISNUMBER(G104), (G104 - $B104) / $B104, "")</f>
        <v>2.717391304347826E-2</v>
      </c>
      <c r="I104" s="101">
        <f>IF(ISNUMBER(G104), $B118 * H104, "")</f>
        <v>2717.391304347826</v>
      </c>
      <c r="J104" s="15">
        <v>186950</v>
      </c>
      <c r="K104" s="32">
        <f t="shared" ref="K104:K107" si="52">IF(ISNUMBER(J104), (J104 - $B104) / $B104, "")</f>
        <v>1.6032608695652175E-2</v>
      </c>
      <c r="L104" s="18">
        <f>IF(ISNUMBER(J104), $B118 * K104, "")</f>
        <v>1603.2608695652175</v>
      </c>
      <c r="M104" s="31">
        <v>187500</v>
      </c>
      <c r="N104" s="32">
        <f t="shared" ref="N104:N107" si="53">IF(ISNUMBER(M104), (M104 - $B104) / $B104, "")</f>
        <v>1.9021739130434784E-2</v>
      </c>
      <c r="O104" s="18">
        <f>IF(ISNUMBER(M104), $B118 * N104, "")</f>
        <v>1902.1739130434785</v>
      </c>
      <c r="Q104" s="241"/>
      <c r="R104" s="241"/>
      <c r="S104" s="241"/>
    </row>
    <row r="105" spans="1:19" ht="17.25" thickBot="1">
      <c r="A105" s="125" t="s">
        <v>112</v>
      </c>
      <c r="B105" s="126">
        <v>7845</v>
      </c>
      <c r="C105" s="77">
        <v>5.3727333799999999E-2</v>
      </c>
      <c r="D105" s="15">
        <v>7680</v>
      </c>
      <c r="E105" s="32">
        <f t="shared" si="50"/>
        <v>-2.1032504780114723E-2</v>
      </c>
      <c r="F105" s="18">
        <f>IF(ISNUMBER(D105), $B118 * E105, "")</f>
        <v>-2103.2504780114723</v>
      </c>
      <c r="G105" s="31">
        <v>7880</v>
      </c>
      <c r="H105" s="32">
        <f t="shared" si="51"/>
        <v>4.4614404079031233E-3</v>
      </c>
      <c r="I105" s="101">
        <f>IF(ISNUMBER(G105), $B118 * H105, "")</f>
        <v>446.14404079031232</v>
      </c>
      <c r="J105" s="15">
        <v>7935</v>
      </c>
      <c r="K105" s="32">
        <f t="shared" si="52"/>
        <v>1.1472275334608031E-2</v>
      </c>
      <c r="L105" s="18">
        <f>IF(ISNUMBER(J105), $B118 * K105, "")</f>
        <v>1147.2275334608032</v>
      </c>
      <c r="M105" s="31">
        <v>7815</v>
      </c>
      <c r="N105" s="32">
        <f t="shared" si="53"/>
        <v>-3.8240917782026767E-3</v>
      </c>
      <c r="O105" s="18">
        <f>IF(ISNUMBER(M105), $B118 * N105, "")</f>
        <v>-382.4091778202677</v>
      </c>
      <c r="Q105" s="241"/>
      <c r="R105" s="241"/>
      <c r="S105" s="241"/>
    </row>
    <row r="106" spans="1:19" ht="17.25" thickBot="1">
      <c r="A106" s="125" t="s">
        <v>69</v>
      </c>
      <c r="B106" s="126">
        <v>5210</v>
      </c>
      <c r="C106" s="77">
        <v>5.2525252500000001E-2</v>
      </c>
      <c r="D106" s="15">
        <v>5610</v>
      </c>
      <c r="E106" s="32">
        <f t="shared" si="50"/>
        <v>7.6775431861804216E-2</v>
      </c>
      <c r="F106" s="18">
        <f>IF(ISNUMBER(D106), $B118 * E106, "")</f>
        <v>7677.5431861804218</v>
      </c>
      <c r="G106" s="31">
        <v>5630</v>
      </c>
      <c r="H106" s="32">
        <f t="shared" si="51"/>
        <v>8.0614203454894437E-2</v>
      </c>
      <c r="I106" s="101">
        <f>IF(ISNUMBER(G106), $B118 * H106, "")</f>
        <v>8061.4203454894441</v>
      </c>
      <c r="J106" s="15">
        <v>5460</v>
      </c>
      <c r="K106" s="32">
        <f t="shared" si="52"/>
        <v>4.7984644913627639E-2</v>
      </c>
      <c r="L106" s="18">
        <f>IF(ISNUMBER(J106), $B118 * K106, "")</f>
        <v>4798.4644913627635</v>
      </c>
      <c r="M106" s="31">
        <v>5305</v>
      </c>
      <c r="N106" s="32">
        <f t="shared" si="53"/>
        <v>1.8234165067178502E-2</v>
      </c>
      <c r="O106" s="18">
        <f>IF(ISNUMBER(M106), $B118 * N106, "")</f>
        <v>1823.4165067178503</v>
      </c>
      <c r="Q106" s="33"/>
      <c r="R106" s="33"/>
    </row>
    <row r="107" spans="1:19" ht="17.25" thickBot="1">
      <c r="A107" s="130" t="s">
        <v>78</v>
      </c>
      <c r="B107" s="131">
        <v>675900</v>
      </c>
      <c r="C107" s="79">
        <v>4.8394602100000003E-2</v>
      </c>
      <c r="D107" s="24">
        <v>669800</v>
      </c>
      <c r="E107" s="25">
        <f t="shared" si="50"/>
        <v>-9.0250036987720075E-3</v>
      </c>
      <c r="F107" s="104">
        <f>IF(ISNUMBER(D107), $B118 * E107, "")</f>
        <v>-902.5003698772008</v>
      </c>
      <c r="G107" s="102">
        <v>677400</v>
      </c>
      <c r="H107" s="25">
        <f t="shared" si="51"/>
        <v>2.2192632046160675E-3</v>
      </c>
      <c r="I107" s="103">
        <f>IF(ISNUMBER(G107), $B118 * H107, "")</f>
        <v>221.92632046160676</v>
      </c>
      <c r="J107" s="24">
        <v>674000</v>
      </c>
      <c r="K107" s="25">
        <f t="shared" si="52"/>
        <v>-2.8110667258470189E-3</v>
      </c>
      <c r="L107" s="104">
        <f>IF(ISNUMBER(J107), $B118 * K107, "")</f>
        <v>-281.10667258470187</v>
      </c>
      <c r="M107" s="102">
        <v>672100</v>
      </c>
      <c r="N107" s="25">
        <f t="shared" si="53"/>
        <v>-5.6221334516940377E-3</v>
      </c>
      <c r="O107" s="104">
        <f>IF(ISNUMBER(M107), $B118 * N107, "")</f>
        <v>-562.21334516940374</v>
      </c>
      <c r="Q107" s="250"/>
      <c r="R107" s="251"/>
      <c r="S107" s="252"/>
    </row>
    <row r="108" spans="1:19">
      <c r="A108" s="123" t="s">
        <v>140</v>
      </c>
      <c r="B108" s="124">
        <v>5775</v>
      </c>
      <c r="C108" s="76">
        <v>4.4303797499999999E-2</v>
      </c>
      <c r="D108" s="13">
        <v>5725</v>
      </c>
      <c r="E108" s="14">
        <f>IF(ISNUMBER(D108), (D108 - $B108) / $B108, "")</f>
        <v>-8.658008658008658E-3</v>
      </c>
      <c r="F108" s="16">
        <f>IF(ISNUMBER(D108), $B118 * E108, "")</f>
        <v>-865.80086580086584</v>
      </c>
      <c r="G108" s="29">
        <v>5910</v>
      </c>
      <c r="H108" s="14">
        <f>IF(ISNUMBER(G108), (G108 - $B108) / $B108, "")</f>
        <v>2.3376623376623377E-2</v>
      </c>
      <c r="I108" s="100">
        <f>IF(ISNUMBER(G108), $B118 * H108, "")</f>
        <v>2337.6623376623379</v>
      </c>
      <c r="J108" s="13">
        <v>5815</v>
      </c>
      <c r="K108" s="14">
        <f>IF(ISNUMBER(J108), (J108 - $B108) / $B108, "")</f>
        <v>6.9264069264069264E-3</v>
      </c>
      <c r="L108" s="16">
        <f>IF(ISNUMBER(J108), $B118 * K108, "")</f>
        <v>692.64069264069269</v>
      </c>
      <c r="M108" s="29">
        <v>5810</v>
      </c>
      <c r="N108" s="14">
        <f>IF(ISNUMBER(M108), (M108 - $B108) / $B108, "")</f>
        <v>6.0606060606060606E-3</v>
      </c>
      <c r="O108" s="16">
        <f>IF(ISNUMBER(M108), $B118 * N108, "")</f>
        <v>606.06060606060601</v>
      </c>
      <c r="Q108" s="253"/>
      <c r="R108" s="254"/>
      <c r="S108" s="255"/>
    </row>
    <row r="109" spans="1:19" ht="17.25" thickBot="1">
      <c r="A109" s="125" t="s">
        <v>92</v>
      </c>
      <c r="B109" s="126">
        <v>67680</v>
      </c>
      <c r="C109" s="77">
        <v>4.15512465E-2</v>
      </c>
      <c r="D109" s="15">
        <v>67690</v>
      </c>
      <c r="E109" s="32">
        <f t="shared" ref="E109:E112" si="54">IF(ISNUMBER(D109), (D109 - $B109) / $B109, "")</f>
        <v>1.4775413711583924E-4</v>
      </c>
      <c r="F109" s="18">
        <f>IF(ISNUMBER(D109), $B118 * E109, "")</f>
        <v>14.775413711583925</v>
      </c>
      <c r="G109" s="31">
        <v>68250</v>
      </c>
      <c r="H109" s="32">
        <f t="shared" ref="H109:H112" si="55">IF(ISNUMBER(G109), (G109 - $B109) / $B109, "")</f>
        <v>8.4219858156028369E-3</v>
      </c>
      <c r="I109" s="101">
        <f>IF(ISNUMBER(G109), $B118 * H109, "")</f>
        <v>842.19858156028374</v>
      </c>
      <c r="J109" s="15">
        <v>67350</v>
      </c>
      <c r="K109" s="32">
        <f t="shared" ref="K109:K112" si="56">IF(ISNUMBER(J109), (J109 - $B109) / $B109, "")</f>
        <v>-4.8758865248226951E-3</v>
      </c>
      <c r="L109" s="18">
        <f>IF(ISNUMBER(J109), $B118 * K109, "")</f>
        <v>-487.58865248226954</v>
      </c>
      <c r="M109" s="31">
        <v>67160</v>
      </c>
      <c r="N109" s="32">
        <f t="shared" ref="N109:N112" si="57">IF(ISNUMBER(M109), (M109 - $B109) / $B109, "")</f>
        <v>-7.6832151300236405E-3</v>
      </c>
      <c r="O109" s="18">
        <f>IF(ISNUMBER(M109), $B118 * N109, "")</f>
        <v>-768.3215130023641</v>
      </c>
      <c r="Q109" s="256"/>
      <c r="R109" s="257"/>
      <c r="S109" s="258"/>
    </row>
    <row r="110" spans="1:19" ht="17.25" thickBot="1">
      <c r="A110" s="125" t="s">
        <v>116</v>
      </c>
      <c r="B110" s="126">
        <v>6880</v>
      </c>
      <c r="C110" s="77">
        <v>4.0847201200000002E-2</v>
      </c>
      <c r="D110" s="15">
        <v>6840</v>
      </c>
      <c r="E110" s="32">
        <f t="shared" si="54"/>
        <v>-5.8139534883720929E-3</v>
      </c>
      <c r="F110" s="18">
        <f>IF(ISNUMBER(D110), $B118 * E110, "")</f>
        <v>-581.39534883720933</v>
      </c>
      <c r="G110" s="31">
        <v>7045</v>
      </c>
      <c r="H110" s="32">
        <f t="shared" si="55"/>
        <v>2.3982558139534885E-2</v>
      </c>
      <c r="I110" s="101">
        <f>IF(ISNUMBER(G110), $B118 * H110, "")</f>
        <v>2398.2558139534885</v>
      </c>
      <c r="J110" s="15">
        <v>6975</v>
      </c>
      <c r="K110" s="32">
        <f t="shared" si="56"/>
        <v>1.3808139534883721E-2</v>
      </c>
      <c r="L110" s="18">
        <f>IF(ISNUMBER(J110), $B118 * K110, "")</f>
        <v>1380.8139534883721</v>
      </c>
      <c r="M110" s="31">
        <v>6890</v>
      </c>
      <c r="N110" s="32">
        <f t="shared" si="57"/>
        <v>1.4534883720930232E-3</v>
      </c>
      <c r="O110" s="18">
        <f>IF(ISNUMBER(M110), $B118 * N110, "")</f>
        <v>145.34883720930233</v>
      </c>
      <c r="Q110" s="241"/>
      <c r="R110" s="241"/>
      <c r="S110" s="241"/>
    </row>
    <row r="111" spans="1:19" ht="17.25" thickBot="1">
      <c r="A111" s="125" t="s">
        <v>132</v>
      </c>
      <c r="B111" s="126">
        <v>105</v>
      </c>
      <c r="C111" s="77">
        <v>3.9603960399999999E-2</v>
      </c>
      <c r="D111" s="15">
        <v>107</v>
      </c>
      <c r="E111" s="32">
        <f t="shared" si="54"/>
        <v>1.9047619047619049E-2</v>
      </c>
      <c r="F111" s="18">
        <f>IF(ISNUMBER(D111), $B118 * E111, "")</f>
        <v>1904.761904761905</v>
      </c>
      <c r="G111" s="31">
        <v>109</v>
      </c>
      <c r="H111" s="32">
        <f t="shared" si="55"/>
        <v>3.8095238095238099E-2</v>
      </c>
      <c r="I111" s="101">
        <f>IF(ISNUMBER(G111), $B118 * H111, "")</f>
        <v>3809.5238095238101</v>
      </c>
      <c r="J111" s="15">
        <v>112</v>
      </c>
      <c r="K111" s="32">
        <f t="shared" si="56"/>
        <v>6.6666666666666666E-2</v>
      </c>
      <c r="L111" s="18">
        <f>IF(ISNUMBER(J111), $B118 * K111, "")</f>
        <v>6666.666666666667</v>
      </c>
      <c r="M111" s="31">
        <v>110</v>
      </c>
      <c r="N111" s="32">
        <f t="shared" si="57"/>
        <v>4.7619047619047616E-2</v>
      </c>
      <c r="O111" s="18">
        <f>IF(ISNUMBER(M111), $B118 * N111, "")</f>
        <v>4761.9047619047615</v>
      </c>
      <c r="Q111" s="236"/>
      <c r="R111" s="236"/>
      <c r="S111" s="236"/>
    </row>
    <row r="112" spans="1:19" ht="17.25" thickBot="1">
      <c r="A112" s="127" t="s">
        <v>180</v>
      </c>
      <c r="B112" s="128">
        <v>12320</v>
      </c>
      <c r="C112" s="78">
        <v>3.8785834700000001E-2</v>
      </c>
      <c r="D112" s="20">
        <v>12090</v>
      </c>
      <c r="E112" s="21">
        <f t="shared" si="54"/>
        <v>-1.8668831168831168E-2</v>
      </c>
      <c r="F112" s="22">
        <f>IF(ISNUMBER(D112), $B118 * E112, "")</f>
        <v>-1866.8831168831168</v>
      </c>
      <c r="G112" s="30">
        <v>12240</v>
      </c>
      <c r="H112" s="21">
        <f t="shared" si="55"/>
        <v>-6.4935064935064939E-3</v>
      </c>
      <c r="I112" s="105">
        <f>IF(ISNUMBER(G112), $B118 * H112, "")</f>
        <v>-649.35064935064941</v>
      </c>
      <c r="J112" s="20">
        <v>12010</v>
      </c>
      <c r="K112" s="21">
        <f t="shared" si="56"/>
        <v>-2.5162337662337664E-2</v>
      </c>
      <c r="L112" s="22">
        <f>IF(ISNUMBER(J112), $B118 * K112, "")</f>
        <v>-2516.2337662337663</v>
      </c>
      <c r="M112" s="30">
        <v>12010</v>
      </c>
      <c r="N112" s="21">
        <f t="shared" si="57"/>
        <v>-2.5162337662337664E-2</v>
      </c>
      <c r="O112" s="22">
        <f>IF(ISNUMBER(M112), $B118 * N112, "")</f>
        <v>-2516.2337662337663</v>
      </c>
      <c r="Q112" s="236"/>
      <c r="R112" s="236"/>
      <c r="S112" s="236"/>
    </row>
    <row r="113" spans="1:19" ht="17.25" thickBot="1">
      <c r="A113" s="125" t="s">
        <v>74</v>
      </c>
      <c r="B113" s="129">
        <v>15840</v>
      </c>
      <c r="C113" s="80">
        <v>3.8688524600000003E-2</v>
      </c>
      <c r="D113" s="106">
        <v>15750</v>
      </c>
      <c r="E113" s="107">
        <f>IF(ISNUMBER(D113), (D113 - $B113) / $B113, "")</f>
        <v>-5.681818181818182E-3</v>
      </c>
      <c r="F113" s="108">
        <f>IF(ISNUMBER(D113), $B118 * E113, "")</f>
        <v>-568.18181818181824</v>
      </c>
      <c r="G113" s="109">
        <v>16360</v>
      </c>
      <c r="H113" s="107">
        <f>IF(ISNUMBER(G113), (G113 - $B113) / $B113, "")</f>
        <v>3.2828282828282832E-2</v>
      </c>
      <c r="I113" s="110">
        <f>IF(ISNUMBER(G113), $B118 * H113, "")</f>
        <v>3282.8282828282831</v>
      </c>
      <c r="J113" s="106">
        <v>16200</v>
      </c>
      <c r="K113" s="107">
        <f>IF(ISNUMBER(J113), (J113 - $B113) / $B113, "")</f>
        <v>2.2727272727272728E-2</v>
      </c>
      <c r="L113" s="108">
        <f>IF(ISNUMBER(J113), $B118 * K113, "")</f>
        <v>2272.727272727273</v>
      </c>
      <c r="M113" s="109">
        <v>15880</v>
      </c>
      <c r="N113" s="107">
        <f>IF(ISNUMBER(M113), (M113 - $B113) / $B113, "")</f>
        <v>2.5252525252525255E-3</v>
      </c>
      <c r="O113" s="108">
        <f>IF(ISNUMBER(M113), $B118 * N113, "")</f>
        <v>252.52525252525254</v>
      </c>
      <c r="Q113" s="241"/>
      <c r="R113" s="241"/>
      <c r="S113" s="241"/>
    </row>
    <row r="114" spans="1:19" ht="17.25" thickBot="1">
      <c r="A114" s="125" t="s">
        <v>76</v>
      </c>
      <c r="B114" s="126">
        <v>27770</v>
      </c>
      <c r="C114" s="77">
        <v>3.6967886499999998E-2</v>
      </c>
      <c r="D114" s="15">
        <v>27560</v>
      </c>
      <c r="E114" s="32">
        <f t="shared" ref="E114:E117" si="58">IF(ISNUMBER(D114), (D114 - $B114) / $B114, "")</f>
        <v>-7.562117392870004E-3</v>
      </c>
      <c r="F114" s="18">
        <f>IF(ISNUMBER(D114), $B118 * E114, "")</f>
        <v>-756.21173928700046</v>
      </c>
      <c r="G114" s="31">
        <v>28180</v>
      </c>
      <c r="H114" s="32">
        <f t="shared" ref="H114:H117" si="59">IF(ISNUMBER(G114), (G114 - $B114) / $B114, "")</f>
        <v>1.4764133957508103E-2</v>
      </c>
      <c r="I114" s="101">
        <f>IF(ISNUMBER(G114), $B118 * H114, "")</f>
        <v>1476.4133957508102</v>
      </c>
      <c r="J114" s="15">
        <v>27980</v>
      </c>
      <c r="K114" s="32">
        <f t="shared" ref="K114:K117" si="60">IF(ISNUMBER(J114), (J114 - $B114) / $B114, "")</f>
        <v>7.562117392870004E-3</v>
      </c>
      <c r="L114" s="18">
        <f>IF(ISNUMBER(J114), $B118 * K114, "")</f>
        <v>756.21173928700046</v>
      </c>
      <c r="M114" s="31">
        <v>28190</v>
      </c>
      <c r="N114" s="32">
        <f t="shared" ref="N114:N117" si="61">IF(ISNUMBER(M114), (M114 - $B114) / $B114, "")</f>
        <v>1.5124234785740008E-2</v>
      </c>
      <c r="O114" s="18">
        <f>IF(ISNUMBER(M114), $B118 * N114, "")</f>
        <v>1512.4234785740009</v>
      </c>
      <c r="Q114" s="241"/>
      <c r="R114" s="241"/>
      <c r="S114" s="241"/>
    </row>
    <row r="115" spans="1:19" ht="17.25" thickBot="1">
      <c r="A115" s="125" t="s">
        <v>51</v>
      </c>
      <c r="B115" s="126">
        <v>345</v>
      </c>
      <c r="C115" s="77">
        <v>3.6036036E-2</v>
      </c>
      <c r="D115" s="15">
        <v>344</v>
      </c>
      <c r="E115" s="32">
        <f t="shared" si="58"/>
        <v>-2.8985507246376812E-3</v>
      </c>
      <c r="F115" s="18">
        <f>IF(ISNUMBER(D115), $B118 * E115, "")</f>
        <v>-289.85507246376812</v>
      </c>
      <c r="G115" s="31">
        <v>349</v>
      </c>
      <c r="H115" s="32">
        <f t="shared" si="59"/>
        <v>1.1594202898550725E-2</v>
      </c>
      <c r="I115" s="101">
        <f>IF(ISNUMBER(G115), $B118 * H115, "")</f>
        <v>1159.4202898550725</v>
      </c>
      <c r="J115" s="15">
        <v>351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348</v>
      </c>
      <c r="N115" s="32">
        <f t="shared" si="61"/>
        <v>8.6956521739130436E-3</v>
      </c>
      <c r="O115" s="18">
        <f>IF(ISNUMBER(M115), $B118 * N115, "")</f>
        <v>869.56521739130437</v>
      </c>
      <c r="Q115" s="241"/>
      <c r="R115" s="241"/>
      <c r="S115" s="241"/>
    </row>
    <row r="116" spans="1:19">
      <c r="A116" s="125" t="s">
        <v>266</v>
      </c>
      <c r="B116" s="126">
        <v>290</v>
      </c>
      <c r="C116" s="77">
        <v>3.5714285700000001E-2</v>
      </c>
      <c r="D116" s="15">
        <v>291</v>
      </c>
      <c r="E116" s="32">
        <f t="shared" si="58"/>
        <v>3.4482758620689655E-3</v>
      </c>
      <c r="F116" s="18">
        <f>IF(ISNUMBER(D116), $B118 * E116, "")</f>
        <v>344.82758620689657</v>
      </c>
      <c r="G116" s="31">
        <v>297</v>
      </c>
      <c r="H116" s="32">
        <f t="shared" si="59"/>
        <v>2.4137931034482758E-2</v>
      </c>
      <c r="I116" s="101">
        <f>IF(ISNUMBER(G116), $B118 * H116, "")</f>
        <v>2413.7931034482758</v>
      </c>
      <c r="J116" s="15">
        <v>288</v>
      </c>
      <c r="K116" s="32">
        <f t="shared" si="60"/>
        <v>-6.8965517241379309E-3</v>
      </c>
      <c r="L116" s="18">
        <f>IF(ISNUMBER(J116), $B118 * K116, "")</f>
        <v>-689.65517241379314</v>
      </c>
      <c r="M116" s="31">
        <v>289</v>
      </c>
      <c r="N116" s="32">
        <f t="shared" si="61"/>
        <v>-3.4482758620689655E-3</v>
      </c>
      <c r="O116" s="18">
        <f>IF(ISNUMBER(M116), $B118 * N116, "")</f>
        <v>-344.82758620689657</v>
      </c>
      <c r="Q116" s="263"/>
      <c r="R116" s="264"/>
      <c r="S116" s="265"/>
    </row>
    <row r="117" spans="1:19" ht="17.25" thickBot="1">
      <c r="A117" s="130" t="s">
        <v>134</v>
      </c>
      <c r="B117" s="131">
        <v>23610</v>
      </c>
      <c r="C117" s="79">
        <v>3.55263158E-2</v>
      </c>
      <c r="D117" s="24">
        <v>23520</v>
      </c>
      <c r="E117" s="25">
        <f t="shared" si="58"/>
        <v>-3.8119440914866584E-3</v>
      </c>
      <c r="F117" s="104">
        <f>IF(ISNUMBER(D117), $B118 * E117, "")</f>
        <v>-381.19440914866584</v>
      </c>
      <c r="G117" s="102">
        <v>23880</v>
      </c>
      <c r="H117" s="25">
        <f t="shared" si="59"/>
        <v>1.1435832274459974E-2</v>
      </c>
      <c r="I117" s="103">
        <f>IF(ISNUMBER(G117), $B118 * H117, "")</f>
        <v>1143.5832274459974</v>
      </c>
      <c r="J117" s="24">
        <v>23590</v>
      </c>
      <c r="K117" s="25">
        <f t="shared" si="60"/>
        <v>-8.4709868699703512E-4</v>
      </c>
      <c r="L117" s="104">
        <f>IF(ISNUMBER(J117), $B118 * K117, "")</f>
        <v>-84.709868699703506</v>
      </c>
      <c r="M117" s="102">
        <v>23740</v>
      </c>
      <c r="N117" s="25">
        <f t="shared" si="61"/>
        <v>5.5061414654807286E-3</v>
      </c>
      <c r="O117" s="104">
        <f>IF(ISNUMBER(M117), $B118 * N117, "")</f>
        <v>550.61414654807288</v>
      </c>
      <c r="Q117" s="266"/>
      <c r="R117" s="267"/>
      <c r="S117" s="268"/>
    </row>
    <row r="118" spans="1:19" ht="17.25" thickBot="1">
      <c r="A118" s="132" t="s">
        <v>270</v>
      </c>
      <c r="B118" s="274">
        <f>$B$37</f>
        <v>100000</v>
      </c>
      <c r="C118" s="275"/>
      <c r="D118" s="26" t="s">
        <v>271</v>
      </c>
      <c r="E118" s="27">
        <f>IF(COUNT(E98:E117), SUM(E98:E117) / COUNT(E98:E117), 0)</f>
        <v>4.0374676491006806E-3</v>
      </c>
      <c r="F118" s="28">
        <f>SUM(F98:F117)</f>
        <v>8074.9352982013606</v>
      </c>
      <c r="G118" s="26" t="s">
        <v>271</v>
      </c>
      <c r="H118" s="27">
        <f>IF(COUNT(H98:H117), SUM(H98:H117) / COUNT(H98:H117), 0)</f>
        <v>2.0342240212592646E-2</v>
      </c>
      <c r="I118" s="28">
        <f>SUM(I98:I117)</f>
        <v>40684.480425185291</v>
      </c>
      <c r="J118" s="26" t="s">
        <v>271</v>
      </c>
      <c r="K118" s="27">
        <f>IF(COUNT(K98:K117), SUM(K98:K117) / COUNT(K98:K117), 0)</f>
        <v>8.587716591680318E-3</v>
      </c>
      <c r="L118" s="28">
        <f>SUM(L98:L117)</f>
        <v>17175.433183360637</v>
      </c>
      <c r="M118" s="26" t="s">
        <v>271</v>
      </c>
      <c r="N118" s="27">
        <f>IF(COUNT(N98:N117), SUM(N98:N117) / COUNT(N98:N117), 0)</f>
        <v>2.4538203166743341E-3</v>
      </c>
      <c r="O118" s="28">
        <f>SUM(O98:O117)</f>
        <v>4907.6406333486693</v>
      </c>
      <c r="Q118" s="269"/>
      <c r="R118" s="270"/>
      <c r="S118" s="27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36"/>
      <c r="R121" s="236"/>
      <c r="S121" s="236"/>
    </row>
    <row r="122" spans="1:19" ht="17.25" thickBot="1">
      <c r="A122" s="193" t="s">
        <v>267</v>
      </c>
      <c r="B122" s="215" t="s">
        <v>49</v>
      </c>
      <c r="C122" s="217"/>
      <c r="D122" s="215" t="s">
        <v>58</v>
      </c>
      <c r="E122" s="216"/>
      <c r="F122" s="217"/>
      <c r="G122" s="242">
        <f>_xlfn.IFNA(VLOOKUP(B122, 현재가테이블!$B$2:$D$200, 2, FALSE), "-")</f>
        <v>53976000</v>
      </c>
      <c r="H122" s="243"/>
      <c r="I122" s="244"/>
      <c r="J122" s="215" t="s">
        <v>59</v>
      </c>
      <c r="K122" s="216"/>
      <c r="L122" s="217"/>
      <c r="M122" s="245">
        <f>_xlfn.IFNA(VLOOKUP(B122, 현재가테이블!$B$2:$D$200, 3, FALSE), "-")</f>
        <v>-2.1216407400000001E-2</v>
      </c>
      <c r="N122" s="246"/>
      <c r="O122" s="247"/>
      <c r="Q122" s="236"/>
      <c r="R122" s="236"/>
      <c r="S122" s="236"/>
    </row>
    <row r="123" spans="1:19" ht="17.25" thickBot="1">
      <c r="A123" s="276" t="s">
        <v>55</v>
      </c>
      <c r="B123" s="278" t="str">
        <f>TEXT($G$1, "[$-ko-KR]yyyy-mm-dd(ddd) ") &amp; "오전 00:00"</f>
        <v>2021-08-10(화) 오전 00:00</v>
      </c>
      <c r="C123" s="279"/>
      <c r="D123" s="238" t="str">
        <f>TEXT($G$1, "[$-ko-KR]yyyy-mm-dd(ddd) ") &amp; "오후 14:00"</f>
        <v>2021-08-10(화) 오후 14:00</v>
      </c>
      <c r="E123" s="239"/>
      <c r="F123" s="240"/>
      <c r="G123" s="238" t="str">
        <f>TEXT($G$1, "[$-ko-KR]yyyy-mm-dd(ddd) ") &amp; "오후 19:00"</f>
        <v>2021-08-10(화) 오후 19:00</v>
      </c>
      <c r="H123" s="239"/>
      <c r="I123" s="240"/>
      <c r="J123" s="238" t="str">
        <f>TEXT($G$1, "[$-ko-KR]yyyy-mm-dd(ddd) ") &amp; "오후 21:00"</f>
        <v>2021-08-10(화) 오후 21:00</v>
      </c>
      <c r="K123" s="239"/>
      <c r="L123" s="240"/>
      <c r="M123" s="238" t="str">
        <f>TEXT($G$1+1, "[$-ko-KR]yyyy-mm-dd(ddd) ") &amp; "오전 00:00"</f>
        <v>2021-08-11(수) 오전 00:00</v>
      </c>
      <c r="N123" s="239"/>
      <c r="O123" s="240"/>
      <c r="Q123" s="236"/>
      <c r="R123" s="236"/>
      <c r="S123" s="236"/>
    </row>
    <row r="124" spans="1:19" ht="17.25" thickBot="1">
      <c r="A124" s="27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1"/>
      <c r="R124" s="241"/>
      <c r="S124" s="241"/>
    </row>
    <row r="125" spans="1:19" ht="17.25" thickBot="1">
      <c r="A125" s="123" t="s">
        <v>240</v>
      </c>
      <c r="B125" s="124">
        <v>67</v>
      </c>
      <c r="C125" s="76">
        <v>6.1806656100000003E-2</v>
      </c>
      <c r="D125" s="13">
        <v>68.5</v>
      </c>
      <c r="E125" s="14">
        <f>IF(ISNUMBER(D125), (D125 - $B125) / $B125, "")</f>
        <v>2.2388059701492536E-2</v>
      </c>
      <c r="F125" s="16">
        <f>IF(ISNUMBER(D125), $B145 * E125, "")</f>
        <v>2238.8059701492534</v>
      </c>
      <c r="G125" s="29">
        <v>67.8</v>
      </c>
      <c r="H125" s="14">
        <f>IF(ISNUMBER(G125), (G125 - $B125) / $B125, "")</f>
        <v>1.1940298507462643E-2</v>
      </c>
      <c r="I125" s="100">
        <f>IF(ISNUMBER(G125), $B145 * H125, "")</f>
        <v>1194.0298507462644</v>
      </c>
      <c r="J125" s="13">
        <v>66.2</v>
      </c>
      <c r="K125" s="14">
        <f>IF(ISNUMBER(J125), (J125 - $B125) / $B125, "")</f>
        <v>-1.1940298507462643E-2</v>
      </c>
      <c r="L125" s="16">
        <f>IF(ISNUMBER(J125), $B145 * K125, "")</f>
        <v>-1194.0298507462644</v>
      </c>
      <c r="M125" s="29">
        <v>66.900000000000006</v>
      </c>
      <c r="N125" s="14">
        <f>IF(ISNUMBER(M125), (M125 - $B125) / $B125, "")</f>
        <v>-1.4925373134327511E-3</v>
      </c>
      <c r="O125" s="16">
        <f>IF(ISNUMBER(M125), $B145 * N125, "")</f>
        <v>-149.25373134327509</v>
      </c>
      <c r="Q125" s="236"/>
      <c r="R125" s="236"/>
      <c r="S125" s="236"/>
    </row>
    <row r="126" spans="1:19" ht="17.25" thickBot="1">
      <c r="A126" s="125" t="s">
        <v>98</v>
      </c>
      <c r="B126" s="126">
        <v>4.41</v>
      </c>
      <c r="C126" s="77">
        <v>2.3201856100000001E-2</v>
      </c>
      <c r="D126" s="15">
        <v>4.4000000000000004</v>
      </c>
      <c r="E126" s="32">
        <f t="shared" ref="E126:E129" si="62">IF(ISNUMBER(D126), (D126 - $B126) / $B126, "")</f>
        <v>-2.2675736961450762E-3</v>
      </c>
      <c r="F126" s="18">
        <f>IF(ISNUMBER(D126), $B145 * E126, "")</f>
        <v>-226.75736961450761</v>
      </c>
      <c r="G126" s="31">
        <v>4.45</v>
      </c>
      <c r="H126" s="32">
        <f t="shared" ref="H126:H129" si="63">IF(ISNUMBER(G126), (G126 - $B126) / $B126, "")</f>
        <v>9.070294784580506E-3</v>
      </c>
      <c r="I126" s="101">
        <f>IF(ISNUMBER(G126), $B145 * H126, "")</f>
        <v>907.02947845805056</v>
      </c>
      <c r="J126" s="15">
        <v>4.3899999999999997</v>
      </c>
      <c r="K126" s="32">
        <f t="shared" ref="K126:K129" si="64">IF(ISNUMBER(J126), (J126 - $B126) / $B126, "")</f>
        <v>-4.5351473922903536E-3</v>
      </c>
      <c r="L126" s="18">
        <f>IF(ISNUMBER(J126), $B145 * K126, "")</f>
        <v>-453.51473922903534</v>
      </c>
      <c r="M126" s="31">
        <v>4.3899999999999997</v>
      </c>
      <c r="N126" s="32">
        <f t="shared" ref="N126:N129" si="65">IF(ISNUMBER(M126), (M126 - $B126) / $B126, "")</f>
        <v>-4.5351473922903536E-3</v>
      </c>
      <c r="O126" s="18">
        <f>IF(ISNUMBER(M126), $B145 * N126, "")</f>
        <v>-453.51473922903534</v>
      </c>
      <c r="Q126" s="236"/>
      <c r="R126" s="236"/>
      <c r="S126" s="236"/>
    </row>
    <row r="127" spans="1:19" ht="17.25" thickBot="1">
      <c r="A127" s="125" t="s">
        <v>150</v>
      </c>
      <c r="B127" s="126">
        <v>12.7</v>
      </c>
      <c r="C127" s="77">
        <v>1.6E-2</v>
      </c>
      <c r="D127" s="15">
        <v>12.7</v>
      </c>
      <c r="E127" s="32">
        <f t="shared" si="62"/>
        <v>0</v>
      </c>
      <c r="F127" s="18">
        <f>IF(ISNUMBER(D127), $B145 * E127, "")</f>
        <v>0</v>
      </c>
      <c r="G127" s="31">
        <v>12.7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-7.8740157480314682E-3</v>
      </c>
      <c r="L127" s="18">
        <f>IF(ISNUMBER(J127), $B145 * K127, "")</f>
        <v>-787.40157480314679</v>
      </c>
      <c r="M127" s="31">
        <v>12.6</v>
      </c>
      <c r="N127" s="32">
        <f t="shared" si="65"/>
        <v>-7.8740157480314682E-3</v>
      </c>
      <c r="O127" s="18">
        <f>IF(ISNUMBER(M127), $B145 * N127, "")</f>
        <v>-787.40157480314679</v>
      </c>
      <c r="Q127" s="241"/>
      <c r="R127" s="241"/>
      <c r="S127" s="241"/>
    </row>
    <row r="128" spans="1:19" ht="17.25" thickBot="1">
      <c r="A128" s="125" t="s">
        <v>65</v>
      </c>
      <c r="B128" s="126">
        <v>31.6</v>
      </c>
      <c r="C128" s="77">
        <v>1.2820512799999999E-2</v>
      </c>
      <c r="D128" s="15">
        <v>32.299999999999997</v>
      </c>
      <c r="E128" s="32">
        <f t="shared" si="62"/>
        <v>2.215189873417708E-2</v>
      </c>
      <c r="F128" s="18">
        <f>IF(ISNUMBER(D128), $B145 * E128, "")</f>
        <v>2215.189873417708</v>
      </c>
      <c r="G128" s="31">
        <v>33</v>
      </c>
      <c r="H128" s="32">
        <f t="shared" si="63"/>
        <v>4.4303797468354382E-2</v>
      </c>
      <c r="I128" s="101">
        <f>IF(ISNUMBER(G128), $B145 * H128, "")</f>
        <v>4430.3797468354378</v>
      </c>
      <c r="J128" s="15">
        <v>32.4</v>
      </c>
      <c r="K128" s="32">
        <f t="shared" si="64"/>
        <v>2.5316455696202441E-2</v>
      </c>
      <c r="L128" s="18">
        <f>IF(ISNUMBER(J128), $B145 * K128, "")</f>
        <v>2531.6455696202443</v>
      </c>
      <c r="M128" s="31">
        <v>32.1</v>
      </c>
      <c r="N128" s="32">
        <f t="shared" si="65"/>
        <v>1.582278481012658E-2</v>
      </c>
      <c r="O128" s="18">
        <f>IF(ISNUMBER(M128), $B145 * N128, "")</f>
        <v>1582.2784810126579</v>
      </c>
      <c r="Q128" s="241"/>
      <c r="R128" s="241"/>
      <c r="S128" s="241"/>
    </row>
    <row r="129" spans="1:19" ht="17.25" thickBot="1">
      <c r="A129" s="127" t="s">
        <v>152</v>
      </c>
      <c r="B129" s="128">
        <v>84.3</v>
      </c>
      <c r="C129" s="78">
        <v>9.5808383E-3</v>
      </c>
      <c r="D129" s="20">
        <v>85</v>
      </c>
      <c r="E129" s="21">
        <f t="shared" si="62"/>
        <v>8.3036773428232843E-3</v>
      </c>
      <c r="F129" s="22">
        <f>IF(ISNUMBER(D129), $B145 * E129, "")</f>
        <v>830.36773428232846</v>
      </c>
      <c r="G129" s="30">
        <v>85.5</v>
      </c>
      <c r="H129" s="21">
        <f t="shared" si="63"/>
        <v>1.4234875444839892E-2</v>
      </c>
      <c r="I129" s="105">
        <f>IF(ISNUMBER(G129), $B145 * H129, "")</f>
        <v>1423.4875444839893</v>
      </c>
      <c r="J129" s="20">
        <v>85.4</v>
      </c>
      <c r="K129" s="21">
        <f t="shared" si="64"/>
        <v>1.3048635824436638E-2</v>
      </c>
      <c r="L129" s="22">
        <f>IF(ISNUMBER(J129), $B145 * K129, "")</f>
        <v>1304.8635824436637</v>
      </c>
      <c r="M129" s="30">
        <v>84.7</v>
      </c>
      <c r="N129" s="21">
        <f t="shared" si="65"/>
        <v>4.7449584816133539E-3</v>
      </c>
      <c r="O129" s="22">
        <f>IF(ISNUMBER(M129), $B145 * N129, "")</f>
        <v>474.4958481613354</v>
      </c>
      <c r="Q129" s="241"/>
      <c r="R129" s="241"/>
      <c r="S129" s="241"/>
    </row>
    <row r="130" spans="1:19" ht="17.25" thickBot="1">
      <c r="A130" s="125" t="s">
        <v>208</v>
      </c>
      <c r="B130" s="129">
        <v>13.6</v>
      </c>
      <c r="C130" s="80">
        <v>7.4074073999999997E-3</v>
      </c>
      <c r="D130" s="106">
        <v>13.3</v>
      </c>
      <c r="E130" s="107">
        <f>IF(ISNUMBER(D130), (D130 - $B130) / $B130, "")</f>
        <v>-2.2058823529411686E-2</v>
      </c>
      <c r="F130" s="108">
        <f>IF(ISNUMBER(D130), $B145 * E130, "")</f>
        <v>-2205.8823529411688</v>
      </c>
      <c r="G130" s="109">
        <v>13.4</v>
      </c>
      <c r="H130" s="107">
        <f>IF(ISNUMBER(G130), (G130 - $B130) / $B130, "")</f>
        <v>-1.4705882352941124E-2</v>
      </c>
      <c r="I130" s="110">
        <f>IF(ISNUMBER(G130), $B145 * H130, "")</f>
        <v>-1470.5882352941123</v>
      </c>
      <c r="J130" s="106">
        <v>13.3</v>
      </c>
      <c r="K130" s="107">
        <f>IF(ISNUMBER(J130), (J130 - $B130) / $B130, "")</f>
        <v>-2.2058823529411686E-2</v>
      </c>
      <c r="L130" s="108">
        <f>IF(ISNUMBER(J130), $B145 * K130, "")</f>
        <v>-2205.8823529411688</v>
      </c>
      <c r="M130" s="109">
        <v>13.3</v>
      </c>
      <c r="N130" s="107">
        <f>IF(ISNUMBER(M130), (M130 - $B130) / $B130, "")</f>
        <v>-2.2058823529411686E-2</v>
      </c>
      <c r="O130" s="108">
        <f>IF(ISNUMBER(M130), $B145 * N130, "")</f>
        <v>-2205.8823529411688</v>
      </c>
      <c r="Q130" s="241"/>
      <c r="R130" s="241"/>
      <c r="S130" s="241"/>
    </row>
    <row r="131" spans="1:19" ht="17.25" thickBot="1">
      <c r="A131" s="125" t="s">
        <v>148</v>
      </c>
      <c r="B131" s="126">
        <v>19.2</v>
      </c>
      <c r="C131" s="77">
        <v>5.2356021000000003E-3</v>
      </c>
      <c r="D131" s="15">
        <v>19.399999999999999</v>
      </c>
      <c r="E131" s="32">
        <f t="shared" ref="E131:E134" si="66">IF(ISNUMBER(D131), (D131 - $B131) / $B131, "")</f>
        <v>1.041666666666663E-2</v>
      </c>
      <c r="F131" s="18">
        <f>IF(ISNUMBER(D131), $B145 * E131, "")</f>
        <v>1041.6666666666629</v>
      </c>
      <c r="G131" s="31">
        <v>19.7</v>
      </c>
      <c r="H131" s="32">
        <f t="shared" ref="H131:H134" si="67">IF(ISNUMBER(G131), (G131 - $B131) / $B131, "")</f>
        <v>2.6041666666666668E-2</v>
      </c>
      <c r="I131" s="101">
        <f>IF(ISNUMBER(G131), $B145 * H131, "")</f>
        <v>2604.166666666667</v>
      </c>
      <c r="J131" s="15">
        <v>19.3</v>
      </c>
      <c r="K131" s="32">
        <f t="shared" ref="K131:K134" si="68">IF(ISNUMBER(J131), (J131 - $B131) / $B131, "")</f>
        <v>5.2083333333334076E-3</v>
      </c>
      <c r="L131" s="18">
        <f>IF(ISNUMBER(J131), $B145 * K131, "")</f>
        <v>520.83333333334076</v>
      </c>
      <c r="M131" s="31">
        <v>19.3</v>
      </c>
      <c r="N131" s="32">
        <f t="shared" ref="N131:N134" si="69">IF(ISNUMBER(M131), (M131 - $B131) / $B131, "")</f>
        <v>5.2083333333334076E-3</v>
      </c>
      <c r="O131" s="18">
        <f>IF(ISNUMBER(M131), $B145 * N131, "")</f>
        <v>520.83333333334076</v>
      </c>
      <c r="Q131" s="241"/>
      <c r="R131" s="241"/>
      <c r="S131" s="241"/>
    </row>
    <row r="132" spans="1:19" ht="17.25" thickBot="1">
      <c r="A132" s="125" t="s">
        <v>188</v>
      </c>
      <c r="B132" s="126">
        <v>12</v>
      </c>
      <c r="C132" s="77">
        <v>0</v>
      </c>
      <c r="D132" s="15">
        <v>12.3</v>
      </c>
      <c r="E132" s="32">
        <f t="shared" si="66"/>
        <v>2.500000000000006E-2</v>
      </c>
      <c r="F132" s="18">
        <f>IF(ISNUMBER(D132), $B145 * E132, "")</f>
        <v>2500.0000000000059</v>
      </c>
      <c r="G132" s="31">
        <v>12.3</v>
      </c>
      <c r="H132" s="32">
        <f t="shared" si="67"/>
        <v>2.500000000000006E-2</v>
      </c>
      <c r="I132" s="101">
        <f>IF(ISNUMBER(G132), $B145 * H132, "")</f>
        <v>2500.0000000000059</v>
      </c>
      <c r="J132" s="15">
        <v>12.3</v>
      </c>
      <c r="K132" s="32">
        <f t="shared" si="68"/>
        <v>2.500000000000006E-2</v>
      </c>
      <c r="L132" s="18">
        <f>IF(ISNUMBER(J132), $B145 * K132, "")</f>
        <v>2500.0000000000059</v>
      </c>
      <c r="M132" s="31">
        <v>12.3</v>
      </c>
      <c r="N132" s="32">
        <f t="shared" si="69"/>
        <v>2.500000000000006E-2</v>
      </c>
      <c r="O132" s="18">
        <f>IF(ISNUMBER(M132), $B145 * N132, "")</f>
        <v>2500.0000000000059</v>
      </c>
      <c r="Q132" s="241"/>
      <c r="R132" s="241"/>
      <c r="S132" s="241"/>
    </row>
    <row r="133" spans="1:19" ht="17.25" thickBot="1">
      <c r="A133" s="125" t="s">
        <v>216</v>
      </c>
      <c r="B133" s="126">
        <v>10.6</v>
      </c>
      <c r="C133" s="77">
        <v>0</v>
      </c>
      <c r="D133" s="15">
        <v>10.4</v>
      </c>
      <c r="E133" s="32">
        <f t="shared" si="66"/>
        <v>-1.886792452830182E-2</v>
      </c>
      <c r="F133" s="18">
        <f>IF(ISNUMBER(D133), $B145 * E133, "")</f>
        <v>-1886.7924528301821</v>
      </c>
      <c r="G133" s="31">
        <v>10.6</v>
      </c>
      <c r="H133" s="32">
        <f t="shared" si="67"/>
        <v>0</v>
      </c>
      <c r="I133" s="101">
        <f>IF(ISNUMBER(G133), $B145 * H133, "")</f>
        <v>0</v>
      </c>
      <c r="J133" s="15">
        <v>10.4</v>
      </c>
      <c r="K133" s="32">
        <f t="shared" si="68"/>
        <v>-1.886792452830182E-2</v>
      </c>
      <c r="L133" s="18">
        <f>IF(ISNUMBER(J133), $B145 * K133, "")</f>
        <v>-1886.7924528301821</v>
      </c>
      <c r="M133" s="31">
        <v>10.5</v>
      </c>
      <c r="N133" s="32">
        <f t="shared" si="69"/>
        <v>-9.4339622641509101E-3</v>
      </c>
      <c r="O133" s="18">
        <f>IF(ISNUMBER(M133), $B145 * N133, "")</f>
        <v>-943.39622641509106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-4.4843048999999996E-3</v>
      </c>
      <c r="D134" s="24">
        <v>22.1</v>
      </c>
      <c r="E134" s="25">
        <f t="shared" si="66"/>
        <v>-4.5045045045044091E-3</v>
      </c>
      <c r="F134" s="104">
        <f>IF(ISNUMBER(D134), $B145 * E134, "")</f>
        <v>-450.45045045044088</v>
      </c>
      <c r="G134" s="102">
        <v>22.4</v>
      </c>
      <c r="H134" s="25">
        <f t="shared" si="67"/>
        <v>9.0090090090089777E-3</v>
      </c>
      <c r="I134" s="103">
        <f>IF(ISNUMBER(G134), $B145 * H134, "")</f>
        <v>900.9009009008978</v>
      </c>
      <c r="J134" s="24">
        <v>22.3</v>
      </c>
      <c r="K134" s="25">
        <f t="shared" si="68"/>
        <v>4.5045045045045687E-3</v>
      </c>
      <c r="L134" s="104">
        <f>IF(ISNUMBER(J134), $B145 * K134, "")</f>
        <v>450.45045045045686</v>
      </c>
      <c r="M134" s="102">
        <v>22.2</v>
      </c>
      <c r="N134" s="25">
        <f t="shared" si="69"/>
        <v>0</v>
      </c>
      <c r="O134" s="104">
        <f>IF(ISNUMBER(M134), $B145 * N134, "")</f>
        <v>0</v>
      </c>
      <c r="Q134" s="250"/>
      <c r="R134" s="251"/>
      <c r="S134" s="252"/>
    </row>
    <row r="135" spans="1:19">
      <c r="A135" s="123" t="s">
        <v>190</v>
      </c>
      <c r="B135" s="124">
        <v>17.100000000000001</v>
      </c>
      <c r="C135" s="76">
        <v>-5.8139534999999999E-3</v>
      </c>
      <c r="D135" s="13">
        <v>17.100000000000001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17.399999999999999</v>
      </c>
      <c r="H135" s="14">
        <f>IF(ISNUMBER(G135), (G135 - $B135) / $B135, "")</f>
        <v>1.754385964912264E-2</v>
      </c>
      <c r="I135" s="100">
        <f>IF(ISNUMBER(G135), $B145 * H135, "")</f>
        <v>1754.3859649122639</v>
      </c>
      <c r="J135" s="13">
        <v>17.100000000000001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17.100000000000001</v>
      </c>
      <c r="N135" s="14">
        <f>IF(ISNUMBER(M135), (M135 - $B135) / $B135, "")</f>
        <v>0</v>
      </c>
      <c r="O135" s="16">
        <f>IF(ISNUMBER(M135), $B145 * N135, "")</f>
        <v>0</v>
      </c>
      <c r="Q135" s="253"/>
      <c r="R135" s="254"/>
      <c r="S135" s="255"/>
    </row>
    <row r="136" spans="1:19" ht="17.25" thickBot="1">
      <c r="A136" s="125" t="s">
        <v>250</v>
      </c>
      <c r="B136" s="126">
        <v>68.2</v>
      </c>
      <c r="C136" s="77">
        <v>-7.2780203999999998E-3</v>
      </c>
      <c r="D136" s="15">
        <v>71.599999999999994</v>
      </c>
      <c r="E136" s="32">
        <f t="shared" ref="E136:E139" si="70">IF(ISNUMBER(D136), (D136 - $B136) / $B136, "")</f>
        <v>4.9853372434017468E-2</v>
      </c>
      <c r="F136" s="18">
        <f>IF(ISNUMBER(D136), $B145 * E136, "")</f>
        <v>4985.3372434017465</v>
      </c>
      <c r="G136" s="31">
        <v>72.599999999999994</v>
      </c>
      <c r="H136" s="32">
        <f t="shared" ref="H136:H139" si="71">IF(ISNUMBER(G136), (G136 - $B136) / $B136, "")</f>
        <v>6.4516129032257938E-2</v>
      </c>
      <c r="I136" s="101">
        <f>IF(ISNUMBER(G136), $B145 * H136, "")</f>
        <v>6451.6129032257941</v>
      </c>
      <c r="J136" s="15">
        <v>70.8</v>
      </c>
      <c r="K136" s="32">
        <f t="shared" ref="K136:K139" si="72">IF(ISNUMBER(J136), (J136 - $B136) / $B136, "")</f>
        <v>3.8123167155425138E-2</v>
      </c>
      <c r="L136" s="18">
        <f>IF(ISNUMBER(J136), $B145 * K136, "")</f>
        <v>3812.316715542514</v>
      </c>
      <c r="M136" s="31">
        <v>70</v>
      </c>
      <c r="N136" s="32">
        <f t="shared" ref="N136:N139" si="73">IF(ISNUMBER(M136), (M136 - $B136) / $B136, "")</f>
        <v>2.63929618768328E-2</v>
      </c>
      <c r="O136" s="18">
        <f>IF(ISNUMBER(M136), $B145 * N136, "")</f>
        <v>2639.2961876832801</v>
      </c>
      <c r="Q136" s="256"/>
      <c r="R136" s="257"/>
      <c r="S136" s="258"/>
    </row>
    <row r="137" spans="1:19" ht="17.25" thickBot="1">
      <c r="A137" s="125" t="s">
        <v>210</v>
      </c>
      <c r="B137" s="126">
        <v>11.5</v>
      </c>
      <c r="C137" s="77">
        <v>-8.6206896999999998E-3</v>
      </c>
      <c r="D137" s="15">
        <v>11.5</v>
      </c>
      <c r="E137" s="32">
        <f t="shared" si="70"/>
        <v>0</v>
      </c>
      <c r="F137" s="18">
        <f>IF(ISNUMBER(D137), $B145 * E137, "")</f>
        <v>0</v>
      </c>
      <c r="G137" s="31">
        <v>11.7</v>
      </c>
      <c r="H137" s="32">
        <f t="shared" si="71"/>
        <v>1.7391304347826025E-2</v>
      </c>
      <c r="I137" s="101">
        <f>IF(ISNUMBER(G137), $B145 * H137, "")</f>
        <v>1739.1304347826024</v>
      </c>
      <c r="J137" s="15">
        <v>11.6</v>
      </c>
      <c r="K137" s="32">
        <f t="shared" si="72"/>
        <v>8.6956521739130124E-3</v>
      </c>
      <c r="L137" s="18">
        <f>IF(ISNUMBER(J137), $B145 * K137, "")</f>
        <v>869.56521739130119</v>
      </c>
      <c r="M137" s="31">
        <v>11.6</v>
      </c>
      <c r="N137" s="32">
        <f t="shared" si="73"/>
        <v>8.6956521739130124E-3</v>
      </c>
      <c r="O137" s="18">
        <f>IF(ISNUMBER(M137), $B145 * N137, "")</f>
        <v>869.56521739130119</v>
      </c>
      <c r="Q137" s="241"/>
      <c r="R137" s="241"/>
      <c r="S137" s="241"/>
    </row>
    <row r="138" spans="1:19" ht="17.25" thickBot="1">
      <c r="A138" s="125" t="s">
        <v>234</v>
      </c>
      <c r="B138" s="126">
        <v>69.099999999999994</v>
      </c>
      <c r="C138" s="77">
        <v>-1.0028653300000001E-2</v>
      </c>
      <c r="D138" s="15">
        <v>70.5</v>
      </c>
      <c r="E138" s="32">
        <f t="shared" si="70"/>
        <v>2.0260492040521067E-2</v>
      </c>
      <c r="F138" s="18">
        <f>IF(ISNUMBER(D138), $B145 * E138, "")</f>
        <v>2026.0492040521067</v>
      </c>
      <c r="G138" s="31">
        <v>71.2</v>
      </c>
      <c r="H138" s="32">
        <f t="shared" si="71"/>
        <v>3.0390738060781602E-2</v>
      </c>
      <c r="I138" s="101">
        <f>IF(ISNUMBER(G138), $B145 * H138, "")</f>
        <v>3039.07380607816</v>
      </c>
      <c r="J138" s="15">
        <v>69.8</v>
      </c>
      <c r="K138" s="32">
        <f t="shared" si="72"/>
        <v>1.0130246020260534E-2</v>
      </c>
      <c r="L138" s="18">
        <f>IF(ISNUMBER(J138), $B145 * K138, "")</f>
        <v>1013.0246020260533</v>
      </c>
      <c r="M138" s="31">
        <v>70</v>
      </c>
      <c r="N138" s="32">
        <f t="shared" si="73"/>
        <v>1.3024602026049287E-2</v>
      </c>
      <c r="O138" s="18">
        <f>IF(ISNUMBER(M138), $B145 * N138, "")</f>
        <v>1302.4602026049288</v>
      </c>
      <c r="Q138" s="236"/>
      <c r="R138" s="236"/>
      <c r="S138" s="236"/>
    </row>
    <row r="139" spans="1:19" ht="17.25" thickBot="1">
      <c r="A139" s="127" t="s">
        <v>122</v>
      </c>
      <c r="B139" s="128">
        <v>29.3</v>
      </c>
      <c r="C139" s="78">
        <v>-1.01351351E-2</v>
      </c>
      <c r="D139" s="20">
        <v>31.1</v>
      </c>
      <c r="E139" s="21">
        <f t="shared" si="70"/>
        <v>6.1433447098976135E-2</v>
      </c>
      <c r="F139" s="22">
        <f>IF(ISNUMBER(D139), $B145 * E139, "")</f>
        <v>6143.3447098976139</v>
      </c>
      <c r="G139" s="30">
        <v>31.2</v>
      </c>
      <c r="H139" s="21">
        <f t="shared" si="71"/>
        <v>6.4846416382252511E-2</v>
      </c>
      <c r="I139" s="105">
        <f>IF(ISNUMBER(G139), $B145 * H139, "")</f>
        <v>6484.641638225251</v>
      </c>
      <c r="J139" s="20">
        <v>31.2</v>
      </c>
      <c r="K139" s="21">
        <f t="shared" si="72"/>
        <v>6.4846416382252511E-2</v>
      </c>
      <c r="L139" s="22">
        <f>IF(ISNUMBER(J139), $B145 * K139, "")</f>
        <v>6484.641638225251</v>
      </c>
      <c r="M139" s="30">
        <v>30.1</v>
      </c>
      <c r="N139" s="21">
        <f t="shared" si="73"/>
        <v>2.7303754266211629E-2</v>
      </c>
      <c r="O139" s="22">
        <f>IF(ISNUMBER(M139), $B145 * N139, "")</f>
        <v>2730.3754266211627</v>
      </c>
      <c r="Q139" s="236"/>
      <c r="R139" s="236"/>
      <c r="S139" s="236"/>
    </row>
    <row r="140" spans="1:19" ht="17.25" thickBot="1">
      <c r="A140" s="125" t="s">
        <v>202</v>
      </c>
      <c r="B140" s="129">
        <v>85.6</v>
      </c>
      <c r="C140" s="80">
        <v>-1.1547344100000001E-2</v>
      </c>
      <c r="D140" s="106">
        <v>85.9</v>
      </c>
      <c r="E140" s="107">
        <f>IF(ISNUMBER(D140), (D140 - $B140) / $B140, "")</f>
        <v>3.5046728971963948E-3</v>
      </c>
      <c r="F140" s="108">
        <f>IF(ISNUMBER(D140), $B145 * E140, "")</f>
        <v>350.4672897196395</v>
      </c>
      <c r="G140" s="109">
        <v>91.4</v>
      </c>
      <c r="H140" s="107">
        <f>IF(ISNUMBER(G140), (G140 - $B140) / $B140, "")</f>
        <v>6.7757009345794525E-2</v>
      </c>
      <c r="I140" s="110">
        <f>IF(ISNUMBER(G140), $B145 * H140, "")</f>
        <v>6775.7009345794522</v>
      </c>
      <c r="J140" s="106">
        <v>89.4</v>
      </c>
      <c r="K140" s="107">
        <f>IF(ISNUMBER(J140), (J140 - $B140) / $B140, "")</f>
        <v>4.4392523364486118E-2</v>
      </c>
      <c r="L140" s="108">
        <f>IF(ISNUMBER(J140), $B145 * K140, "")</f>
        <v>4439.2523364486115</v>
      </c>
      <c r="M140" s="109">
        <v>89.8</v>
      </c>
      <c r="N140" s="107">
        <f>IF(ISNUMBER(M140), (M140 - $B140) / $B140, "")</f>
        <v>4.9065420560747697E-2</v>
      </c>
      <c r="O140" s="108">
        <f>IF(ISNUMBER(M140), $B145 * N140, "")</f>
        <v>4906.5420560747698</v>
      </c>
      <c r="Q140" s="241"/>
      <c r="R140" s="241"/>
      <c r="S140" s="241"/>
    </row>
    <row r="141" spans="1:19" ht="17.25" thickBot="1">
      <c r="A141" s="125" t="s">
        <v>178</v>
      </c>
      <c r="B141" s="126">
        <v>16.3</v>
      </c>
      <c r="C141" s="77">
        <v>-1.2121212100000001E-2</v>
      </c>
      <c r="D141" s="15">
        <v>16.399999999999999</v>
      </c>
      <c r="E141" s="32">
        <f t="shared" ref="E141:E144" si="74">IF(ISNUMBER(D141), (D141 - $B141) / $B141, "")</f>
        <v>6.1349693251532434E-3</v>
      </c>
      <c r="F141" s="18">
        <f>IF(ISNUMBER(D141), $B145 * E141, "")</f>
        <v>613.49693251532437</v>
      </c>
      <c r="G141" s="31">
        <v>16.600000000000001</v>
      </c>
      <c r="H141" s="32">
        <f t="shared" ref="H141:H144" si="75">IF(ISNUMBER(G141), (G141 - $B141) / $B141, "")</f>
        <v>1.8404907975460166E-2</v>
      </c>
      <c r="I141" s="101">
        <f>IF(ISNUMBER(G141), $B145 * H141, "")</f>
        <v>1840.4907975460167</v>
      </c>
      <c r="J141" s="15">
        <v>16.399999999999999</v>
      </c>
      <c r="K141" s="32">
        <f t="shared" ref="K141:K144" si="76">IF(ISNUMBER(J141), (J141 - $B141) / $B141, "")</f>
        <v>6.1349693251532434E-3</v>
      </c>
      <c r="L141" s="18">
        <f>IF(ISNUMBER(J141), $B145 * K141, "")</f>
        <v>613.49693251532437</v>
      </c>
      <c r="M141" s="31">
        <v>16.399999999999999</v>
      </c>
      <c r="N141" s="32">
        <f t="shared" ref="N141:N144" si="77">IF(ISNUMBER(M141), (M141 - $B141) / $B141, "")</f>
        <v>6.1349693251532434E-3</v>
      </c>
      <c r="O141" s="18">
        <f>IF(ISNUMBER(M141), $B145 * N141, "")</f>
        <v>613.49693251532437</v>
      </c>
      <c r="Q141" s="241"/>
      <c r="R141" s="241"/>
      <c r="S141" s="241"/>
    </row>
    <row r="142" spans="1:19" ht="17.25" thickBot="1">
      <c r="A142" s="125" t="s">
        <v>204</v>
      </c>
      <c r="B142" s="126">
        <v>13.8</v>
      </c>
      <c r="C142" s="77">
        <v>-2.1276595700000001E-2</v>
      </c>
      <c r="D142" s="15">
        <v>13.9</v>
      </c>
      <c r="E142" s="32">
        <f t="shared" si="74"/>
        <v>7.246376811594177E-3</v>
      </c>
      <c r="F142" s="18">
        <f>IF(ISNUMBER(D142), $B145 * E142, "")</f>
        <v>724.63768115941775</v>
      </c>
      <c r="G142" s="31">
        <v>14.1</v>
      </c>
      <c r="H142" s="32">
        <f t="shared" si="75"/>
        <v>2.1739130434782532E-2</v>
      </c>
      <c r="I142" s="101">
        <f>IF(ISNUMBER(G142), $B145 * H142, "")</f>
        <v>2173.9130434782533</v>
      </c>
      <c r="J142" s="15">
        <v>13.9</v>
      </c>
      <c r="K142" s="32">
        <f t="shared" si="76"/>
        <v>7.246376811594177E-3</v>
      </c>
      <c r="L142" s="18">
        <f>IF(ISNUMBER(J142), $B145 * K142, "")</f>
        <v>724.63768115941775</v>
      </c>
      <c r="M142" s="31">
        <v>13.8</v>
      </c>
      <c r="N142" s="32">
        <f t="shared" si="77"/>
        <v>0</v>
      </c>
      <c r="O142" s="18">
        <f>IF(ISNUMBER(M142), $B145 * N142, "")</f>
        <v>0</v>
      </c>
      <c r="Q142" s="241"/>
      <c r="R142" s="241"/>
      <c r="S142" s="24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63"/>
      <c r="R143" s="264"/>
      <c r="S143" s="26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6"/>
      <c r="R144" s="267"/>
      <c r="S144" s="268"/>
    </row>
    <row r="145" spans="1:19" ht="17.25" thickBot="1">
      <c r="A145" s="132" t="s">
        <v>270</v>
      </c>
      <c r="B145" s="274">
        <f>$B$37</f>
        <v>100000</v>
      </c>
      <c r="C145" s="275"/>
      <c r="D145" s="26" t="s">
        <v>271</v>
      </c>
      <c r="E145" s="27">
        <f>IF(COUNT(E125:E144), SUM(E125:E144) / COUNT(E125:E144), 0)</f>
        <v>1.0499711488569726E-2</v>
      </c>
      <c r="F145" s="28">
        <f>SUM(F125:F144)</f>
        <v>18899.480679425509</v>
      </c>
      <c r="G145" s="26" t="s">
        <v>271</v>
      </c>
      <c r="H145" s="27">
        <f>IF(COUNT(H125:H144), SUM(H125:H144) / COUNT(H125:H144), 0)</f>
        <v>2.3749086375347221E-2</v>
      </c>
      <c r="I145" s="28">
        <f>SUM(I125:I144)</f>
        <v>42748.355475624987</v>
      </c>
      <c r="J145" s="26" t="s">
        <v>271</v>
      </c>
      <c r="K145" s="27">
        <f>IF(COUNT(K125:K144), SUM(K125:K144) / COUNT(K125:K144), 0)</f>
        <v>1.0409503938114661E-2</v>
      </c>
      <c r="L145" s="28">
        <f>SUM(L125:L144)</f>
        <v>18737.107088606386</v>
      </c>
      <c r="M145" s="26" t="s">
        <v>271</v>
      </c>
      <c r="N145" s="27">
        <f>IF(COUNT(N125:N144), SUM(N125:N144) / COUNT(N125:N144), 0)</f>
        <v>7.5554972559257732E-3</v>
      </c>
      <c r="O145" s="28">
        <f>SUM(O125:O144)</f>
        <v>13599.895060666389</v>
      </c>
      <c r="Q145" s="269"/>
      <c r="R145" s="270"/>
      <c r="S145" s="27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36"/>
      <c r="R148" s="236"/>
      <c r="S148" s="236"/>
    </row>
    <row r="149" spans="1:19" ht="17.25" thickBot="1">
      <c r="A149" s="193" t="s">
        <v>267</v>
      </c>
      <c r="B149" s="215" t="s">
        <v>49</v>
      </c>
      <c r="C149" s="217"/>
      <c r="D149" s="215" t="s">
        <v>58</v>
      </c>
      <c r="E149" s="216"/>
      <c r="F149" s="217"/>
      <c r="G149" s="242">
        <f>_xlfn.IFNA(VLOOKUP(B149, 현재가테이블!$B$2:$D$200, 2, FALSE), "-")</f>
        <v>53976000</v>
      </c>
      <c r="H149" s="243"/>
      <c r="I149" s="244"/>
      <c r="J149" s="215" t="s">
        <v>59</v>
      </c>
      <c r="K149" s="216"/>
      <c r="L149" s="217"/>
      <c r="M149" s="245">
        <f>_xlfn.IFNA(VLOOKUP(B149, 현재가테이블!$B$2:$D$200, 3, FALSE), "-")</f>
        <v>-2.1216407400000001E-2</v>
      </c>
      <c r="N149" s="246"/>
      <c r="O149" s="247"/>
      <c r="Q149" s="236"/>
      <c r="R149" s="236"/>
      <c r="S149" s="236"/>
    </row>
    <row r="150" spans="1:19" ht="17.25" thickBot="1">
      <c r="A150" s="276" t="s">
        <v>55</v>
      </c>
      <c r="B150" s="278" t="str">
        <f>TEXT($G$1, "[$-ko-KR]yyyy-mm-dd(ddd) ") &amp; "오전 00:00"</f>
        <v>2021-08-10(화) 오전 00:00</v>
      </c>
      <c r="C150" s="279"/>
      <c r="D150" s="238" t="str">
        <f>TEXT($G$1, "[$-ko-KR]yyyy-mm-dd(ddd) ") &amp; "오후 14:00"</f>
        <v>2021-08-10(화) 오후 14:00</v>
      </c>
      <c r="E150" s="239"/>
      <c r="F150" s="240"/>
      <c r="G150" s="238" t="str">
        <f>TEXT($G$1, "[$-ko-KR]yyyy-mm-dd(ddd) ") &amp; "오후 19:00"</f>
        <v>2021-08-10(화) 오후 19:00</v>
      </c>
      <c r="H150" s="239"/>
      <c r="I150" s="240"/>
      <c r="J150" s="238" t="str">
        <f>TEXT($G$1, "[$-ko-KR]yyyy-mm-dd(ddd) ") &amp; "오후 21:00"</f>
        <v>2021-08-10(화) 오후 21:00</v>
      </c>
      <c r="K150" s="239"/>
      <c r="L150" s="240"/>
      <c r="M150" s="238" t="str">
        <f>TEXT($G$1+1, "[$-ko-KR]yyyy-mm-dd(ddd) ") &amp; "오전 00:00"</f>
        <v>2021-08-11(수) 오전 00:00</v>
      </c>
      <c r="N150" s="239"/>
      <c r="O150" s="240"/>
      <c r="Q150" s="236"/>
      <c r="R150" s="236"/>
      <c r="S150" s="236"/>
    </row>
    <row r="151" spans="1:19" ht="17.25" thickBot="1">
      <c r="A151" s="27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1"/>
      <c r="R151" s="241"/>
      <c r="S151" s="241"/>
    </row>
    <row r="152" spans="1:19" ht="17.25" thickBot="1">
      <c r="A152" s="123" t="s">
        <v>144</v>
      </c>
      <c r="B152" s="124">
        <v>109</v>
      </c>
      <c r="C152" s="76">
        <v>0</v>
      </c>
      <c r="D152" s="13">
        <v>109</v>
      </c>
      <c r="E152" s="14">
        <f>IF(ISNUMBER(D152), (D152 - $B152) / $B152, "")</f>
        <v>0</v>
      </c>
      <c r="F152" s="16">
        <f>IF(ISNUMBER(D152), $B172 * E152, "")</f>
        <v>0</v>
      </c>
      <c r="G152" s="29">
        <v>111</v>
      </c>
      <c r="H152" s="14">
        <f>IF(ISNUMBER(G152), (G152 - $B152) / $B152, "")</f>
        <v>1.834862385321101E-2</v>
      </c>
      <c r="I152" s="100">
        <f>IF(ISNUMBER(G152), $B172 * H152, "")</f>
        <v>1834.8623853211011</v>
      </c>
      <c r="J152" s="13">
        <v>113</v>
      </c>
      <c r="K152" s="14">
        <f>IF(ISNUMBER(J152), (J152 - $B152) / $B152, "")</f>
        <v>3.669724770642202E-2</v>
      </c>
      <c r="L152" s="16">
        <f>IF(ISNUMBER(J152), $B172 * K152, "")</f>
        <v>3669.7247706422022</v>
      </c>
      <c r="M152" s="29">
        <v>109</v>
      </c>
      <c r="N152" s="14">
        <f>IF(ISNUMBER(M152), (M152 - $B152) / $B152, "")</f>
        <v>0</v>
      </c>
      <c r="O152" s="16">
        <f>IF(ISNUMBER(M152), $B172 * N152, "")</f>
        <v>0</v>
      </c>
      <c r="Q152" s="236"/>
      <c r="R152" s="236"/>
      <c r="S152" s="236"/>
    </row>
    <row r="153" spans="1:19" ht="17.25" thickBot="1">
      <c r="A153" s="125" t="s">
        <v>130</v>
      </c>
      <c r="B153" s="126">
        <v>101</v>
      </c>
      <c r="C153" s="77">
        <v>0</v>
      </c>
      <c r="D153" s="15">
        <v>101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105</v>
      </c>
      <c r="H153" s="32">
        <f t="shared" ref="H153:H156" si="79">IF(ISNUMBER(G153), (G153 - $B153) / $B153, "")</f>
        <v>3.9603960396039604E-2</v>
      </c>
      <c r="I153" s="101">
        <f>IF(ISNUMBER(G153), $B172 * H153, "")</f>
        <v>3960.3960396039606</v>
      </c>
      <c r="J153" s="15">
        <v>103</v>
      </c>
      <c r="K153" s="32">
        <f t="shared" ref="K153:K156" si="80">IF(ISNUMBER(J153), (J153 - $B153) / $B153, "")</f>
        <v>1.9801980198019802E-2</v>
      </c>
      <c r="L153" s="18">
        <f>IF(ISNUMBER(J153), $B172 * K153, "")</f>
        <v>1980.1980198019803</v>
      </c>
      <c r="M153" s="31">
        <v>103</v>
      </c>
      <c r="N153" s="32">
        <f t="shared" ref="N153:N156" si="81">IF(ISNUMBER(M153), (M153 - $B153) / $B153, "")</f>
        <v>1.9801980198019802E-2</v>
      </c>
      <c r="O153" s="18">
        <f>IF(ISNUMBER(M153), $B172 * N153, "")</f>
        <v>1980.1980198019803</v>
      </c>
      <c r="Q153" s="236"/>
      <c r="R153" s="236"/>
      <c r="S153" s="236"/>
    </row>
    <row r="154" spans="1:19" ht="17.25" thickBot="1">
      <c r="A154" s="125" t="s">
        <v>114</v>
      </c>
      <c r="B154" s="126">
        <v>714</v>
      </c>
      <c r="C154" s="77">
        <v>-2.7932960999999998E-3</v>
      </c>
      <c r="D154" s="15">
        <v>718</v>
      </c>
      <c r="E154" s="32">
        <f t="shared" si="78"/>
        <v>5.6022408963585435E-3</v>
      </c>
      <c r="F154" s="18">
        <f>IF(ISNUMBER(D154), $B172 * E154, "")</f>
        <v>560.2240896358544</v>
      </c>
      <c r="G154" s="31">
        <v>737</v>
      </c>
      <c r="H154" s="32">
        <f t="shared" si="79"/>
        <v>3.2212885154061621E-2</v>
      </c>
      <c r="I154" s="101">
        <f>IF(ISNUMBER(G154), $B172 * H154, "")</f>
        <v>3221.2885154061623</v>
      </c>
      <c r="J154" s="15">
        <v>796</v>
      </c>
      <c r="K154" s="32">
        <f t="shared" si="80"/>
        <v>0.11484593837535013</v>
      </c>
      <c r="L154" s="18">
        <f>IF(ISNUMBER(J154), $B172 * K154, "")</f>
        <v>11484.593837535014</v>
      </c>
      <c r="M154" s="31">
        <v>773</v>
      </c>
      <c r="N154" s="32">
        <f t="shared" si="81"/>
        <v>8.2633053221288513E-2</v>
      </c>
      <c r="O154" s="18">
        <f>IF(ISNUMBER(M154), $B172 * N154, "")</f>
        <v>8263.3053221288519</v>
      </c>
      <c r="Q154" s="241"/>
      <c r="R154" s="241"/>
      <c r="S154" s="241"/>
    </row>
    <row r="155" spans="1:19" ht="17.25" thickBot="1">
      <c r="A155" s="125" t="s">
        <v>124</v>
      </c>
      <c r="B155" s="126">
        <v>334</v>
      </c>
      <c r="C155" s="77">
        <v>-2.9850746000000001E-3</v>
      </c>
      <c r="D155" s="15">
        <v>361</v>
      </c>
      <c r="E155" s="32">
        <f t="shared" si="78"/>
        <v>8.0838323353293412E-2</v>
      </c>
      <c r="F155" s="18">
        <f>IF(ISNUMBER(D155), $B172 * E155, "")</f>
        <v>8083.8323353293408</v>
      </c>
      <c r="G155" s="31">
        <v>359</v>
      </c>
      <c r="H155" s="32">
        <f t="shared" si="79"/>
        <v>7.4850299401197598E-2</v>
      </c>
      <c r="I155" s="101">
        <f>IF(ISNUMBER(G155), $B172 * H155, "")</f>
        <v>7485.0299401197599</v>
      </c>
      <c r="J155" s="15">
        <v>356</v>
      </c>
      <c r="K155" s="32">
        <f t="shared" si="80"/>
        <v>6.5868263473053898E-2</v>
      </c>
      <c r="L155" s="18">
        <f>IF(ISNUMBER(J155), $B172 * K155, "")</f>
        <v>6586.8263473053894</v>
      </c>
      <c r="M155" s="31">
        <v>354</v>
      </c>
      <c r="N155" s="32">
        <f t="shared" si="81"/>
        <v>5.9880239520958084E-2</v>
      </c>
      <c r="O155" s="18">
        <f>IF(ISNUMBER(M155), $B172 * N155, "")</f>
        <v>5988.0239520958085</v>
      </c>
      <c r="Q155" s="241"/>
      <c r="R155" s="241"/>
      <c r="S155" s="241"/>
    </row>
    <row r="156" spans="1:19" ht="17.25" thickBot="1">
      <c r="A156" s="127" t="s">
        <v>184</v>
      </c>
      <c r="B156" s="128">
        <v>992</v>
      </c>
      <c r="C156" s="78">
        <v>-3.0150754E-3</v>
      </c>
      <c r="D156" s="20">
        <v>997</v>
      </c>
      <c r="E156" s="21">
        <f t="shared" si="78"/>
        <v>5.0403225806451612E-3</v>
      </c>
      <c r="F156" s="22">
        <f>IF(ISNUMBER(D156), $B172 * E156, "")</f>
        <v>504.0322580645161</v>
      </c>
      <c r="G156" s="30">
        <v>1000</v>
      </c>
      <c r="H156" s="21">
        <f t="shared" si="79"/>
        <v>8.0645161290322578E-3</v>
      </c>
      <c r="I156" s="105">
        <f>IF(ISNUMBER(G156), $B172 * H156, "")</f>
        <v>806.45161290322574</v>
      </c>
      <c r="J156" s="20">
        <v>992</v>
      </c>
      <c r="K156" s="21">
        <f t="shared" si="80"/>
        <v>0</v>
      </c>
      <c r="L156" s="22">
        <f>IF(ISNUMBER(J156), $B172 * K156, "")</f>
        <v>0</v>
      </c>
      <c r="M156" s="30">
        <v>992</v>
      </c>
      <c r="N156" s="21">
        <f t="shared" si="81"/>
        <v>0</v>
      </c>
      <c r="O156" s="22">
        <f>IF(ISNUMBER(M156), $B172 * N156, "")</f>
        <v>0</v>
      </c>
      <c r="Q156" s="241"/>
      <c r="R156" s="241"/>
      <c r="S156" s="241"/>
    </row>
    <row r="157" spans="1:19" ht="17.25" thickBot="1">
      <c r="A157" s="125" t="s">
        <v>164</v>
      </c>
      <c r="B157" s="129">
        <v>308</v>
      </c>
      <c r="C157" s="80">
        <v>-3.2362459999999999E-3</v>
      </c>
      <c r="D157" s="106">
        <v>308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311</v>
      </c>
      <c r="H157" s="107">
        <f>IF(ISNUMBER(G157), (G157 - $B157) / $B157, "")</f>
        <v>9.74025974025974E-3</v>
      </c>
      <c r="I157" s="110">
        <f>IF(ISNUMBER(G157), $B172 * H157, "")</f>
        <v>974.02597402597405</v>
      </c>
      <c r="J157" s="106">
        <v>307</v>
      </c>
      <c r="K157" s="107">
        <f>IF(ISNUMBER(J157), (J157 - $B157) / $B157, "")</f>
        <v>-3.246753246753247E-3</v>
      </c>
      <c r="L157" s="108">
        <f>IF(ISNUMBER(J157), $B172 * K157, "")</f>
        <v>-324.6753246753247</v>
      </c>
      <c r="M157" s="109">
        <v>309</v>
      </c>
      <c r="N157" s="107">
        <f>IF(ISNUMBER(M157), (M157 - $B157) / $B157, "")</f>
        <v>3.246753246753247E-3</v>
      </c>
      <c r="O157" s="108">
        <f>IF(ISNUMBER(M157), $B172 * N157, "")</f>
        <v>324.6753246753247</v>
      </c>
      <c r="Q157" s="241"/>
      <c r="R157" s="241"/>
      <c r="S157" s="241"/>
    </row>
    <row r="158" spans="1:19" ht="17.25" thickBot="1">
      <c r="A158" s="125" t="s">
        <v>254</v>
      </c>
      <c r="B158" s="126">
        <v>289</v>
      </c>
      <c r="C158" s="77">
        <v>-3.4482759000000001E-3</v>
      </c>
      <c r="D158" s="15">
        <v>295</v>
      </c>
      <c r="E158" s="32">
        <f t="shared" ref="E158:E161" si="82">IF(ISNUMBER(D158), (D158 - $B158) / $B158, "")</f>
        <v>2.0761245674740483E-2</v>
      </c>
      <c r="F158" s="18">
        <f>IF(ISNUMBER(D158), $B172 * E158, "")</f>
        <v>2076.1245674740485</v>
      </c>
      <c r="G158" s="31">
        <v>298</v>
      </c>
      <c r="H158" s="32">
        <f t="shared" ref="H158:H161" si="83">IF(ISNUMBER(G158), (G158 - $B158) / $B158, "")</f>
        <v>3.1141868512110725E-2</v>
      </c>
      <c r="I158" s="101">
        <f>IF(ISNUMBER(G158), $B172 * H158, "")</f>
        <v>3114.1868512110723</v>
      </c>
      <c r="J158" s="15">
        <v>297</v>
      </c>
      <c r="K158" s="32">
        <f t="shared" ref="K158:K161" si="84">IF(ISNUMBER(J158), (J158 - $B158) / $B158, "")</f>
        <v>2.768166089965398E-2</v>
      </c>
      <c r="L158" s="18">
        <f>IF(ISNUMBER(J158), $B172 * K158, "")</f>
        <v>2768.166089965398</v>
      </c>
      <c r="M158" s="31">
        <v>295</v>
      </c>
      <c r="N158" s="32">
        <f t="shared" ref="N158:N161" si="85">IF(ISNUMBER(M158), (M158 - $B158) / $B158, "")</f>
        <v>2.0761245674740483E-2</v>
      </c>
      <c r="O158" s="18">
        <f>IF(ISNUMBER(M158), $B172 * N158, "")</f>
        <v>2076.1245674740485</v>
      </c>
      <c r="Q158" s="241"/>
      <c r="R158" s="241"/>
      <c r="S158" s="241"/>
    </row>
    <row r="159" spans="1:19" ht="17.25" thickBot="1">
      <c r="A159" s="125" t="s">
        <v>236</v>
      </c>
      <c r="B159" s="126">
        <v>603</v>
      </c>
      <c r="C159" s="77">
        <v>-8.2236841999999994E-3</v>
      </c>
      <c r="D159" s="15">
        <v>604</v>
      </c>
      <c r="E159" s="32">
        <f t="shared" si="82"/>
        <v>1.658374792703151E-3</v>
      </c>
      <c r="F159" s="18">
        <f>IF(ISNUMBER(D159), $B172 * E159, "")</f>
        <v>165.8374792703151</v>
      </c>
      <c r="G159" s="31">
        <v>607</v>
      </c>
      <c r="H159" s="32">
        <f t="shared" si="83"/>
        <v>6.6334991708126038E-3</v>
      </c>
      <c r="I159" s="101">
        <f>IF(ISNUMBER(G159), $B172 * H159, "")</f>
        <v>663.3499170812604</v>
      </c>
      <c r="J159" s="15">
        <v>602</v>
      </c>
      <c r="K159" s="32">
        <f t="shared" si="84"/>
        <v>-1.658374792703151E-3</v>
      </c>
      <c r="L159" s="18">
        <f>IF(ISNUMBER(J159), $B172 * K159, "")</f>
        <v>-165.8374792703151</v>
      </c>
      <c r="M159" s="31">
        <v>603</v>
      </c>
      <c r="N159" s="32">
        <f t="shared" si="85"/>
        <v>0</v>
      </c>
      <c r="O159" s="18">
        <f>IF(ISNUMBER(M159), $B172 * N159, "")</f>
        <v>0</v>
      </c>
      <c r="Q159" s="241"/>
      <c r="R159" s="241"/>
      <c r="S159" s="241"/>
    </row>
    <row r="160" spans="1:19" ht="17.25" thickBot="1">
      <c r="A160" s="125" t="s">
        <v>230</v>
      </c>
      <c r="B160" s="126">
        <v>202</v>
      </c>
      <c r="C160" s="77">
        <v>-9.8039215999999995E-3</v>
      </c>
      <c r="D160" s="15">
        <v>203</v>
      </c>
      <c r="E160" s="32">
        <f t="shared" si="82"/>
        <v>4.9504950495049506E-3</v>
      </c>
      <c r="F160" s="18">
        <f>IF(ISNUMBER(D160), $B172 * E160, "")</f>
        <v>495.04950495049508</v>
      </c>
      <c r="G160" s="31">
        <v>204</v>
      </c>
      <c r="H160" s="32">
        <f t="shared" si="83"/>
        <v>9.9009900990099011E-3</v>
      </c>
      <c r="I160" s="101">
        <f>IF(ISNUMBER(G160), $B172 * H160, "")</f>
        <v>990.09900990099015</v>
      </c>
      <c r="J160" s="15">
        <v>206</v>
      </c>
      <c r="K160" s="32">
        <f t="shared" si="84"/>
        <v>1.9801980198019802E-2</v>
      </c>
      <c r="L160" s="18">
        <f>IF(ISNUMBER(J160), $B172 * K160, "")</f>
        <v>1980.1980198019803</v>
      </c>
      <c r="M160" s="31">
        <v>205</v>
      </c>
      <c r="N160" s="32">
        <f t="shared" si="85"/>
        <v>1.4851485148514851E-2</v>
      </c>
      <c r="O160" s="18">
        <f>IF(ISNUMBER(M160), $B172 * N160, "")</f>
        <v>1485.1485148514851</v>
      </c>
      <c r="Q160" s="33"/>
      <c r="R160" s="33"/>
    </row>
    <row r="161" spans="1:19" ht="17.25" thickBot="1">
      <c r="A161" s="130" t="s">
        <v>174</v>
      </c>
      <c r="B161" s="131">
        <v>342</v>
      </c>
      <c r="C161" s="79">
        <v>-1.15606936E-2</v>
      </c>
      <c r="D161" s="24">
        <v>344</v>
      </c>
      <c r="E161" s="25">
        <f t="shared" si="82"/>
        <v>5.8479532163742687E-3</v>
      </c>
      <c r="F161" s="104">
        <f>IF(ISNUMBER(D161), $B172 * E161, "")</f>
        <v>584.79532163742692</v>
      </c>
      <c r="G161" s="102">
        <v>348</v>
      </c>
      <c r="H161" s="25">
        <f t="shared" si="83"/>
        <v>1.7543859649122806E-2</v>
      </c>
      <c r="I161" s="103">
        <f>IF(ISNUMBER(G161), $B172 * H161, "")</f>
        <v>1754.3859649122805</v>
      </c>
      <c r="J161" s="24">
        <v>344</v>
      </c>
      <c r="K161" s="25">
        <f t="shared" si="84"/>
        <v>5.8479532163742687E-3</v>
      </c>
      <c r="L161" s="104">
        <f>IF(ISNUMBER(J161), $B172 * K161, "")</f>
        <v>584.79532163742692</v>
      </c>
      <c r="M161" s="102">
        <v>351</v>
      </c>
      <c r="N161" s="25">
        <f t="shared" si="85"/>
        <v>2.6315789473684209E-2</v>
      </c>
      <c r="O161" s="104">
        <f>IF(ISNUMBER(M161), $B172 * N161, "")</f>
        <v>2631.5789473684208</v>
      </c>
      <c r="Q161" s="250"/>
      <c r="R161" s="251"/>
      <c r="S161" s="252"/>
    </row>
    <row r="162" spans="1:19">
      <c r="A162" s="123" t="s">
        <v>192</v>
      </c>
      <c r="B162" s="124">
        <v>227</v>
      </c>
      <c r="C162" s="76">
        <v>-1.30434783E-2</v>
      </c>
      <c r="D162" s="13">
        <v>228</v>
      </c>
      <c r="E162" s="14">
        <f>IF(ISNUMBER(D162), (D162 - $B162) / $B162, "")</f>
        <v>4.4052863436123352E-3</v>
      </c>
      <c r="F162" s="16">
        <f>IF(ISNUMBER(D162), $B172 * E162, "")</f>
        <v>440.52863436123351</v>
      </c>
      <c r="G162" s="29">
        <v>229</v>
      </c>
      <c r="H162" s="14">
        <f>IF(ISNUMBER(G162), (G162 - $B162) / $B162, "")</f>
        <v>8.8105726872246704E-3</v>
      </c>
      <c r="I162" s="100">
        <f>IF(ISNUMBER(G162), $B172 * H162, "")</f>
        <v>881.05726872246703</v>
      </c>
      <c r="J162" s="13">
        <v>226</v>
      </c>
      <c r="K162" s="14">
        <f>IF(ISNUMBER(J162), (J162 - $B162) / $B162, "")</f>
        <v>-4.4052863436123352E-3</v>
      </c>
      <c r="L162" s="16">
        <f>IF(ISNUMBER(J162), $B172 * K162, "")</f>
        <v>-440.52863436123351</v>
      </c>
      <c r="M162" s="29">
        <v>226</v>
      </c>
      <c r="N162" s="14">
        <f>IF(ISNUMBER(M162), (M162 - $B162) / $B162, "")</f>
        <v>-4.4052863436123352E-3</v>
      </c>
      <c r="O162" s="16">
        <f>IF(ISNUMBER(M162), $B172 * N162, "")</f>
        <v>-440.52863436123351</v>
      </c>
      <c r="Q162" s="253"/>
      <c r="R162" s="254"/>
      <c r="S162" s="255"/>
    </row>
    <row r="163" spans="1:19" ht="17.25" thickBot="1">
      <c r="A163" s="125" t="s">
        <v>220</v>
      </c>
      <c r="B163" s="126">
        <v>209</v>
      </c>
      <c r="C163" s="77">
        <v>-1.4150943399999999E-2</v>
      </c>
      <c r="D163" s="15">
        <v>211</v>
      </c>
      <c r="E163" s="32">
        <f t="shared" ref="E163:E166" si="86">IF(ISNUMBER(D163), (D163 - $B163) / $B163, "")</f>
        <v>9.5693779904306216E-3</v>
      </c>
      <c r="F163" s="18">
        <f>IF(ISNUMBER(D163), $B172 * E163, "")</f>
        <v>956.93779904306211</v>
      </c>
      <c r="G163" s="31">
        <v>211</v>
      </c>
      <c r="H163" s="32">
        <f t="shared" ref="H163:H166" si="87">IF(ISNUMBER(G163), (G163 - $B163) / $B163, "")</f>
        <v>9.5693779904306216E-3</v>
      </c>
      <c r="I163" s="101">
        <f>IF(ISNUMBER(G163), $B172 * H163, "")</f>
        <v>956.93779904306211</v>
      </c>
      <c r="J163" s="15">
        <v>212</v>
      </c>
      <c r="K163" s="32">
        <f t="shared" ref="K163:K166" si="88">IF(ISNUMBER(J163), (J163 - $B163) / $B163, "")</f>
        <v>1.4354066985645933E-2</v>
      </c>
      <c r="L163" s="18">
        <f>IF(ISNUMBER(J163), $B172 * K163, "")</f>
        <v>1435.4066985645934</v>
      </c>
      <c r="M163" s="31">
        <v>212</v>
      </c>
      <c r="N163" s="32">
        <f t="shared" ref="N163:N166" si="89">IF(ISNUMBER(M163), (M163 - $B163) / $B163, "")</f>
        <v>1.4354066985645933E-2</v>
      </c>
      <c r="O163" s="18">
        <f>IF(ISNUMBER(M163), $B172 * N163, "")</f>
        <v>1435.4066985645934</v>
      </c>
      <c r="Q163" s="256"/>
      <c r="R163" s="257"/>
      <c r="S163" s="258"/>
    </row>
    <row r="164" spans="1:19" ht="17.25" thickBot="1">
      <c r="A164" s="125" t="s">
        <v>200</v>
      </c>
      <c r="B164" s="126">
        <v>136</v>
      </c>
      <c r="C164" s="77">
        <v>-1.44927536E-2</v>
      </c>
      <c r="D164" s="15">
        <v>141</v>
      </c>
      <c r="E164" s="32">
        <f t="shared" si="86"/>
        <v>3.6764705882352942E-2</v>
      </c>
      <c r="F164" s="18">
        <f>IF(ISNUMBER(D164), $B172 * E164, "")</f>
        <v>3676.4705882352941</v>
      </c>
      <c r="G164" s="31">
        <v>143</v>
      </c>
      <c r="H164" s="32">
        <f t="shared" si="87"/>
        <v>5.1470588235294115E-2</v>
      </c>
      <c r="I164" s="101">
        <f>IF(ISNUMBER(G164), $B172 * H164, "")</f>
        <v>5147.0588235294117</v>
      </c>
      <c r="J164" s="15">
        <v>143</v>
      </c>
      <c r="K164" s="32">
        <f t="shared" si="88"/>
        <v>5.1470588235294115E-2</v>
      </c>
      <c r="L164" s="18">
        <f>IF(ISNUMBER(J164), $B172 * K164, "")</f>
        <v>5147.0588235294117</v>
      </c>
      <c r="M164" s="31">
        <v>141</v>
      </c>
      <c r="N164" s="32">
        <f t="shared" si="89"/>
        <v>3.6764705882352942E-2</v>
      </c>
      <c r="O164" s="18">
        <f>IF(ISNUMBER(M164), $B172 * N164, "")</f>
        <v>3676.4705882352941</v>
      </c>
      <c r="Q164" s="241"/>
      <c r="R164" s="241"/>
      <c r="S164" s="241"/>
    </row>
    <row r="165" spans="1:19" ht="17.25" thickBot="1">
      <c r="A165" s="125" t="s">
        <v>206</v>
      </c>
      <c r="B165" s="126">
        <v>317</v>
      </c>
      <c r="C165" s="77">
        <v>-1.8575851399999999E-2</v>
      </c>
      <c r="D165" s="15">
        <v>319</v>
      </c>
      <c r="E165" s="32">
        <f t="shared" si="86"/>
        <v>6.3091482649842269E-3</v>
      </c>
      <c r="F165" s="18">
        <f>IF(ISNUMBER(D165), $B172 * E165, "")</f>
        <v>630.91482649842271</v>
      </c>
      <c r="G165" s="31">
        <v>320</v>
      </c>
      <c r="H165" s="32">
        <f t="shared" si="87"/>
        <v>9.4637223974763408E-3</v>
      </c>
      <c r="I165" s="101">
        <f>IF(ISNUMBER(G165), $B172 * H165, "")</f>
        <v>946.37223974763413</v>
      </c>
      <c r="J165" s="15">
        <v>318</v>
      </c>
      <c r="K165" s="32">
        <f t="shared" si="88"/>
        <v>3.1545741324921135E-3</v>
      </c>
      <c r="L165" s="18">
        <f>IF(ISNUMBER(J165), $B172 * K165, "")</f>
        <v>315.45741324921136</v>
      </c>
      <c r="M165" s="31">
        <v>318</v>
      </c>
      <c r="N165" s="32">
        <f t="shared" si="89"/>
        <v>3.1545741324921135E-3</v>
      </c>
      <c r="O165" s="18">
        <f>IF(ISNUMBER(M165), $B172 * N165, "")</f>
        <v>315.45741324921136</v>
      </c>
      <c r="Q165" s="236"/>
      <c r="R165" s="236"/>
      <c r="S165" s="236"/>
    </row>
    <row r="166" spans="1:19" ht="17.25" thickBot="1">
      <c r="A166" s="127" t="s">
        <v>194</v>
      </c>
      <c r="B166" s="128">
        <v>141</v>
      </c>
      <c r="C166" s="78">
        <v>-2.08333333E-2</v>
      </c>
      <c r="D166" s="20">
        <v>144</v>
      </c>
      <c r="E166" s="21">
        <f t="shared" si="86"/>
        <v>2.1276595744680851E-2</v>
      </c>
      <c r="F166" s="22">
        <f>IF(ISNUMBER(D166), $B172 * E166, "")</f>
        <v>2127.6595744680849</v>
      </c>
      <c r="G166" s="30">
        <v>144</v>
      </c>
      <c r="H166" s="21">
        <f t="shared" si="87"/>
        <v>2.1276595744680851E-2</v>
      </c>
      <c r="I166" s="105">
        <f>IF(ISNUMBER(G166), $B172 * H166, "")</f>
        <v>2127.6595744680849</v>
      </c>
      <c r="J166" s="20">
        <v>142</v>
      </c>
      <c r="K166" s="21">
        <f t="shared" si="88"/>
        <v>7.0921985815602835E-3</v>
      </c>
      <c r="L166" s="22">
        <f>IF(ISNUMBER(J166), $B172 * K166, "")</f>
        <v>709.21985815602841</v>
      </c>
      <c r="M166" s="30">
        <v>143</v>
      </c>
      <c r="N166" s="21">
        <f t="shared" si="89"/>
        <v>1.4184397163120567E-2</v>
      </c>
      <c r="O166" s="22">
        <f>IF(ISNUMBER(M166), $B172 * N166, "")</f>
        <v>1418.4397163120568</v>
      </c>
      <c r="Q166" s="236"/>
      <c r="R166" s="236"/>
      <c r="S166" s="236"/>
    </row>
    <row r="167" spans="1:19" ht="17.25" thickBot="1">
      <c r="A167" s="125" t="s">
        <v>228</v>
      </c>
      <c r="B167" s="129">
        <v>389</v>
      </c>
      <c r="C167" s="80">
        <v>-2.2613065299999999E-2</v>
      </c>
      <c r="D167" s="106">
        <v>392</v>
      </c>
      <c r="E167" s="107">
        <f>IF(ISNUMBER(D167), (D167 - $B167) / $B167, "")</f>
        <v>7.7120822622107968E-3</v>
      </c>
      <c r="F167" s="108">
        <f>IF(ISNUMBER(D167), $B172 * E167, "")</f>
        <v>771.20822622107971</v>
      </c>
      <c r="G167" s="109">
        <v>392</v>
      </c>
      <c r="H167" s="107">
        <f>IF(ISNUMBER(G167), (G167 - $B167) / $B167, "")</f>
        <v>7.7120822622107968E-3</v>
      </c>
      <c r="I167" s="110">
        <f>IF(ISNUMBER(G167), $B172 * H167, "")</f>
        <v>771.20822622107971</v>
      </c>
      <c r="J167" s="106">
        <v>387</v>
      </c>
      <c r="K167" s="107">
        <f>IF(ISNUMBER(J167), (J167 - $B167) / $B167, "")</f>
        <v>-5.1413881748071976E-3</v>
      </c>
      <c r="L167" s="108">
        <f>IF(ISNUMBER(J167), $B172 * K167, "")</f>
        <v>-514.13881748071981</v>
      </c>
      <c r="M167" s="109">
        <v>388</v>
      </c>
      <c r="N167" s="107">
        <f>IF(ISNUMBER(M167), (M167 - $B167) / $B167, "")</f>
        <v>-2.5706940874035988E-3</v>
      </c>
      <c r="O167" s="108">
        <f>IF(ISNUMBER(M167), $B172 * N167, "")</f>
        <v>-257.0694087403599</v>
      </c>
      <c r="Q167" s="241"/>
      <c r="R167" s="241"/>
      <c r="S167" s="241"/>
    </row>
    <row r="168" spans="1:19" ht="17.25" thickBot="1">
      <c r="A168" s="125" t="s">
        <v>110</v>
      </c>
      <c r="B168" s="126">
        <v>189</v>
      </c>
      <c r="C168" s="77">
        <v>-3.0769230799999998E-2</v>
      </c>
      <c r="D168" s="15">
        <v>189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187</v>
      </c>
      <c r="K168" s="32">
        <f t="shared" ref="K168:K171" si="92">IF(ISNUMBER(J168), (J168 - $B168) / $B168, "")</f>
        <v>-1.0582010582010581E-2</v>
      </c>
      <c r="L168" s="18">
        <f>IF(ISNUMBER(J168), $B172 * K168, "")</f>
        <v>-1058.2010582010582</v>
      </c>
      <c r="M168" s="31">
        <v>188</v>
      </c>
      <c r="N168" s="32">
        <f t="shared" ref="N168:N171" si="93">IF(ISNUMBER(M168), (M168 - $B168) / $B168, "")</f>
        <v>-5.2910052910052907E-3</v>
      </c>
      <c r="O168" s="18">
        <f>IF(ISNUMBER(M168), $B172 * N168, "")</f>
        <v>-529.10052910052912</v>
      </c>
      <c r="Q168" s="241"/>
      <c r="R168" s="241"/>
      <c r="S168" s="241"/>
    </row>
    <row r="169" spans="1:19" ht="17.25" thickBot="1">
      <c r="A169" s="125" t="s">
        <v>232</v>
      </c>
      <c r="B169" s="126">
        <v>515</v>
      </c>
      <c r="C169" s="77">
        <v>-3.9179104499999999E-2</v>
      </c>
      <c r="D169" s="15">
        <v>512</v>
      </c>
      <c r="E169" s="32">
        <f t="shared" si="90"/>
        <v>-5.8252427184466021E-3</v>
      </c>
      <c r="F169" s="18">
        <f>IF(ISNUMBER(D169), $B172 * E169, "")</f>
        <v>-582.52427184466023</v>
      </c>
      <c r="G169" s="31">
        <v>515</v>
      </c>
      <c r="H169" s="32">
        <f t="shared" si="91"/>
        <v>0</v>
      </c>
      <c r="I169" s="101">
        <f>IF(ISNUMBER(G169), $B172 * H169, "")</f>
        <v>0</v>
      </c>
      <c r="J169" s="15">
        <v>511</v>
      </c>
      <c r="K169" s="32">
        <f t="shared" si="92"/>
        <v>-7.7669902912621356E-3</v>
      </c>
      <c r="L169" s="18">
        <f>IF(ISNUMBER(J169), $B172 * K169, "")</f>
        <v>-776.69902912621353</v>
      </c>
      <c r="M169" s="31">
        <v>512</v>
      </c>
      <c r="N169" s="32">
        <f t="shared" si="93"/>
        <v>-5.8252427184466021E-3</v>
      </c>
      <c r="O169" s="18">
        <f>IF(ISNUMBER(M169), $B172 * N169, "")</f>
        <v>-582.52427184466023</v>
      </c>
      <c r="Q169" s="241"/>
      <c r="R169" s="241"/>
      <c r="S169" s="241"/>
    </row>
    <row r="170" spans="1:19">
      <c r="A170" s="125" t="s">
        <v>222</v>
      </c>
      <c r="B170" s="126">
        <v>153</v>
      </c>
      <c r="C170" s="77">
        <v>-4.9689441000000001E-2</v>
      </c>
      <c r="D170" s="15">
        <v>151</v>
      </c>
      <c r="E170" s="32">
        <f t="shared" si="90"/>
        <v>-1.3071895424836602E-2</v>
      </c>
      <c r="F170" s="18">
        <f>IF(ISNUMBER(D170), $B172 * E170, "")</f>
        <v>-1307.1895424836603</v>
      </c>
      <c r="G170" s="31">
        <v>151</v>
      </c>
      <c r="H170" s="32">
        <f t="shared" si="91"/>
        <v>-1.3071895424836602E-2</v>
      </c>
      <c r="I170" s="101">
        <f>IF(ISNUMBER(G170), $B172 * H170, "")</f>
        <v>-1307.1895424836603</v>
      </c>
      <c r="J170" s="15">
        <v>150</v>
      </c>
      <c r="K170" s="32">
        <f t="shared" si="92"/>
        <v>-1.9607843137254902E-2</v>
      </c>
      <c r="L170" s="18">
        <f>IF(ISNUMBER(J170), $B172 * K170, "")</f>
        <v>-1960.7843137254902</v>
      </c>
      <c r="M170" s="31">
        <v>150</v>
      </c>
      <c r="N170" s="32">
        <f t="shared" si="93"/>
        <v>-1.9607843137254902E-2</v>
      </c>
      <c r="O170" s="18">
        <f>IF(ISNUMBER(M170), $B172 * N170, "")</f>
        <v>-1960.7843137254902</v>
      </c>
      <c r="Q170" s="263"/>
      <c r="R170" s="264"/>
      <c r="S170" s="265"/>
    </row>
    <row r="171" spans="1:19" ht="17.25" thickBot="1">
      <c r="A171" s="130" t="s">
        <v>166</v>
      </c>
      <c r="B171" s="131">
        <v>263</v>
      </c>
      <c r="C171" s="79">
        <v>-5.3956834500000002E-2</v>
      </c>
      <c r="D171" s="24">
        <v>263</v>
      </c>
      <c r="E171" s="25">
        <f t="shared" si="90"/>
        <v>0</v>
      </c>
      <c r="F171" s="104">
        <f>IF(ISNUMBER(D171), $B172 * E171, "")</f>
        <v>0</v>
      </c>
      <c r="G171" s="102">
        <v>263</v>
      </c>
      <c r="H171" s="25">
        <f t="shared" si="91"/>
        <v>0</v>
      </c>
      <c r="I171" s="103">
        <f>IF(ISNUMBER(G171), $B172 * H171, "")</f>
        <v>0</v>
      </c>
      <c r="J171" s="24">
        <v>260</v>
      </c>
      <c r="K171" s="25">
        <f t="shared" si="92"/>
        <v>-1.1406844106463879E-2</v>
      </c>
      <c r="L171" s="104">
        <f>IF(ISNUMBER(J171), $B172 * K171, "")</f>
        <v>-1140.684410646388</v>
      </c>
      <c r="M171" s="102">
        <v>260</v>
      </c>
      <c r="N171" s="25">
        <f t="shared" si="93"/>
        <v>-1.1406844106463879E-2</v>
      </c>
      <c r="O171" s="104">
        <f>IF(ISNUMBER(M171), $B172 * N171, "")</f>
        <v>-1140.684410646388</v>
      </c>
      <c r="Q171" s="266"/>
      <c r="R171" s="267"/>
      <c r="S171" s="268"/>
    </row>
    <row r="172" spans="1:19" ht="17.25" thickBot="1">
      <c r="A172" s="132" t="s">
        <v>270</v>
      </c>
      <c r="B172" s="274">
        <f>$B$37</f>
        <v>100000</v>
      </c>
      <c r="C172" s="275"/>
      <c r="D172" s="26" t="s">
        <v>271</v>
      </c>
      <c r="E172" s="27">
        <f>IF(COUNT(E152:E171), SUM(E152:E171) / COUNT(E152:E171), 0)</f>
        <v>9.5919506954304269E-3</v>
      </c>
      <c r="F172" s="28">
        <f>SUM(F152:F171)</f>
        <v>19183.901390860847</v>
      </c>
      <c r="G172" s="26" t="s">
        <v>271</v>
      </c>
      <c r="H172" s="27">
        <f>IF(COUNT(H152:H171), SUM(H152:H171) / COUNT(H152:H171), 0)</f>
        <v>1.7957241093517727E-2</v>
      </c>
      <c r="I172" s="28">
        <f>SUM(I152:I171)</f>
        <v>35914.482187035464</v>
      </c>
      <c r="J172" s="26" t="s">
        <v>271</v>
      </c>
      <c r="K172" s="27">
        <f>IF(COUNT(K152:K171), SUM(K152:K171) / COUNT(K152:K171), 0)</f>
        <v>1.514004806635095E-2</v>
      </c>
      <c r="L172" s="28">
        <f>SUM(L152:L171)</f>
        <v>30280.096132701899</v>
      </c>
      <c r="M172" s="26" t="s">
        <v>271</v>
      </c>
      <c r="N172" s="27">
        <f>IF(COUNT(N152:N171), SUM(N152:N171) / COUNT(N152:N171), 0)</f>
        <v>1.2342068748169208E-2</v>
      </c>
      <c r="O172" s="28">
        <f>SUM(O152:O171)</f>
        <v>24684.137496338415</v>
      </c>
      <c r="Q172" s="269"/>
      <c r="R172" s="270"/>
      <c r="S172" s="27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36"/>
      <c r="R175" s="236"/>
      <c r="S175" s="236"/>
    </row>
    <row r="176" spans="1:19" ht="17.25" thickBot="1">
      <c r="A176" s="193" t="s">
        <v>267</v>
      </c>
      <c r="B176" s="215" t="s">
        <v>49</v>
      </c>
      <c r="C176" s="217"/>
      <c r="D176" s="215" t="s">
        <v>58</v>
      </c>
      <c r="E176" s="216"/>
      <c r="F176" s="217"/>
      <c r="G176" s="242">
        <f>_xlfn.IFNA(VLOOKUP(B176, 현재가테이블!$B$2:$D$200, 2, FALSE), "-")</f>
        <v>53976000</v>
      </c>
      <c r="H176" s="243"/>
      <c r="I176" s="244"/>
      <c r="J176" s="215" t="s">
        <v>59</v>
      </c>
      <c r="K176" s="216"/>
      <c r="L176" s="217"/>
      <c r="M176" s="245">
        <f>_xlfn.IFNA(VLOOKUP(B176, 현재가테이블!$B$2:$D$200, 3, FALSE), "-")</f>
        <v>-2.1216407400000001E-2</v>
      </c>
      <c r="N176" s="246"/>
      <c r="O176" s="247"/>
      <c r="Q176" s="236"/>
      <c r="R176" s="236"/>
      <c r="S176" s="236"/>
    </row>
    <row r="177" spans="1:19" ht="17.25" thickBot="1">
      <c r="A177" s="276" t="s">
        <v>55</v>
      </c>
      <c r="B177" s="278" t="str">
        <f>TEXT($G$1, "[$-ko-KR]yyyy-mm-dd(ddd) ") &amp; "오전 00:00"</f>
        <v>2021-08-10(화) 오전 00:00</v>
      </c>
      <c r="C177" s="279"/>
      <c r="D177" s="238" t="str">
        <f>TEXT($G$1, "[$-ko-KR]yyyy-mm-dd(ddd) ") &amp; "오후 14:00"</f>
        <v>2021-08-10(화) 오후 14:00</v>
      </c>
      <c r="E177" s="239"/>
      <c r="F177" s="240"/>
      <c r="G177" s="238" t="str">
        <f>TEXT($G$1, "[$-ko-KR]yyyy-mm-dd(ddd) ") &amp; "오후 19:00"</f>
        <v>2021-08-10(화) 오후 19:00</v>
      </c>
      <c r="H177" s="239"/>
      <c r="I177" s="240"/>
      <c r="J177" s="238" t="str">
        <f>TEXT($G$1, "[$-ko-KR]yyyy-mm-dd(ddd) ") &amp; "오후 21:00"</f>
        <v>2021-08-10(화) 오후 21:00</v>
      </c>
      <c r="K177" s="239"/>
      <c r="L177" s="240"/>
      <c r="M177" s="238" t="str">
        <f>TEXT($G$1+1, "[$-ko-KR]yyyy-mm-dd(ddd) ") &amp; "오전 00:00"</f>
        <v>2021-08-11(수) 오전 00:00</v>
      </c>
      <c r="N177" s="239"/>
      <c r="O177" s="240"/>
      <c r="Q177" s="236"/>
      <c r="R177" s="236"/>
      <c r="S177" s="236"/>
    </row>
    <row r="178" spans="1:19" ht="17.25" thickBot="1">
      <c r="A178" s="27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1"/>
      <c r="R178" s="241"/>
      <c r="S178" s="241"/>
    </row>
    <row r="179" spans="1:19" ht="17.25" thickBot="1">
      <c r="A179" s="123" t="s">
        <v>230</v>
      </c>
      <c r="B179" s="124">
        <v>202</v>
      </c>
      <c r="C179" s="76">
        <v>-9.8039215999999995E-3</v>
      </c>
      <c r="D179" s="13">
        <v>203</v>
      </c>
      <c r="E179" s="14">
        <f>IF(ISNUMBER(D179), (D179 - $B179) / $B179, "")</f>
        <v>4.9504950495049506E-3</v>
      </c>
      <c r="F179" s="16">
        <f>IF(ISNUMBER(D179), $B199 * E179, "")</f>
        <v>495.04950495049508</v>
      </c>
      <c r="G179" s="29">
        <v>204</v>
      </c>
      <c r="H179" s="14">
        <f>IF(ISNUMBER(G179), (G179 - $B179) / $B179, "")</f>
        <v>9.9009900990099011E-3</v>
      </c>
      <c r="I179" s="100">
        <f>IF(ISNUMBER(G179), $B199 * H179, "")</f>
        <v>990.09900990099015</v>
      </c>
      <c r="J179" s="13">
        <v>206</v>
      </c>
      <c r="K179" s="14">
        <f>IF(ISNUMBER(J179), (J179 - $B179) / $B179, "")</f>
        <v>1.9801980198019802E-2</v>
      </c>
      <c r="L179" s="16">
        <f>IF(ISNUMBER(J179), $B199 * K179, "")</f>
        <v>1980.1980198019803</v>
      </c>
      <c r="M179" s="29">
        <v>205</v>
      </c>
      <c r="N179" s="14">
        <f>IF(ISNUMBER(M179), (M179 - $B179) / $B179, "")</f>
        <v>1.4851485148514851E-2</v>
      </c>
      <c r="O179" s="16">
        <f>IF(ISNUMBER(M179), $B199 * N179, "")</f>
        <v>1485.1485148514851</v>
      </c>
      <c r="Q179" s="236"/>
      <c r="R179" s="236"/>
      <c r="S179" s="236"/>
    </row>
    <row r="180" spans="1:19" ht="17.25" thickBot="1">
      <c r="A180" s="125" t="s">
        <v>234</v>
      </c>
      <c r="B180" s="126">
        <v>69.099999999999994</v>
      </c>
      <c r="C180" s="77">
        <v>-1.0028653300000001E-2</v>
      </c>
      <c r="D180" s="15">
        <v>70.5</v>
      </c>
      <c r="E180" s="32">
        <f t="shared" ref="E180:E183" si="94">IF(ISNUMBER(D180), (D180 - $B180) / $B180, "")</f>
        <v>2.0260492040521067E-2</v>
      </c>
      <c r="F180" s="18">
        <f>IF(ISNUMBER(D180), $B199 * E180, "")</f>
        <v>2026.0492040521067</v>
      </c>
      <c r="G180" s="31">
        <v>71.2</v>
      </c>
      <c r="H180" s="32">
        <f t="shared" ref="H180:H183" si="95">IF(ISNUMBER(G180), (G180 - $B180) / $B180, "")</f>
        <v>3.0390738060781602E-2</v>
      </c>
      <c r="I180" s="101">
        <f>IF(ISNUMBER(G180), $B199 * H180, "")</f>
        <v>3039.07380607816</v>
      </c>
      <c r="J180" s="15">
        <v>69.8</v>
      </c>
      <c r="K180" s="32">
        <f t="shared" ref="K180:K183" si="96">IF(ISNUMBER(J180), (J180 - $B180) / $B180, "")</f>
        <v>1.0130246020260534E-2</v>
      </c>
      <c r="L180" s="18">
        <f>IF(ISNUMBER(J180), $B199 * K180, "")</f>
        <v>1013.0246020260533</v>
      </c>
      <c r="M180" s="31">
        <v>70</v>
      </c>
      <c r="N180" s="32">
        <f t="shared" ref="N180:N183" si="97">IF(ISNUMBER(M180), (M180 - $B180) / $B180, "")</f>
        <v>1.3024602026049287E-2</v>
      </c>
      <c r="O180" s="18">
        <f>IF(ISNUMBER(M180), $B199 * N180, "")</f>
        <v>1302.4602026049288</v>
      </c>
      <c r="Q180" s="236"/>
      <c r="R180" s="236"/>
      <c r="S180" s="236"/>
    </row>
    <row r="181" spans="1:19" ht="17.25" thickBot="1">
      <c r="A181" s="125" t="s">
        <v>122</v>
      </c>
      <c r="B181" s="126">
        <v>29.3</v>
      </c>
      <c r="C181" s="77">
        <v>-1.01351351E-2</v>
      </c>
      <c r="D181" s="15">
        <v>31.1</v>
      </c>
      <c r="E181" s="32">
        <f t="shared" si="94"/>
        <v>6.1433447098976135E-2</v>
      </c>
      <c r="F181" s="18">
        <f>IF(ISNUMBER(D181), $B199 * E181, "")</f>
        <v>6143.3447098976139</v>
      </c>
      <c r="G181" s="31">
        <v>31.2</v>
      </c>
      <c r="H181" s="32">
        <f t="shared" si="95"/>
        <v>6.4846416382252511E-2</v>
      </c>
      <c r="I181" s="101">
        <f>IF(ISNUMBER(G181), $B199 * H181, "")</f>
        <v>6484.641638225251</v>
      </c>
      <c r="J181" s="15">
        <v>31.2</v>
      </c>
      <c r="K181" s="32">
        <f t="shared" si="96"/>
        <v>6.4846416382252511E-2</v>
      </c>
      <c r="L181" s="18">
        <f>IF(ISNUMBER(J181), $B199 * K181, "")</f>
        <v>6484.641638225251</v>
      </c>
      <c r="M181" s="31">
        <v>30.1</v>
      </c>
      <c r="N181" s="32">
        <f t="shared" si="97"/>
        <v>2.7303754266211629E-2</v>
      </c>
      <c r="O181" s="18">
        <f>IF(ISNUMBER(M181), $B199 * N181, "")</f>
        <v>2730.3754266211627</v>
      </c>
      <c r="Q181" s="241"/>
      <c r="R181" s="241"/>
      <c r="S181" s="241"/>
    </row>
    <row r="182" spans="1:19" ht="17.25" thickBot="1">
      <c r="A182" s="125" t="s">
        <v>202</v>
      </c>
      <c r="B182" s="126">
        <v>85.6</v>
      </c>
      <c r="C182" s="77">
        <v>-1.1547344100000001E-2</v>
      </c>
      <c r="D182" s="15">
        <v>85.9</v>
      </c>
      <c r="E182" s="32">
        <f t="shared" si="94"/>
        <v>3.5046728971963948E-3</v>
      </c>
      <c r="F182" s="18">
        <f>IF(ISNUMBER(D182), $B199 * E182, "")</f>
        <v>350.4672897196395</v>
      </c>
      <c r="G182" s="31">
        <v>91.4</v>
      </c>
      <c r="H182" s="32">
        <f t="shared" si="95"/>
        <v>6.7757009345794525E-2</v>
      </c>
      <c r="I182" s="101">
        <f>IF(ISNUMBER(G182), $B199 * H182, "")</f>
        <v>6775.7009345794522</v>
      </c>
      <c r="J182" s="15">
        <v>89.4</v>
      </c>
      <c r="K182" s="32">
        <f t="shared" si="96"/>
        <v>4.4392523364486118E-2</v>
      </c>
      <c r="L182" s="18">
        <f>IF(ISNUMBER(J182), $B199 * K182, "")</f>
        <v>4439.2523364486115</v>
      </c>
      <c r="M182" s="31">
        <v>89.8</v>
      </c>
      <c r="N182" s="32">
        <f t="shared" si="97"/>
        <v>4.9065420560747697E-2</v>
      </c>
      <c r="O182" s="18">
        <f>IF(ISNUMBER(M182), $B199 * N182, "")</f>
        <v>4906.5420560747698</v>
      </c>
      <c r="Q182" s="241"/>
      <c r="R182" s="241"/>
      <c r="S182" s="241"/>
    </row>
    <row r="183" spans="1:19" ht="17.25" thickBot="1">
      <c r="A183" s="127" t="s">
        <v>174</v>
      </c>
      <c r="B183" s="128">
        <v>342</v>
      </c>
      <c r="C183" s="78">
        <v>-1.15606936E-2</v>
      </c>
      <c r="D183" s="20">
        <v>344</v>
      </c>
      <c r="E183" s="21">
        <f t="shared" si="94"/>
        <v>5.8479532163742687E-3</v>
      </c>
      <c r="F183" s="22">
        <f>IF(ISNUMBER(D183), $B199 * E183, "")</f>
        <v>584.79532163742692</v>
      </c>
      <c r="G183" s="30">
        <v>348</v>
      </c>
      <c r="H183" s="21">
        <f t="shared" si="95"/>
        <v>1.7543859649122806E-2</v>
      </c>
      <c r="I183" s="105">
        <f>IF(ISNUMBER(G183), $B199 * H183, "")</f>
        <v>1754.3859649122805</v>
      </c>
      <c r="J183" s="20">
        <v>344</v>
      </c>
      <c r="K183" s="21">
        <f t="shared" si="96"/>
        <v>5.8479532163742687E-3</v>
      </c>
      <c r="L183" s="22">
        <f>IF(ISNUMBER(J183), $B199 * K183, "")</f>
        <v>584.79532163742692</v>
      </c>
      <c r="M183" s="30">
        <v>351</v>
      </c>
      <c r="N183" s="21">
        <f t="shared" si="97"/>
        <v>2.6315789473684209E-2</v>
      </c>
      <c r="O183" s="22">
        <f>IF(ISNUMBER(M183), $B199 * N183, "")</f>
        <v>2631.5789473684208</v>
      </c>
      <c r="Q183" s="241"/>
      <c r="R183" s="241"/>
      <c r="S183" s="241"/>
    </row>
    <row r="184" spans="1:19" ht="17.25" thickBot="1">
      <c r="A184" s="125" t="s">
        <v>178</v>
      </c>
      <c r="B184" s="129">
        <v>16.3</v>
      </c>
      <c r="C184" s="80">
        <v>-1.2121212100000001E-2</v>
      </c>
      <c r="D184" s="106">
        <v>16.399999999999999</v>
      </c>
      <c r="E184" s="107">
        <f>IF(ISNUMBER(D184), (D184 - $B184) / $B184, "")</f>
        <v>6.1349693251532434E-3</v>
      </c>
      <c r="F184" s="108">
        <f>IF(ISNUMBER(D184), $B199 * E184, "")</f>
        <v>613.49693251532437</v>
      </c>
      <c r="G184" s="109">
        <v>16.600000000000001</v>
      </c>
      <c r="H184" s="107">
        <f>IF(ISNUMBER(G184), (G184 - $B184) / $B184, "")</f>
        <v>1.8404907975460166E-2</v>
      </c>
      <c r="I184" s="110">
        <f>IF(ISNUMBER(G184), $B199 * H184, "")</f>
        <v>1840.4907975460167</v>
      </c>
      <c r="J184" s="106">
        <v>16.399999999999999</v>
      </c>
      <c r="K184" s="107">
        <f>IF(ISNUMBER(J184), (J184 - $B184) / $B184, "")</f>
        <v>6.1349693251532434E-3</v>
      </c>
      <c r="L184" s="108">
        <f>IF(ISNUMBER(J184), $B199 * K184, "")</f>
        <v>613.49693251532437</v>
      </c>
      <c r="M184" s="109">
        <v>16.399999999999999</v>
      </c>
      <c r="N184" s="107">
        <f>IF(ISNUMBER(M184), (M184 - $B184) / $B184, "")</f>
        <v>6.1349693251532434E-3</v>
      </c>
      <c r="O184" s="108">
        <f>IF(ISNUMBER(M184), $B199 * N184, "")</f>
        <v>613.49693251532437</v>
      </c>
      <c r="Q184" s="241"/>
      <c r="R184" s="241"/>
      <c r="S184" s="241"/>
    </row>
    <row r="185" spans="1:19" ht="17.25" thickBot="1">
      <c r="A185" s="125" t="s">
        <v>192</v>
      </c>
      <c r="B185" s="126">
        <v>227</v>
      </c>
      <c r="C185" s="77">
        <v>-1.30434783E-2</v>
      </c>
      <c r="D185" s="15">
        <v>228</v>
      </c>
      <c r="E185" s="32">
        <f t="shared" ref="E185:E188" si="98">IF(ISNUMBER(D185), (D185 - $B185) / $B185, "")</f>
        <v>4.4052863436123352E-3</v>
      </c>
      <c r="F185" s="18">
        <f>IF(ISNUMBER(D185), $B199 * E185, "")</f>
        <v>440.52863436123351</v>
      </c>
      <c r="G185" s="31">
        <v>229</v>
      </c>
      <c r="H185" s="32">
        <f t="shared" ref="H185:H188" si="99">IF(ISNUMBER(G185), (G185 - $B185) / $B185, "")</f>
        <v>8.8105726872246704E-3</v>
      </c>
      <c r="I185" s="101">
        <f>IF(ISNUMBER(G185), $B199 * H185, "")</f>
        <v>881.05726872246703</v>
      </c>
      <c r="J185" s="15">
        <v>226</v>
      </c>
      <c r="K185" s="32">
        <f t="shared" ref="K185:K188" si="100">IF(ISNUMBER(J185), (J185 - $B185) / $B185, "")</f>
        <v>-4.4052863436123352E-3</v>
      </c>
      <c r="L185" s="18">
        <f>IF(ISNUMBER(J185), $B199 * K185, "")</f>
        <v>-440.52863436123351</v>
      </c>
      <c r="M185" s="31">
        <v>226</v>
      </c>
      <c r="N185" s="32">
        <f t="shared" ref="N185:N188" si="101">IF(ISNUMBER(M185), (M185 - $B185) / $B185, "")</f>
        <v>-4.4052863436123352E-3</v>
      </c>
      <c r="O185" s="18">
        <f>IF(ISNUMBER(M185), $B199 * N185, "")</f>
        <v>-440.52863436123351</v>
      </c>
      <c r="Q185" s="241"/>
      <c r="R185" s="241"/>
      <c r="S185" s="241"/>
    </row>
    <row r="186" spans="1:19" ht="17.25" thickBot="1">
      <c r="A186" s="125" t="s">
        <v>220</v>
      </c>
      <c r="B186" s="126">
        <v>209</v>
      </c>
      <c r="C186" s="77">
        <v>-1.4150943399999999E-2</v>
      </c>
      <c r="D186" s="15">
        <v>211</v>
      </c>
      <c r="E186" s="32">
        <f t="shared" si="98"/>
        <v>9.5693779904306216E-3</v>
      </c>
      <c r="F186" s="18">
        <f>IF(ISNUMBER(D186), $B199 * E186, "")</f>
        <v>956.93779904306211</v>
      </c>
      <c r="G186" s="31">
        <v>211</v>
      </c>
      <c r="H186" s="32">
        <f t="shared" si="99"/>
        <v>9.5693779904306216E-3</v>
      </c>
      <c r="I186" s="101">
        <f>IF(ISNUMBER(G186), $B199 * H186, "")</f>
        <v>956.93779904306211</v>
      </c>
      <c r="J186" s="15">
        <v>212</v>
      </c>
      <c r="K186" s="32">
        <f t="shared" si="100"/>
        <v>1.4354066985645933E-2</v>
      </c>
      <c r="L186" s="18">
        <f>IF(ISNUMBER(J186), $B199 * K186, "")</f>
        <v>1435.4066985645934</v>
      </c>
      <c r="M186" s="31">
        <v>212</v>
      </c>
      <c r="N186" s="32">
        <f t="shared" si="101"/>
        <v>1.4354066985645933E-2</v>
      </c>
      <c r="O186" s="18">
        <f>IF(ISNUMBER(M186), $B199 * N186, "")</f>
        <v>1435.4066985645934</v>
      </c>
      <c r="Q186" s="241"/>
      <c r="R186" s="241"/>
      <c r="S186" s="241"/>
    </row>
    <row r="187" spans="1:19" ht="17.25" thickBot="1">
      <c r="A187" s="125" t="s">
        <v>200</v>
      </c>
      <c r="B187" s="126">
        <v>136</v>
      </c>
      <c r="C187" s="77">
        <v>-1.44927536E-2</v>
      </c>
      <c r="D187" s="15">
        <v>141</v>
      </c>
      <c r="E187" s="32">
        <f t="shared" si="98"/>
        <v>3.6764705882352942E-2</v>
      </c>
      <c r="F187" s="18">
        <f>IF(ISNUMBER(D187), $B199 * E187, "")</f>
        <v>3676.4705882352941</v>
      </c>
      <c r="G187" s="31">
        <v>143</v>
      </c>
      <c r="H187" s="32">
        <f t="shared" si="99"/>
        <v>5.1470588235294115E-2</v>
      </c>
      <c r="I187" s="101">
        <f>IF(ISNUMBER(G187), $B199 * H187, "")</f>
        <v>5147.0588235294117</v>
      </c>
      <c r="J187" s="15">
        <v>143</v>
      </c>
      <c r="K187" s="32">
        <f t="shared" si="100"/>
        <v>5.1470588235294115E-2</v>
      </c>
      <c r="L187" s="18">
        <f>IF(ISNUMBER(J187), $B199 * K187, "")</f>
        <v>5147.0588235294117</v>
      </c>
      <c r="M187" s="31">
        <v>141</v>
      </c>
      <c r="N187" s="32">
        <f t="shared" si="101"/>
        <v>3.6764705882352942E-2</v>
      </c>
      <c r="O187" s="18">
        <f>IF(ISNUMBER(M187), $B199 * N187, "")</f>
        <v>3676.4705882352941</v>
      </c>
      <c r="Q187" s="33"/>
      <c r="R187" s="33"/>
    </row>
    <row r="188" spans="1:19" ht="17.25" thickBot="1">
      <c r="A188" s="130" t="s">
        <v>206</v>
      </c>
      <c r="B188" s="131">
        <v>317</v>
      </c>
      <c r="C188" s="79">
        <v>-1.8575851399999999E-2</v>
      </c>
      <c r="D188" s="24">
        <v>319</v>
      </c>
      <c r="E188" s="25">
        <f t="shared" si="98"/>
        <v>6.3091482649842269E-3</v>
      </c>
      <c r="F188" s="104">
        <f>IF(ISNUMBER(D188), $B199 * E188, "")</f>
        <v>630.91482649842271</v>
      </c>
      <c r="G188" s="102">
        <v>320</v>
      </c>
      <c r="H188" s="25">
        <f t="shared" si="99"/>
        <v>9.4637223974763408E-3</v>
      </c>
      <c r="I188" s="103">
        <f>IF(ISNUMBER(G188), $B199 * H188, "")</f>
        <v>946.37223974763413</v>
      </c>
      <c r="J188" s="24">
        <v>318</v>
      </c>
      <c r="K188" s="25">
        <f t="shared" si="100"/>
        <v>3.1545741324921135E-3</v>
      </c>
      <c r="L188" s="104">
        <f>IF(ISNUMBER(J188), $B199 * K188, "")</f>
        <v>315.45741324921136</v>
      </c>
      <c r="M188" s="102">
        <v>318</v>
      </c>
      <c r="N188" s="25">
        <f t="shared" si="101"/>
        <v>3.1545741324921135E-3</v>
      </c>
      <c r="O188" s="104">
        <f>IF(ISNUMBER(M188), $B199 * N188, "")</f>
        <v>315.45741324921136</v>
      </c>
      <c r="Q188" s="250"/>
      <c r="R188" s="251"/>
      <c r="S188" s="252"/>
    </row>
    <row r="189" spans="1:19">
      <c r="A189" s="123" t="s">
        <v>172</v>
      </c>
      <c r="B189" s="124">
        <v>2615</v>
      </c>
      <c r="C189" s="76">
        <v>-1.8761726100000001E-2</v>
      </c>
      <c r="D189" s="13">
        <v>2815</v>
      </c>
      <c r="E189" s="14">
        <f>IF(ISNUMBER(D189), (D189 - $B189) / $B189, "")</f>
        <v>7.6481835564053538E-2</v>
      </c>
      <c r="F189" s="16">
        <f>IF(ISNUMBER(D189), $B199 * E189, "")</f>
        <v>7648.1835564053536</v>
      </c>
      <c r="G189" s="29">
        <v>2790</v>
      </c>
      <c r="H189" s="14">
        <f>IF(ISNUMBER(G189), (G189 - $B189) / $B189, "")</f>
        <v>6.6921606118546847E-2</v>
      </c>
      <c r="I189" s="100">
        <f>IF(ISNUMBER(G189), $B199 * H189, "")</f>
        <v>6692.1606118546852</v>
      </c>
      <c r="J189" s="13">
        <v>2730</v>
      </c>
      <c r="K189" s="14">
        <f>IF(ISNUMBER(J189), (J189 - $B189) / $B189, "")</f>
        <v>4.3977055449330782E-2</v>
      </c>
      <c r="L189" s="16">
        <f>IF(ISNUMBER(J189), $B199 * K189, "")</f>
        <v>4397.7055449330783</v>
      </c>
      <c r="M189" s="29">
        <v>2695</v>
      </c>
      <c r="N189" s="14">
        <f>IF(ISNUMBER(M189), (M189 - $B189) / $B189, "")</f>
        <v>3.0592734225621414E-2</v>
      </c>
      <c r="O189" s="16">
        <f>IF(ISNUMBER(M189), $B199 * N189, "")</f>
        <v>3059.2734225621416</v>
      </c>
      <c r="Q189" s="253"/>
      <c r="R189" s="254"/>
      <c r="S189" s="255"/>
    </row>
    <row r="190" spans="1:19" ht="17.25" thickBot="1">
      <c r="A190" s="125" t="s">
        <v>194</v>
      </c>
      <c r="B190" s="126">
        <v>141</v>
      </c>
      <c r="C190" s="77">
        <v>-2.08333333E-2</v>
      </c>
      <c r="D190" s="15">
        <v>144</v>
      </c>
      <c r="E190" s="32">
        <f t="shared" ref="E190:E193" si="102">IF(ISNUMBER(D190), (D190 - $B190) / $B190, "")</f>
        <v>2.1276595744680851E-2</v>
      </c>
      <c r="F190" s="18">
        <f>IF(ISNUMBER(D190), $B199 * E190, "")</f>
        <v>2127.6595744680849</v>
      </c>
      <c r="G190" s="31">
        <v>144</v>
      </c>
      <c r="H190" s="32">
        <f t="shared" ref="H190:H193" si="103">IF(ISNUMBER(G190), (G190 - $B190) / $B190, "")</f>
        <v>2.1276595744680851E-2</v>
      </c>
      <c r="I190" s="101">
        <f>IF(ISNUMBER(G190), $B199 * H190, "")</f>
        <v>2127.6595744680849</v>
      </c>
      <c r="J190" s="15">
        <v>142</v>
      </c>
      <c r="K190" s="32">
        <f t="shared" ref="K190:K193" si="104">IF(ISNUMBER(J190), (J190 - $B190) / $B190, "")</f>
        <v>7.0921985815602835E-3</v>
      </c>
      <c r="L190" s="18">
        <f>IF(ISNUMBER(J190), $B199 * K190, "")</f>
        <v>709.21985815602841</v>
      </c>
      <c r="M190" s="31">
        <v>143</v>
      </c>
      <c r="N190" s="32">
        <f t="shared" ref="N190:N193" si="105">IF(ISNUMBER(M190), (M190 - $B190) / $B190, "")</f>
        <v>1.4184397163120567E-2</v>
      </c>
      <c r="O190" s="18">
        <f>IF(ISNUMBER(M190), $B199 * N190, "")</f>
        <v>1418.4397163120568</v>
      </c>
      <c r="Q190" s="256"/>
      <c r="R190" s="257"/>
      <c r="S190" s="258"/>
    </row>
    <row r="191" spans="1:19" ht="17.25" thickBot="1">
      <c r="A191" s="125" t="s">
        <v>204</v>
      </c>
      <c r="B191" s="126">
        <v>13.8</v>
      </c>
      <c r="C191" s="77">
        <v>-2.1276595700000001E-2</v>
      </c>
      <c r="D191" s="15">
        <v>13.9</v>
      </c>
      <c r="E191" s="32">
        <f t="shared" si="102"/>
        <v>7.246376811594177E-3</v>
      </c>
      <c r="F191" s="18">
        <f>IF(ISNUMBER(D191), $B199 * E191, "")</f>
        <v>724.63768115941775</v>
      </c>
      <c r="G191" s="31">
        <v>14.1</v>
      </c>
      <c r="H191" s="32">
        <f t="shared" si="103"/>
        <v>2.1739130434782532E-2</v>
      </c>
      <c r="I191" s="101">
        <f>IF(ISNUMBER(G191), $B199 * H191, "")</f>
        <v>2173.9130434782533</v>
      </c>
      <c r="J191" s="15">
        <v>13.9</v>
      </c>
      <c r="K191" s="32">
        <f t="shared" si="104"/>
        <v>7.246376811594177E-3</v>
      </c>
      <c r="L191" s="18">
        <f>IF(ISNUMBER(J191), $B199 * K191, "")</f>
        <v>724.63768115941775</v>
      </c>
      <c r="M191" s="31">
        <v>13.8</v>
      </c>
      <c r="N191" s="32">
        <f t="shared" si="105"/>
        <v>0</v>
      </c>
      <c r="O191" s="18">
        <f>IF(ISNUMBER(M191), $B199 * N191, "")</f>
        <v>0</v>
      </c>
      <c r="Q191" s="241"/>
      <c r="R191" s="241"/>
      <c r="S191" s="241"/>
    </row>
    <row r="192" spans="1:19" ht="17.25" thickBot="1">
      <c r="A192" s="125" t="s">
        <v>228</v>
      </c>
      <c r="B192" s="126">
        <v>389</v>
      </c>
      <c r="C192" s="77">
        <v>-2.2613065299999999E-2</v>
      </c>
      <c r="D192" s="15">
        <v>392</v>
      </c>
      <c r="E192" s="32">
        <f t="shared" si="102"/>
        <v>7.7120822622107968E-3</v>
      </c>
      <c r="F192" s="18">
        <f>IF(ISNUMBER(D192), $B199 * E192, "")</f>
        <v>771.20822622107971</v>
      </c>
      <c r="G192" s="31">
        <v>392</v>
      </c>
      <c r="H192" s="32">
        <f t="shared" si="103"/>
        <v>7.7120822622107968E-3</v>
      </c>
      <c r="I192" s="101">
        <f>IF(ISNUMBER(G192), $B199 * H192, "")</f>
        <v>771.20822622107971</v>
      </c>
      <c r="J192" s="15">
        <v>387</v>
      </c>
      <c r="K192" s="32">
        <f t="shared" si="104"/>
        <v>-5.1413881748071976E-3</v>
      </c>
      <c r="L192" s="18">
        <f>IF(ISNUMBER(J192), $B199 * K192, "")</f>
        <v>-514.13881748071981</v>
      </c>
      <c r="M192" s="31">
        <v>388</v>
      </c>
      <c r="N192" s="32">
        <f t="shared" si="105"/>
        <v>-2.5706940874035988E-3</v>
      </c>
      <c r="O192" s="18">
        <f>IF(ISNUMBER(M192), $B199 * N192, "")</f>
        <v>-257.0694087403599</v>
      </c>
      <c r="Q192" s="236"/>
      <c r="R192" s="236"/>
      <c r="S192" s="236"/>
    </row>
    <row r="193" spans="1:19" ht="17.25" thickBot="1">
      <c r="A193" s="127" t="s">
        <v>142</v>
      </c>
      <c r="B193" s="128">
        <v>10380</v>
      </c>
      <c r="C193" s="78">
        <v>-2.5352112699999999E-2</v>
      </c>
      <c r="D193" s="20">
        <v>10440</v>
      </c>
      <c r="E193" s="21">
        <f t="shared" si="102"/>
        <v>5.7803468208092483E-3</v>
      </c>
      <c r="F193" s="22">
        <f>IF(ISNUMBER(D193), $B199 * E193, "")</f>
        <v>578.03468208092488</v>
      </c>
      <c r="G193" s="30">
        <v>10470</v>
      </c>
      <c r="H193" s="21">
        <f t="shared" si="103"/>
        <v>8.670520231213872E-3</v>
      </c>
      <c r="I193" s="105">
        <f>IF(ISNUMBER(G193), $B199 * H193, "")</f>
        <v>867.05202312138715</v>
      </c>
      <c r="J193" s="20">
        <v>10360</v>
      </c>
      <c r="K193" s="21">
        <f t="shared" si="104"/>
        <v>-1.9267822736030828E-3</v>
      </c>
      <c r="L193" s="22">
        <f>IF(ISNUMBER(J193), $B199 * K193, "")</f>
        <v>-192.67822736030828</v>
      </c>
      <c r="M193" s="30">
        <v>10370</v>
      </c>
      <c r="N193" s="21">
        <f t="shared" si="105"/>
        <v>-9.6339113680154141E-4</v>
      </c>
      <c r="O193" s="22">
        <f>IF(ISNUMBER(M193), $B199 * N193, "")</f>
        <v>-96.339113680154142</v>
      </c>
      <c r="Q193" s="236"/>
      <c r="R193" s="236"/>
      <c r="S193" s="236"/>
    </row>
    <row r="194" spans="1:19" ht="17.25" thickBot="1">
      <c r="A194" s="125" t="s">
        <v>110</v>
      </c>
      <c r="B194" s="129">
        <v>189</v>
      </c>
      <c r="C194" s="80">
        <v>-3.0769230799999998E-2</v>
      </c>
      <c r="D194" s="106">
        <v>189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192</v>
      </c>
      <c r="H194" s="107">
        <f>IF(ISNUMBER(G194), (G194 - $B194) / $B194, "")</f>
        <v>1.5873015873015872E-2</v>
      </c>
      <c r="I194" s="110">
        <f>IF(ISNUMBER(G194), $B199 * H194, "")</f>
        <v>1587.3015873015872</v>
      </c>
      <c r="J194" s="106">
        <v>187</v>
      </c>
      <c r="K194" s="107">
        <f>IF(ISNUMBER(J194), (J194 - $B194) / $B194, "")</f>
        <v>-1.0582010582010581E-2</v>
      </c>
      <c r="L194" s="108">
        <f>IF(ISNUMBER(J194), $B199 * K194, "")</f>
        <v>-1058.2010582010582</v>
      </c>
      <c r="M194" s="109">
        <v>188</v>
      </c>
      <c r="N194" s="107">
        <f>IF(ISNUMBER(M194), (M194 - $B194) / $B194, "")</f>
        <v>-5.2910052910052907E-3</v>
      </c>
      <c r="O194" s="108">
        <f>IF(ISNUMBER(M194), $B199 * N194, "")</f>
        <v>-529.10052910052912</v>
      </c>
      <c r="Q194" s="241"/>
      <c r="R194" s="241"/>
      <c r="S194" s="241"/>
    </row>
    <row r="195" spans="1:19" ht="17.25" thickBot="1">
      <c r="A195" s="125" t="s">
        <v>196</v>
      </c>
      <c r="B195" s="126">
        <v>4335</v>
      </c>
      <c r="C195" s="77">
        <v>-3.88026608E-2</v>
      </c>
      <c r="D195" s="15">
        <v>4390</v>
      </c>
      <c r="E195" s="32">
        <f t="shared" ref="E195:E198" si="106">IF(ISNUMBER(D195), (D195 - $B195) / $B195, "")</f>
        <v>1.2687427912341407E-2</v>
      </c>
      <c r="F195" s="18">
        <f>IF(ISNUMBER(D195), $B199 * E195, "")</f>
        <v>1268.7427912341407</v>
      </c>
      <c r="G195" s="31">
        <v>4415</v>
      </c>
      <c r="H195" s="32">
        <f t="shared" ref="H195:H198" si="107">IF(ISNUMBER(G195), (G195 - $B195) / $B195, "")</f>
        <v>1.845444059976932E-2</v>
      </c>
      <c r="I195" s="101">
        <f>IF(ISNUMBER(G195), $B199 * H195, "")</f>
        <v>1845.4440599769321</v>
      </c>
      <c r="J195" s="15">
        <v>4520</v>
      </c>
      <c r="K195" s="32">
        <f t="shared" ref="K195:K198" si="108">IF(ISNUMBER(J195), (J195 - $B195) / $B195, "")</f>
        <v>4.2675893886966548E-2</v>
      </c>
      <c r="L195" s="18">
        <f>IF(ISNUMBER(J195), $B199 * K195, "")</f>
        <v>4267.5893886966551</v>
      </c>
      <c r="M195" s="31">
        <v>4455</v>
      </c>
      <c r="N195" s="32">
        <f t="shared" ref="N195:N198" si="109">IF(ISNUMBER(M195), (M195 - $B195) / $B195, "")</f>
        <v>2.768166089965398E-2</v>
      </c>
      <c r="O195" s="18">
        <f>IF(ISNUMBER(M195), $B199 * N195, "")</f>
        <v>2768.166089965398</v>
      </c>
      <c r="Q195" s="241"/>
      <c r="R195" s="241"/>
      <c r="S195" s="241"/>
    </row>
    <row r="196" spans="1:19" ht="17.25" thickBot="1">
      <c r="A196" s="125" t="s">
        <v>232</v>
      </c>
      <c r="B196" s="126">
        <v>515</v>
      </c>
      <c r="C196" s="77">
        <v>-3.9179104499999999E-2</v>
      </c>
      <c r="D196" s="15">
        <v>512</v>
      </c>
      <c r="E196" s="32">
        <f t="shared" si="106"/>
        <v>-5.8252427184466021E-3</v>
      </c>
      <c r="F196" s="18">
        <f>IF(ISNUMBER(D196), $B199 * E196, "")</f>
        <v>-582.52427184466023</v>
      </c>
      <c r="G196" s="31">
        <v>515</v>
      </c>
      <c r="H196" s="32">
        <f t="shared" si="107"/>
        <v>0</v>
      </c>
      <c r="I196" s="101">
        <f>IF(ISNUMBER(G196), $B199 * H196, "")</f>
        <v>0</v>
      </c>
      <c r="J196" s="15">
        <v>511</v>
      </c>
      <c r="K196" s="32">
        <f t="shared" si="108"/>
        <v>-7.7669902912621356E-3</v>
      </c>
      <c r="L196" s="18">
        <f>IF(ISNUMBER(J196), $B199 * K196, "")</f>
        <v>-776.69902912621353</v>
      </c>
      <c r="M196" s="31">
        <v>512</v>
      </c>
      <c r="N196" s="32">
        <f t="shared" si="109"/>
        <v>-5.8252427184466021E-3</v>
      </c>
      <c r="O196" s="18">
        <f>IF(ISNUMBER(M196), $B199 * N196, "")</f>
        <v>-582.52427184466023</v>
      </c>
      <c r="Q196" s="241"/>
      <c r="R196" s="241"/>
      <c r="S196" s="241"/>
    </row>
    <row r="197" spans="1:19">
      <c r="A197" s="125" t="s">
        <v>222</v>
      </c>
      <c r="B197" s="126">
        <v>153</v>
      </c>
      <c r="C197" s="77">
        <v>-4.9689441000000001E-2</v>
      </c>
      <c r="D197" s="15">
        <v>151</v>
      </c>
      <c r="E197" s="32">
        <f t="shared" si="106"/>
        <v>-1.3071895424836602E-2</v>
      </c>
      <c r="F197" s="18">
        <f>IF(ISNUMBER(D197), $B199 * E197, "")</f>
        <v>-1307.1895424836603</v>
      </c>
      <c r="G197" s="31">
        <v>151</v>
      </c>
      <c r="H197" s="32">
        <f t="shared" si="107"/>
        <v>-1.3071895424836602E-2</v>
      </c>
      <c r="I197" s="101">
        <f>IF(ISNUMBER(G197), $B199 * H197, "")</f>
        <v>-1307.1895424836603</v>
      </c>
      <c r="J197" s="15">
        <v>150</v>
      </c>
      <c r="K197" s="32">
        <f t="shared" si="108"/>
        <v>-1.9607843137254902E-2</v>
      </c>
      <c r="L197" s="18">
        <f>IF(ISNUMBER(J197), $B199 * K197, "")</f>
        <v>-1960.7843137254902</v>
      </c>
      <c r="M197" s="31">
        <v>150</v>
      </c>
      <c r="N197" s="32">
        <f t="shared" si="109"/>
        <v>-1.9607843137254902E-2</v>
      </c>
      <c r="O197" s="18">
        <f>IF(ISNUMBER(M197), $B199 * N197, "")</f>
        <v>-1960.7843137254902</v>
      </c>
      <c r="Q197" s="263"/>
      <c r="R197" s="264"/>
      <c r="S197" s="265"/>
    </row>
    <row r="198" spans="1:19" ht="17.25" thickBot="1">
      <c r="A198" s="130" t="s">
        <v>166</v>
      </c>
      <c r="B198" s="131">
        <v>263</v>
      </c>
      <c r="C198" s="79">
        <v>-5.3956834500000002E-2</v>
      </c>
      <c r="D198" s="24">
        <v>263</v>
      </c>
      <c r="E198" s="25">
        <f t="shared" si="106"/>
        <v>0</v>
      </c>
      <c r="F198" s="104">
        <f>IF(ISNUMBER(D198), $B199 * E198, "")</f>
        <v>0</v>
      </c>
      <c r="G198" s="102">
        <v>263</v>
      </c>
      <c r="H198" s="25">
        <f t="shared" si="107"/>
        <v>0</v>
      </c>
      <c r="I198" s="103">
        <f>IF(ISNUMBER(G198), $B199 * H198, "")</f>
        <v>0</v>
      </c>
      <c r="J198" s="24">
        <v>260</v>
      </c>
      <c r="K198" s="25">
        <f t="shared" si="108"/>
        <v>-1.1406844106463879E-2</v>
      </c>
      <c r="L198" s="104">
        <f>IF(ISNUMBER(J198), $B199 * K198, "")</f>
        <v>-1140.684410646388</v>
      </c>
      <c r="M198" s="102">
        <v>260</v>
      </c>
      <c r="N198" s="25">
        <f t="shared" si="109"/>
        <v>-1.1406844106463879E-2</v>
      </c>
      <c r="O198" s="104">
        <f>IF(ISNUMBER(M198), $B199 * N198, "")</f>
        <v>-1140.684410646388</v>
      </c>
      <c r="Q198" s="266"/>
      <c r="R198" s="267"/>
      <c r="S198" s="268"/>
    </row>
    <row r="199" spans="1:19" ht="17.25" thickBot="1">
      <c r="A199" s="132" t="s">
        <v>270</v>
      </c>
      <c r="B199" s="274">
        <f>$B$37</f>
        <v>100000</v>
      </c>
      <c r="C199" s="275"/>
      <c r="D199" s="26" t="s">
        <v>271</v>
      </c>
      <c r="E199" s="27">
        <f>IF(COUNT(E179:E198), SUM(E179:E198) / COUNT(E179:E198), 0)</f>
        <v>1.357340375407565E-2</v>
      </c>
      <c r="F199" s="28">
        <f>SUM(F179:F198)</f>
        <v>27146.807508151302</v>
      </c>
      <c r="G199" s="26" t="s">
        <v>271</v>
      </c>
      <c r="H199" s="27">
        <f>IF(COUNT(H179:H198), SUM(H179:H198) / COUNT(H179:H198), 0)</f>
        <v>2.1786683933111541E-2</v>
      </c>
      <c r="I199" s="28">
        <f>SUM(I179:I198)</f>
        <v>43573.367866223081</v>
      </c>
      <c r="J199" s="26" t="s">
        <v>271</v>
      </c>
      <c r="K199" s="27">
        <f>IF(COUNT(K179:K198), SUM(K179:K198) / COUNT(K179:K198), 0)</f>
        <v>1.3014384884020815E-2</v>
      </c>
      <c r="L199" s="28">
        <f>SUM(L179:L198)</f>
        <v>26028.769768041635</v>
      </c>
      <c r="M199" s="26" t="s">
        <v>271</v>
      </c>
      <c r="N199" s="27">
        <f>IF(COUNT(N179:N198), SUM(N179:N198) / COUNT(N179:N198), 0)</f>
        <v>1.0667892663412989E-2</v>
      </c>
      <c r="O199" s="28">
        <f>SUM(O179:O198)</f>
        <v>21335.785326825975</v>
      </c>
      <c r="Q199" s="269"/>
      <c r="R199" s="270"/>
      <c r="S199" s="27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2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2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2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2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2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2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2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2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2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1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18" priority="157">
      <formula>AND($N17 &gt; 0, ISNUMBER($N17))</formula>
    </cfRule>
    <cfRule type="expression" dxfId="917" priority="158">
      <formula>AND($N17 = 0 * ISNUMBER($N17))</formula>
    </cfRule>
    <cfRule type="expression" dxfId="916" priority="159">
      <formula>AND($N17 &lt; 0, ISNUMBER($N17))</formula>
    </cfRule>
  </conditionalFormatting>
  <conditionalFormatting sqref="A17:F36">
    <cfRule type="expression" dxfId="915" priority="166">
      <formula>AND($E17 &gt; 0, ISNUMBER($E17))</formula>
    </cfRule>
    <cfRule type="expression" dxfId="914" priority="167">
      <formula>AND($E17 = 0 * ISNUMBER($E17))</formula>
    </cfRule>
    <cfRule type="expression" dxfId="913" priority="168">
      <formula>AND($E17 &lt; 0, ISNUMBER($E17))</formula>
    </cfRule>
  </conditionalFormatting>
  <conditionalFormatting sqref="A17:C36 G17:I36">
    <cfRule type="expression" dxfId="912" priority="163">
      <formula>AND($H17 &gt; 0, ISNUMBER($H17))</formula>
    </cfRule>
    <cfRule type="expression" dxfId="911" priority="164">
      <formula>AND($H17 = 0 * ISNUMBER($H17))</formula>
    </cfRule>
    <cfRule type="expression" dxfId="910" priority="165">
      <formula>AND($H17 &lt; 0, ISNUMBER($H17))</formula>
    </cfRule>
  </conditionalFormatting>
  <conditionalFormatting sqref="A17:C36 J17:L36">
    <cfRule type="expression" dxfId="909" priority="160">
      <formula>AND($K17 &gt; 0, ISNUMBER($K17))</formula>
    </cfRule>
    <cfRule type="expression" dxfId="908" priority="161">
      <formula>AND($K17 = 0 * ISNUMBER($K17))</formula>
    </cfRule>
    <cfRule type="expression" dxfId="907" priority="162">
      <formula>AND($K17 &lt; 0, ISNUMBER($K17))</formula>
    </cfRule>
  </conditionalFormatting>
  <conditionalFormatting sqref="D15:F16 E37:F37">
    <cfRule type="expression" dxfId="906" priority="154">
      <formula>$E$37 &gt; 0</formula>
    </cfRule>
    <cfRule type="expression" dxfId="905" priority="155">
      <formula>$E$37 = 0</formula>
    </cfRule>
    <cfRule type="expression" dxfId="904" priority="156">
      <formula>$E$37 &lt; 0</formula>
    </cfRule>
  </conditionalFormatting>
  <conditionalFormatting sqref="G15:I16 H37:I37">
    <cfRule type="expression" dxfId="903" priority="151">
      <formula>$H$37 &gt; 0</formula>
    </cfRule>
    <cfRule type="expression" dxfId="902" priority="152">
      <formula>$H$37 = 0</formula>
    </cfRule>
    <cfRule type="expression" dxfId="901" priority="153">
      <formula>$H$37 &lt; 0</formula>
    </cfRule>
  </conditionalFormatting>
  <conditionalFormatting sqref="J15:L16 K37:L37">
    <cfRule type="expression" dxfId="900" priority="148">
      <formula>$K$37 &gt; 0</formula>
    </cfRule>
    <cfRule type="expression" dxfId="899" priority="149">
      <formula>$K$37 = 0</formula>
    </cfRule>
    <cfRule type="expression" dxfId="898" priority="150">
      <formula>$K$37 &lt; 0</formula>
    </cfRule>
  </conditionalFormatting>
  <conditionalFormatting sqref="M15:O16 N37:O37">
    <cfRule type="expression" dxfId="897" priority="145">
      <formula>$N$37 &gt; 0</formula>
    </cfRule>
    <cfRule type="expression" dxfId="896" priority="146">
      <formula>$N$37 = 0</formula>
    </cfRule>
    <cfRule type="expression" dxfId="895" priority="147">
      <formula>$N$37 &lt; 0</formula>
    </cfRule>
  </conditionalFormatting>
  <conditionalFormatting sqref="A44:C63 M44:O63">
    <cfRule type="expression" dxfId="894" priority="133">
      <formula>AND($N44 &gt; 0, ISNUMBER($N44))</formula>
    </cfRule>
    <cfRule type="expression" dxfId="893" priority="134">
      <formula>AND($N44 = 0 * ISNUMBER($N44))</formula>
    </cfRule>
    <cfRule type="expression" dxfId="892" priority="135">
      <formula>AND($N44 &lt; 0, ISNUMBER($N44))</formula>
    </cfRule>
  </conditionalFormatting>
  <conditionalFormatting sqref="A44:F63">
    <cfRule type="expression" dxfId="891" priority="142">
      <formula>AND($E44 &gt; 0, ISNUMBER($E44))</formula>
    </cfRule>
    <cfRule type="expression" dxfId="890" priority="143">
      <formula>AND($E44 = 0 * ISNUMBER($E44))</formula>
    </cfRule>
    <cfRule type="expression" dxfId="889" priority="144">
      <formula>AND($E44 &lt; 0, ISNUMBER($E44))</formula>
    </cfRule>
  </conditionalFormatting>
  <conditionalFormatting sqref="A44:C63 G44:I63">
    <cfRule type="expression" dxfId="888" priority="139">
      <formula>AND($H44 &gt; 0, ISNUMBER($H44))</formula>
    </cfRule>
    <cfRule type="expression" dxfId="887" priority="140">
      <formula>AND($H44 = 0 * ISNUMBER($H44))</formula>
    </cfRule>
    <cfRule type="expression" dxfId="886" priority="141">
      <formula>AND($H44 &lt; 0, ISNUMBER($H44))</formula>
    </cfRule>
  </conditionalFormatting>
  <conditionalFormatting sqref="A44:C63 J44:L63">
    <cfRule type="expression" dxfId="885" priority="136">
      <formula>AND($K44 &gt; 0, ISNUMBER($K44))</formula>
    </cfRule>
    <cfRule type="expression" dxfId="884" priority="137">
      <formula>AND($K44 = 0 * ISNUMBER($K44))</formula>
    </cfRule>
    <cfRule type="expression" dxfId="883" priority="138">
      <formula>AND($K44 &lt; 0, ISNUMBER($K44))</formula>
    </cfRule>
  </conditionalFormatting>
  <conditionalFormatting sqref="D42:F43 E64:F64">
    <cfRule type="expression" dxfId="882" priority="130">
      <formula>$E$64 &gt; 0</formula>
    </cfRule>
    <cfRule type="expression" dxfId="881" priority="131">
      <formula>$E$64 = 0</formula>
    </cfRule>
    <cfRule type="expression" dxfId="880" priority="132">
      <formula>$E$64 &lt; 0</formula>
    </cfRule>
  </conditionalFormatting>
  <conditionalFormatting sqref="G42:I43 H64:I64">
    <cfRule type="expression" dxfId="879" priority="127">
      <formula>$H$64 &gt; 0</formula>
    </cfRule>
    <cfRule type="expression" dxfId="878" priority="128">
      <formula>$H$64 = 0</formula>
    </cfRule>
    <cfRule type="expression" dxfId="877" priority="129">
      <formula>$H$64 &lt; 0</formula>
    </cfRule>
  </conditionalFormatting>
  <conditionalFormatting sqref="J42:L43 K64:L64">
    <cfRule type="expression" dxfId="876" priority="124">
      <formula>$K$64 &gt; 0</formula>
    </cfRule>
    <cfRule type="expression" dxfId="875" priority="125">
      <formula>$K$64 = 0</formula>
    </cfRule>
    <cfRule type="expression" dxfId="874" priority="126">
      <formula>$K$64 &lt; 0</formula>
    </cfRule>
  </conditionalFormatting>
  <conditionalFormatting sqref="M42:O43 N64:O64">
    <cfRule type="expression" dxfId="873" priority="121">
      <formula>$N$64 &gt; 0</formula>
    </cfRule>
    <cfRule type="expression" dxfId="872" priority="122">
      <formula>$N$64 = 0</formula>
    </cfRule>
    <cfRule type="expression" dxfId="871" priority="123">
      <formula>$N$64 &lt; 0</formula>
    </cfRule>
  </conditionalFormatting>
  <conditionalFormatting sqref="A71:C90 M71:O90">
    <cfRule type="expression" dxfId="870" priority="109">
      <formula>AND($N71 &gt; 0, ISNUMBER($N71))</formula>
    </cfRule>
    <cfRule type="expression" dxfId="869" priority="110">
      <formula>AND($N71 = 0 * ISNUMBER($N71))</formula>
    </cfRule>
    <cfRule type="expression" dxfId="868" priority="111">
      <formula>AND($N71 &lt; 0, ISNUMBER($N71))</formula>
    </cfRule>
  </conditionalFormatting>
  <conditionalFormatting sqref="A71:F90">
    <cfRule type="expression" dxfId="867" priority="118">
      <formula>AND($E71 &gt; 0, ISNUMBER($E71))</formula>
    </cfRule>
    <cfRule type="expression" dxfId="866" priority="119">
      <formula>AND($E71 = 0 * ISNUMBER($E71))</formula>
    </cfRule>
    <cfRule type="expression" dxfId="865" priority="120">
      <formula>AND($E71 &lt; 0, ISNUMBER($E71))</formula>
    </cfRule>
  </conditionalFormatting>
  <conditionalFormatting sqref="A71:C90 G71:I90">
    <cfRule type="expression" dxfId="864" priority="115">
      <formula>AND($H71 &gt; 0, ISNUMBER($H71))</formula>
    </cfRule>
    <cfRule type="expression" dxfId="863" priority="116">
      <formula>AND($H71 = 0 * ISNUMBER($H71))</formula>
    </cfRule>
    <cfRule type="expression" dxfId="862" priority="117">
      <formula>AND($H71 &lt; 0, ISNUMBER($H71))</formula>
    </cfRule>
  </conditionalFormatting>
  <conditionalFormatting sqref="A71:C90 J71:L90">
    <cfRule type="expression" dxfId="861" priority="112">
      <formula>AND($K71 &gt; 0, ISNUMBER($K71))</formula>
    </cfRule>
    <cfRule type="expression" dxfId="860" priority="113">
      <formula>AND($K71 = 0 * ISNUMBER($K71))</formula>
    </cfRule>
    <cfRule type="expression" dxfId="859" priority="114">
      <formula>AND($K71 &lt; 0, ISNUMBER($K71))</formula>
    </cfRule>
  </conditionalFormatting>
  <conditionalFormatting sqref="D69:F70 E91:F91">
    <cfRule type="expression" dxfId="858" priority="106">
      <formula>$E$91 &gt; 0</formula>
    </cfRule>
    <cfRule type="expression" dxfId="857" priority="107">
      <formula>$E$91 = 0</formula>
    </cfRule>
    <cfRule type="expression" dxfId="856" priority="108">
      <formula>$E$91 &lt; 0</formula>
    </cfRule>
  </conditionalFormatting>
  <conditionalFormatting sqref="G69:I70 H91:I91">
    <cfRule type="expression" dxfId="855" priority="103">
      <formula>$H$91 &gt; 0</formula>
    </cfRule>
    <cfRule type="expression" dxfId="854" priority="104">
      <formula>$H$91 = 0</formula>
    </cfRule>
    <cfRule type="expression" dxfId="853" priority="105">
      <formula>$H$91 &lt; 0</formula>
    </cfRule>
  </conditionalFormatting>
  <conditionalFormatting sqref="J69:L70 K91:L91">
    <cfRule type="expression" dxfId="852" priority="100">
      <formula>$K$91 &gt; 0</formula>
    </cfRule>
    <cfRule type="expression" dxfId="851" priority="101">
      <formula>$K$91 = 0</formula>
    </cfRule>
    <cfRule type="expression" dxfId="850" priority="102">
      <formula>$K$91 &lt; 0</formula>
    </cfRule>
  </conditionalFormatting>
  <conditionalFormatting sqref="M69:O70 N91:O91">
    <cfRule type="expression" dxfId="849" priority="97">
      <formula>$N$91 &gt; 0</formula>
    </cfRule>
    <cfRule type="expression" dxfId="848" priority="98">
      <formula>$N$91 = 0</formula>
    </cfRule>
    <cfRule type="expression" dxfId="847" priority="99">
      <formula>$N$91 &lt; 0</formula>
    </cfRule>
  </conditionalFormatting>
  <conditionalFormatting sqref="A98:C117 M98:O117">
    <cfRule type="expression" dxfId="846" priority="85">
      <formula>AND($N98 &gt; 0, ISNUMBER($N98))</formula>
    </cfRule>
    <cfRule type="expression" dxfId="845" priority="86">
      <formula>AND($N98 = 0 * ISNUMBER($N98))</formula>
    </cfRule>
    <cfRule type="expression" dxfId="844" priority="87">
      <formula>AND($N98 &lt; 0, ISNUMBER($N98))</formula>
    </cfRule>
  </conditionalFormatting>
  <conditionalFormatting sqref="A98:F117">
    <cfRule type="expression" dxfId="843" priority="94">
      <formula>AND($E98 &gt; 0, ISNUMBER($E98))</formula>
    </cfRule>
    <cfRule type="expression" dxfId="842" priority="95">
      <formula>AND($E98 = 0 * ISNUMBER($E98))</formula>
    </cfRule>
    <cfRule type="expression" dxfId="841" priority="96">
      <formula>AND($E98 &lt; 0, ISNUMBER($E98))</formula>
    </cfRule>
  </conditionalFormatting>
  <conditionalFormatting sqref="A98:C117 G98:I117">
    <cfRule type="expression" dxfId="840" priority="91">
      <formula>AND($H98 &gt; 0, ISNUMBER($H98))</formula>
    </cfRule>
    <cfRule type="expression" dxfId="839" priority="92">
      <formula>AND($H98 = 0 * ISNUMBER($H98))</formula>
    </cfRule>
    <cfRule type="expression" dxfId="838" priority="93">
      <formula>AND($H98 &lt; 0, ISNUMBER($H98))</formula>
    </cfRule>
  </conditionalFormatting>
  <conditionalFormatting sqref="A98:C117 J98:L117">
    <cfRule type="expression" dxfId="837" priority="88">
      <formula>AND($K98 &gt; 0, ISNUMBER($K98))</formula>
    </cfRule>
    <cfRule type="expression" dxfId="836" priority="89">
      <formula>AND($K98 = 0 * ISNUMBER($K98))</formula>
    </cfRule>
    <cfRule type="expression" dxfId="835" priority="90">
      <formula>AND($K98 &lt; 0, ISNUMBER($K98))</formula>
    </cfRule>
  </conditionalFormatting>
  <conditionalFormatting sqref="D96:F97 E118:F118">
    <cfRule type="expression" dxfId="834" priority="82">
      <formula>$E$118 &gt; 0</formula>
    </cfRule>
    <cfRule type="expression" dxfId="833" priority="83">
      <formula>$E$118 = 0</formula>
    </cfRule>
    <cfRule type="expression" dxfId="832" priority="84">
      <formula>$E$118 &lt; 0</formula>
    </cfRule>
  </conditionalFormatting>
  <conditionalFormatting sqref="G96:I97 H118:I118">
    <cfRule type="expression" dxfId="831" priority="79">
      <formula>$H$118 &gt; 0</formula>
    </cfRule>
    <cfRule type="expression" dxfId="830" priority="80">
      <formula>$H$118 = 0</formula>
    </cfRule>
    <cfRule type="expression" dxfId="829" priority="81">
      <formula>$H$118 &lt; 0</formula>
    </cfRule>
  </conditionalFormatting>
  <conditionalFormatting sqref="J96:L97 K118:L118">
    <cfRule type="expression" dxfId="828" priority="76">
      <formula>$K$118 &gt; 0</formula>
    </cfRule>
    <cfRule type="expression" dxfId="827" priority="77">
      <formula>$K$118 = 0</formula>
    </cfRule>
    <cfRule type="expression" dxfId="826" priority="78">
      <formula>$K$118 &lt; 0</formula>
    </cfRule>
  </conditionalFormatting>
  <conditionalFormatting sqref="M96:O97 N118:O118">
    <cfRule type="expression" dxfId="825" priority="73">
      <formula>$N$118 &gt; 0</formula>
    </cfRule>
    <cfRule type="expression" dxfId="824" priority="74">
      <formula>$N$118 = 0</formula>
    </cfRule>
    <cfRule type="expression" dxfId="823" priority="75">
      <formula>$N$118 &lt; 0</formula>
    </cfRule>
  </conditionalFormatting>
  <conditionalFormatting sqref="A125:C144 M125:O144">
    <cfRule type="expression" dxfId="822" priority="61">
      <formula>AND($N125 &gt; 0, ISNUMBER($N125))</formula>
    </cfRule>
    <cfRule type="expression" dxfId="821" priority="62">
      <formula>AND($N125 = 0 * ISNUMBER($N125))</formula>
    </cfRule>
    <cfRule type="expression" dxfId="820" priority="63">
      <formula>AND($N125 &lt; 0, ISNUMBER($N125))</formula>
    </cfRule>
  </conditionalFormatting>
  <conditionalFormatting sqref="A125:F144">
    <cfRule type="expression" dxfId="819" priority="70">
      <formula>AND($E125 &gt; 0, ISNUMBER($E125))</formula>
    </cfRule>
    <cfRule type="expression" dxfId="818" priority="71">
      <formula>AND($E125 = 0 * ISNUMBER($E125))</formula>
    </cfRule>
    <cfRule type="expression" dxfId="817" priority="72">
      <formula>AND($E125 &lt; 0, ISNUMBER($E125))</formula>
    </cfRule>
  </conditionalFormatting>
  <conditionalFormatting sqref="A125:C144 G125:I144">
    <cfRule type="expression" dxfId="816" priority="67">
      <formula>AND($H125 &gt; 0, ISNUMBER($H125))</formula>
    </cfRule>
    <cfRule type="expression" dxfId="815" priority="68">
      <formula>AND($H125 = 0 * ISNUMBER($H125))</formula>
    </cfRule>
    <cfRule type="expression" dxfId="814" priority="69">
      <formula>AND($H125 &lt; 0, ISNUMBER($H125))</formula>
    </cfRule>
  </conditionalFormatting>
  <conditionalFormatting sqref="A125:C144 J125:L144">
    <cfRule type="expression" dxfId="813" priority="64">
      <formula>AND($K125 &gt; 0, ISNUMBER($K125))</formula>
    </cfRule>
    <cfRule type="expression" dxfId="812" priority="65">
      <formula>AND($K125 = 0 * ISNUMBER($K125))</formula>
    </cfRule>
    <cfRule type="expression" dxfId="811" priority="66">
      <formula>AND($K125 &lt; 0, ISNUMBER($K125))</formula>
    </cfRule>
  </conditionalFormatting>
  <conditionalFormatting sqref="D123:F124 E145:F145">
    <cfRule type="expression" dxfId="810" priority="58">
      <formula>$E$145 &gt; 0</formula>
    </cfRule>
    <cfRule type="expression" dxfId="809" priority="59">
      <formula>$E$145 = 0</formula>
    </cfRule>
    <cfRule type="expression" dxfId="808" priority="60">
      <formula>$E$145 &lt; 0</formula>
    </cfRule>
  </conditionalFormatting>
  <conditionalFormatting sqref="G123:I124 H145:I145">
    <cfRule type="expression" dxfId="807" priority="55">
      <formula>$H$145 &gt; 0</formula>
    </cfRule>
    <cfRule type="expression" dxfId="806" priority="56">
      <formula>$H$145 = 0</formula>
    </cfRule>
    <cfRule type="expression" dxfId="805" priority="57">
      <formula>$H$145 &lt; 0</formula>
    </cfRule>
  </conditionalFormatting>
  <conditionalFormatting sqref="J123:L124 K145:L145">
    <cfRule type="expression" dxfId="804" priority="52">
      <formula>$K$145 &gt; 0</formula>
    </cfRule>
    <cfRule type="expression" dxfId="803" priority="53">
      <formula>$K$145 = 0</formula>
    </cfRule>
    <cfRule type="expression" dxfId="802" priority="54">
      <formula>$K$145 &lt; 0</formula>
    </cfRule>
  </conditionalFormatting>
  <conditionalFormatting sqref="M123:O124 N145:O145">
    <cfRule type="expression" dxfId="801" priority="49">
      <formula>$N$145 &gt; 0</formula>
    </cfRule>
    <cfRule type="expression" dxfId="800" priority="50">
      <formula>$N$145 = 0</formula>
    </cfRule>
    <cfRule type="expression" dxfId="799" priority="51">
      <formula>$N$145 &lt; 0</formula>
    </cfRule>
  </conditionalFormatting>
  <conditionalFormatting sqref="A152:C171 M152:O171">
    <cfRule type="expression" dxfId="798" priority="37">
      <formula>AND($N152 &gt; 0, ISNUMBER($N152))</formula>
    </cfRule>
    <cfRule type="expression" dxfId="797" priority="38">
      <formula>AND($N152 = 0 * ISNUMBER($N152))</formula>
    </cfRule>
    <cfRule type="expression" dxfId="796" priority="39">
      <formula>AND($N152 &lt; 0, ISNUMBER($N152))</formula>
    </cfRule>
  </conditionalFormatting>
  <conditionalFormatting sqref="A152:F171">
    <cfRule type="expression" dxfId="795" priority="46">
      <formula>AND($E152 &gt; 0, ISNUMBER($E152))</formula>
    </cfRule>
    <cfRule type="expression" dxfId="794" priority="47">
      <formula>AND($E152 = 0 * ISNUMBER($E152))</formula>
    </cfRule>
    <cfRule type="expression" dxfId="793" priority="48">
      <formula>AND($E152 &lt; 0, ISNUMBER($E152))</formula>
    </cfRule>
  </conditionalFormatting>
  <conditionalFormatting sqref="A152:C171 G152:I171">
    <cfRule type="expression" dxfId="792" priority="43">
      <formula>AND($H152 &gt; 0, ISNUMBER($H152))</formula>
    </cfRule>
    <cfRule type="expression" dxfId="791" priority="44">
      <formula>AND($H152 = 0 * ISNUMBER($H152))</formula>
    </cfRule>
    <cfRule type="expression" dxfId="790" priority="45">
      <formula>AND($H152 &lt; 0, ISNUMBER($H152))</formula>
    </cfRule>
  </conditionalFormatting>
  <conditionalFormatting sqref="A152:C171 J152:L171">
    <cfRule type="expression" dxfId="789" priority="40">
      <formula>AND($K152 &gt; 0, ISNUMBER($K152))</formula>
    </cfRule>
    <cfRule type="expression" dxfId="788" priority="41">
      <formula>AND($K152 = 0 * ISNUMBER($K152))</formula>
    </cfRule>
    <cfRule type="expression" dxfId="787" priority="42">
      <formula>AND($K152 &lt; 0, ISNUMBER($K152))</formula>
    </cfRule>
  </conditionalFormatting>
  <conditionalFormatting sqref="D150:F151 E172:F172">
    <cfRule type="expression" dxfId="786" priority="34">
      <formula>$E$172 &gt; 0</formula>
    </cfRule>
    <cfRule type="expression" dxfId="785" priority="35">
      <formula>$E$172 = 0</formula>
    </cfRule>
    <cfRule type="expression" dxfId="784" priority="36">
      <formula>$E$172 &lt; 0</formula>
    </cfRule>
  </conditionalFormatting>
  <conditionalFormatting sqref="G150:I151 H172:I172">
    <cfRule type="expression" dxfId="783" priority="31">
      <formula>$H$172 &gt; 0</formula>
    </cfRule>
    <cfRule type="expression" dxfId="782" priority="32">
      <formula>$H$172 = 0</formula>
    </cfRule>
    <cfRule type="expression" dxfId="781" priority="33">
      <formula>$H$172 &lt; 0</formula>
    </cfRule>
  </conditionalFormatting>
  <conditionalFormatting sqref="J150:L151 K172:L172">
    <cfRule type="expression" dxfId="780" priority="28">
      <formula>$K$172 &gt; 0</formula>
    </cfRule>
    <cfRule type="expression" dxfId="779" priority="29">
      <formula>$K$172 = 0</formula>
    </cfRule>
    <cfRule type="expression" dxfId="778" priority="30">
      <formula>$K$172 &lt; 0</formula>
    </cfRule>
  </conditionalFormatting>
  <conditionalFormatting sqref="M150:O151 N172:O172">
    <cfRule type="expression" dxfId="777" priority="25">
      <formula>$N$172 &gt; 0</formula>
    </cfRule>
    <cfRule type="expression" dxfId="776" priority="26">
      <formula>$N$172 = 0</formula>
    </cfRule>
    <cfRule type="expression" dxfId="775" priority="27">
      <formula>$N$172 &lt; 0</formula>
    </cfRule>
  </conditionalFormatting>
  <conditionalFormatting sqref="A179:C198 M179:O198">
    <cfRule type="expression" dxfId="774" priority="13">
      <formula>AND($N179 &gt; 0, ISNUMBER($N179))</formula>
    </cfRule>
    <cfRule type="expression" dxfId="773" priority="14">
      <formula>AND($N179 = 0 * ISNUMBER($N179))</formula>
    </cfRule>
    <cfRule type="expression" dxfId="772" priority="15">
      <formula>AND($N179 &lt; 0, ISNUMBER($N179))</formula>
    </cfRule>
  </conditionalFormatting>
  <conditionalFormatting sqref="A179:F198">
    <cfRule type="expression" dxfId="771" priority="22">
      <formula>AND($E179 &gt; 0, ISNUMBER($E179))</formula>
    </cfRule>
    <cfRule type="expression" dxfId="770" priority="23">
      <formula>AND($E179 = 0 * ISNUMBER($E179))</formula>
    </cfRule>
    <cfRule type="expression" dxfId="769" priority="24">
      <formula>AND($E179 &lt; 0, ISNUMBER($E179))</formula>
    </cfRule>
  </conditionalFormatting>
  <conditionalFormatting sqref="A179:C198 G179:I198">
    <cfRule type="expression" dxfId="768" priority="19">
      <formula>AND($H179 &gt; 0, ISNUMBER($H179))</formula>
    </cfRule>
    <cfRule type="expression" dxfId="767" priority="20">
      <formula>AND($H179 = 0 * ISNUMBER($H179))</formula>
    </cfRule>
    <cfRule type="expression" dxfId="766" priority="21">
      <formula>AND($H179 &lt; 0, ISNUMBER($H179))</formula>
    </cfRule>
  </conditionalFormatting>
  <conditionalFormatting sqref="A179:C198 J179:L198">
    <cfRule type="expression" dxfId="765" priority="16">
      <formula>AND($K179 &gt; 0, ISNUMBER($K179))</formula>
    </cfRule>
    <cfRule type="expression" dxfId="764" priority="17">
      <formula>AND($K179 = 0 * ISNUMBER($K179))</formula>
    </cfRule>
    <cfRule type="expression" dxfId="763" priority="18">
      <formula>AND($K179 &lt; 0, ISNUMBER($K179))</formula>
    </cfRule>
  </conditionalFormatting>
  <conditionalFormatting sqref="D177:F178 E199:F199">
    <cfRule type="expression" dxfId="762" priority="10">
      <formula>$E$199 &gt; 0</formula>
    </cfRule>
    <cfRule type="expression" dxfId="761" priority="11">
      <formula>$E$199 = 0</formula>
    </cfRule>
    <cfRule type="expression" dxfId="760" priority="12">
      <formula>$E$199 &lt; 0</formula>
    </cfRule>
  </conditionalFormatting>
  <conditionalFormatting sqref="G177:I178 H199:I199">
    <cfRule type="expression" dxfId="759" priority="7">
      <formula>$H$199 &gt; 0</formula>
    </cfRule>
    <cfRule type="expression" dxfId="758" priority="8">
      <formula>$H$199 = 0</formula>
    </cfRule>
    <cfRule type="expression" dxfId="757" priority="9">
      <formula>$H$199 &lt; 0</formula>
    </cfRule>
  </conditionalFormatting>
  <conditionalFormatting sqref="J177:L178 K199:L199">
    <cfRule type="expression" dxfId="756" priority="4">
      <formula>$K$199 &gt; 0</formula>
    </cfRule>
    <cfRule type="expression" dxfId="755" priority="5">
      <formula>$K$199 = 0</formula>
    </cfRule>
    <cfRule type="expression" dxfId="754" priority="6">
      <formula>$K$199 &lt; 0</formula>
    </cfRule>
  </conditionalFormatting>
  <conditionalFormatting sqref="M177:O178 N199:O199">
    <cfRule type="expression" dxfId="753" priority="1">
      <formula>$N$199 &gt; 0</formula>
    </cfRule>
    <cfRule type="expression" dxfId="752" priority="2">
      <formula>$N$199 = 0</formula>
    </cfRule>
    <cfRule type="expression" dxfId="75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017F-C2EF-444D-BBE3-F9EDD481E644}">
  <sheetPr codeName="Sheet17"/>
  <dimension ref="A1:S199"/>
  <sheetViews>
    <sheetView topLeftCell="A179" zoomScaleNormal="100" workbookViewId="0">
      <selection activeCell="D194" sqref="D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18">
        <v>44419</v>
      </c>
      <c r="H1" s="219"/>
      <c r="I1" s="220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24" t="s">
        <v>46</v>
      </c>
      <c r="H2" s="225"/>
      <c r="I2" s="226"/>
      <c r="J2" s="1" t="s">
        <v>3</v>
      </c>
      <c r="K2" s="221" t="s">
        <v>320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27" t="s">
        <v>328</v>
      </c>
      <c r="C3" s="228"/>
      <c r="D3" s="228"/>
      <c r="E3" s="228"/>
      <c r="F3" s="229"/>
      <c r="G3" s="23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145,482 KRW (7.27%)</v>
      </c>
      <c r="H3" s="231"/>
      <c r="I3" s="232"/>
      <c r="J3" s="4" t="s">
        <v>7</v>
      </c>
      <c r="K3" s="227" t="s">
        <v>321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7" t="s">
        <v>16</v>
      </c>
      <c r="C4" s="228"/>
      <c r="D4" s="228"/>
      <c r="E4" s="228"/>
      <c r="F4" s="229"/>
      <c r="G4" s="224" t="s">
        <v>44</v>
      </c>
      <c r="H4" s="225"/>
      <c r="I4" s="226"/>
      <c r="J4" s="4" t="s">
        <v>11</v>
      </c>
      <c r="K4" s="227" t="s">
        <v>322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7" t="s">
        <v>319</v>
      </c>
      <c r="C5" s="228"/>
      <c r="D5" s="228"/>
      <c r="E5" s="228"/>
      <c r="F5" s="229"/>
      <c r="G5" s="23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148,711 KRW (8.26%)</v>
      </c>
      <c r="H5" s="231"/>
      <c r="I5" s="232"/>
      <c r="J5" s="4" t="s">
        <v>15</v>
      </c>
      <c r="K5" s="227" t="s">
        <v>323</v>
      </c>
      <c r="L5" s="228"/>
      <c r="M5" s="228"/>
      <c r="N5" s="228"/>
      <c r="O5" s="229"/>
    </row>
    <row r="6" spans="1:19">
      <c r="A6" s="118" t="s">
        <v>18</v>
      </c>
      <c r="B6" s="227"/>
      <c r="C6" s="228"/>
      <c r="D6" s="228"/>
      <c r="E6" s="228"/>
      <c r="F6" s="229"/>
      <c r="G6" s="224" t="s">
        <v>45</v>
      </c>
      <c r="H6" s="225"/>
      <c r="I6" s="226"/>
      <c r="J6" s="4" t="s">
        <v>18</v>
      </c>
      <c r="K6" s="227" t="s">
        <v>324</v>
      </c>
      <c r="L6" s="228"/>
      <c r="M6" s="228"/>
      <c r="N6" s="228"/>
      <c r="O6" s="229"/>
    </row>
    <row r="7" spans="1:19" ht="17.25" thickBot="1">
      <c r="A7" s="118" t="s">
        <v>21</v>
      </c>
      <c r="B7" s="227"/>
      <c r="C7" s="228"/>
      <c r="D7" s="228"/>
      <c r="E7" s="228"/>
      <c r="F7" s="229"/>
      <c r="G7" s="23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135,186 KRW (6.76%)</v>
      </c>
      <c r="H7" s="231"/>
      <c r="I7" s="232"/>
      <c r="J7" s="4" t="s">
        <v>21</v>
      </c>
      <c r="K7" s="227" t="s">
        <v>325</v>
      </c>
      <c r="L7" s="228"/>
      <c r="M7" s="228"/>
      <c r="N7" s="228"/>
      <c r="O7" s="229"/>
    </row>
    <row r="8" spans="1:19" ht="17.25" thickBot="1">
      <c r="A8" s="118" t="s">
        <v>24</v>
      </c>
      <c r="B8" s="227"/>
      <c r="C8" s="228"/>
      <c r="D8" s="228"/>
      <c r="E8" s="228"/>
      <c r="F8" s="229"/>
      <c r="G8" s="224" t="s">
        <v>255</v>
      </c>
      <c r="H8" s="225"/>
      <c r="I8" s="226"/>
      <c r="J8" s="4" t="s">
        <v>24</v>
      </c>
      <c r="K8" s="227"/>
      <c r="L8" s="228"/>
      <c r="M8" s="228"/>
      <c r="N8" s="228"/>
      <c r="O8" s="229"/>
      <c r="Q8" s="215" t="s">
        <v>27</v>
      </c>
      <c r="R8" s="217"/>
    </row>
    <row r="9" spans="1:19" ht="17.25" thickBot="1">
      <c r="A9" s="118" t="s">
        <v>28</v>
      </c>
      <c r="B9" s="227"/>
      <c r="C9" s="228"/>
      <c r="D9" s="228"/>
      <c r="E9" s="228"/>
      <c r="F9" s="229"/>
      <c r="G9" s="23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108,441 KRW (5.42%)</v>
      </c>
      <c r="H9" s="231"/>
      <c r="I9" s="232"/>
      <c r="J9" s="4" t="s">
        <v>28</v>
      </c>
      <c r="K9" s="227"/>
      <c r="L9" s="228"/>
      <c r="M9" s="228"/>
      <c r="N9" s="228"/>
      <c r="O9" s="229"/>
      <c r="Q9" s="2" t="s">
        <v>29</v>
      </c>
      <c r="R9" s="6">
        <v>10</v>
      </c>
    </row>
    <row r="10" spans="1:19">
      <c r="A10" s="118" t="s">
        <v>30</v>
      </c>
      <c r="B10" s="227"/>
      <c r="C10" s="228"/>
      <c r="D10" s="228"/>
      <c r="E10" s="228"/>
      <c r="F10" s="229"/>
      <c r="G10" s="224" t="s">
        <v>47</v>
      </c>
      <c r="H10" s="225"/>
      <c r="I10" s="226"/>
      <c r="J10" s="4" t="s">
        <v>30</v>
      </c>
      <c r="K10" s="227" t="s">
        <v>326</v>
      </c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1"/>
      <c r="I11" s="232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36"/>
      <c r="R13" s="236"/>
      <c r="S13" s="236"/>
    </row>
    <row r="14" spans="1:19" ht="17.25" customHeight="1" thickBot="1">
      <c r="A14" s="197" t="s">
        <v>35</v>
      </c>
      <c r="B14" s="215" t="s">
        <v>36</v>
      </c>
      <c r="C14" s="217"/>
      <c r="D14" s="215" t="s">
        <v>37</v>
      </c>
      <c r="E14" s="216"/>
      <c r="F14" s="217"/>
      <c r="G14" s="242">
        <f>_xlfn.IFNA(VLOOKUP(B14, 현재가테이블!$B$2:$D$200, 2, FALSE), "-")</f>
        <v>53976000</v>
      </c>
      <c r="H14" s="243"/>
      <c r="I14" s="244"/>
      <c r="J14" s="215" t="s">
        <v>38</v>
      </c>
      <c r="K14" s="216"/>
      <c r="L14" s="217"/>
      <c r="M14" s="245">
        <f>_xlfn.IFNA(VLOOKUP(B14, 현재가테이블!$B$2:$D$200, 3, FALSE), "-")</f>
        <v>-2.1216407400000001E-2</v>
      </c>
      <c r="N14" s="246"/>
      <c r="O14" s="247"/>
      <c r="Q14" s="236"/>
      <c r="R14" s="236"/>
      <c r="S14" s="236"/>
    </row>
    <row r="15" spans="1:19" ht="17.25" customHeight="1" thickBot="1">
      <c r="A15" s="280" t="s">
        <v>39</v>
      </c>
      <c r="B15" s="281" t="str">
        <f>TEXT($G$1, "[$-ko-KR]yyyy-mm-dd(ddd) ") &amp; "오전 00:00"</f>
        <v>2021-08-11(수) 오전 00:00</v>
      </c>
      <c r="C15" s="282"/>
      <c r="D15" s="238" t="str">
        <f>TEXT($G$1, "[$-ko-KR]yyyy-mm-dd(ddd) ") &amp; "오후 14:00"</f>
        <v>2021-08-11(수) 오후 14:00</v>
      </c>
      <c r="E15" s="239"/>
      <c r="F15" s="240"/>
      <c r="G15" s="238" t="str">
        <f>TEXT($G$1, "[$-ko-KR]yyyy-mm-dd(ddd) ") &amp; "오후 19:00"</f>
        <v>2021-08-11(수) 오후 19:00</v>
      </c>
      <c r="H15" s="239"/>
      <c r="I15" s="240"/>
      <c r="J15" s="238" t="str">
        <f>TEXT($G$1, "[$-ko-KR]yyyy-mm-dd(ddd) ") &amp; "오후 21:00"</f>
        <v>2021-08-11(수) 오후 21:00</v>
      </c>
      <c r="K15" s="239"/>
      <c r="L15" s="240"/>
      <c r="M15" s="238" t="str">
        <f>TEXT($G$1+1, "[$-ko-KR]yyyy-mm-dd(ddd) ") &amp; "오전 00:00"</f>
        <v>2021-08-12(목) 오전 00:00</v>
      </c>
      <c r="N15" s="239"/>
      <c r="O15" s="240"/>
      <c r="Q15" s="236"/>
      <c r="R15" s="236"/>
      <c r="S15" s="236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1"/>
      <c r="R16" s="241"/>
      <c r="S16" s="24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6"/>
      <c r="R17" s="236"/>
      <c r="S17" s="23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6"/>
      <c r="R18" s="236"/>
      <c r="S18" s="23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1"/>
      <c r="R19" s="241"/>
      <c r="S19" s="24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1"/>
      <c r="R20" s="241"/>
      <c r="S20" s="24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1"/>
      <c r="R21" s="241"/>
      <c r="S21" s="24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1"/>
      <c r="R22" s="241"/>
      <c r="S22" s="24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1"/>
      <c r="R23" s="241"/>
      <c r="S23" s="24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1"/>
      <c r="R24" s="241"/>
      <c r="S24" s="24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0"/>
      <c r="R26" s="251"/>
      <c r="S26" s="25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3"/>
      <c r="R27" s="254"/>
      <c r="S27" s="25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6"/>
      <c r="R28" s="257"/>
      <c r="S28" s="25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1"/>
      <c r="R29" s="241"/>
      <c r="S29" s="24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6"/>
      <c r="R30" s="236"/>
      <c r="S30" s="23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6"/>
      <c r="R31" s="236"/>
      <c r="S31" s="23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1"/>
      <c r="R32" s="241"/>
      <c r="S32" s="24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1"/>
      <c r="R33" s="241"/>
      <c r="S33" s="24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1"/>
      <c r="R34" s="241"/>
      <c r="S34" s="24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3"/>
      <c r="R35" s="264"/>
      <c r="S35" s="26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6"/>
      <c r="R36" s="267"/>
      <c r="S36" s="268"/>
    </row>
    <row r="37" spans="1:19" ht="17.25" customHeight="1" thickBot="1">
      <c r="A37" s="132" t="s">
        <v>42</v>
      </c>
      <c r="B37" s="274">
        <v>100000</v>
      </c>
      <c r="C37" s="27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9"/>
      <c r="R37" s="270"/>
      <c r="S37" s="27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36"/>
      <c r="R40" s="236"/>
      <c r="S40" s="236"/>
    </row>
    <row r="41" spans="1:19" ht="17.25" customHeight="1" thickBot="1">
      <c r="A41" s="197" t="s">
        <v>267</v>
      </c>
      <c r="B41" s="215" t="s">
        <v>49</v>
      </c>
      <c r="C41" s="217"/>
      <c r="D41" s="215" t="s">
        <v>58</v>
      </c>
      <c r="E41" s="216"/>
      <c r="F41" s="217"/>
      <c r="G41" s="242">
        <f>_xlfn.IFNA(VLOOKUP(B41, 현재가테이블!$B$2:$D$200, 2, FALSE), "-")</f>
        <v>53976000</v>
      </c>
      <c r="H41" s="243"/>
      <c r="I41" s="244"/>
      <c r="J41" s="215" t="s">
        <v>59</v>
      </c>
      <c r="K41" s="216"/>
      <c r="L41" s="217"/>
      <c r="M41" s="245">
        <f>_xlfn.IFNA(VLOOKUP(B41, 현재가테이블!$B$2:$D$200, 3, FALSE), "-")</f>
        <v>-2.1216407400000001E-2</v>
      </c>
      <c r="N41" s="246"/>
      <c r="O41" s="247"/>
      <c r="Q41" s="236"/>
      <c r="R41" s="236"/>
      <c r="S41" s="236"/>
    </row>
    <row r="42" spans="1:19" ht="17.25" customHeight="1" thickBot="1">
      <c r="A42" s="276" t="s">
        <v>55</v>
      </c>
      <c r="B42" s="278" t="str">
        <f>TEXT($G$1, "[$-ko-KR]yyyy-mm-dd(ddd) ") &amp; "오전 00:00"</f>
        <v>2021-08-11(수) 오전 00:00</v>
      </c>
      <c r="C42" s="279"/>
      <c r="D42" s="238" t="str">
        <f>TEXT($G$1, "[$-ko-KR]yyyy-mm-dd(ddd) ") &amp; "오후 14:00"</f>
        <v>2021-08-11(수) 오후 14:00</v>
      </c>
      <c r="E42" s="239"/>
      <c r="F42" s="240"/>
      <c r="G42" s="238" t="str">
        <f>TEXT($G$1, "[$-ko-KR]yyyy-mm-dd(ddd) ") &amp; "오후 19:00"</f>
        <v>2021-08-11(수) 오후 19:00</v>
      </c>
      <c r="H42" s="239"/>
      <c r="I42" s="240"/>
      <c r="J42" s="238" t="str">
        <f>TEXT($G$1, "[$-ko-KR]yyyy-mm-dd(ddd) ") &amp; "오후 21:00"</f>
        <v>2021-08-11(수) 오후 21:00</v>
      </c>
      <c r="K42" s="239"/>
      <c r="L42" s="240"/>
      <c r="M42" s="238" t="str">
        <f>TEXT($G$1+1, "[$-ko-KR]yyyy-mm-dd(ddd) ") &amp; "오전 00:00"</f>
        <v>2021-08-12(목) 오전 00:00</v>
      </c>
      <c r="N42" s="239"/>
      <c r="O42" s="240"/>
      <c r="Q42" s="236"/>
      <c r="R42" s="236"/>
      <c r="S42" s="236"/>
    </row>
    <row r="43" spans="1:19" ht="17.25" customHeight="1" thickBot="1">
      <c r="A43" s="27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1"/>
      <c r="R43" s="241"/>
      <c r="S43" s="241"/>
    </row>
    <row r="44" spans="1:19" ht="17.25" customHeight="1" thickBot="1">
      <c r="A44" s="123" t="s">
        <v>240</v>
      </c>
      <c r="B44" s="124">
        <v>66.900000000000006</v>
      </c>
      <c r="C44" s="76">
        <v>3.7209302299999997E-2</v>
      </c>
      <c r="D44" s="13">
        <v>67.5</v>
      </c>
      <c r="E44" s="14">
        <f>IF(ISNUMBER(D44), (D44 - $B44) / $B44, "")</f>
        <v>8.9686098654707669E-3</v>
      </c>
      <c r="F44" s="16">
        <f>IF(ISNUMBER(D44), $B64 * E44, "")</f>
        <v>896.86098654707666</v>
      </c>
      <c r="G44" s="29">
        <v>68.7</v>
      </c>
      <c r="H44" s="14">
        <f>IF(ISNUMBER(G44), (G44 - $B44) / $B44, "")</f>
        <v>2.6905829596412512E-2</v>
      </c>
      <c r="I44" s="100">
        <f>IF(ISNUMBER(G44), $B64 * H44, "")</f>
        <v>2690.5829596412514</v>
      </c>
      <c r="J44" s="13">
        <v>69.2</v>
      </c>
      <c r="K44" s="14">
        <f>IF(ISNUMBER(J44), (J44 - $B44) / $B44, "")</f>
        <v>3.4379671150971555E-2</v>
      </c>
      <c r="L44" s="16">
        <f>IF(ISNUMBER(J44), $B64 * K44, "")</f>
        <v>3437.9671150971553</v>
      </c>
      <c r="M44" s="29">
        <v>69.8</v>
      </c>
      <c r="N44" s="14">
        <f>IF(ISNUMBER(M44), (M44 - $B44) / $B44, "")</f>
        <v>4.3348281016442322E-2</v>
      </c>
      <c r="O44" s="16">
        <f>IF(ISNUMBER(M44), $B64 * N44, "")</f>
        <v>4334.8281016442324</v>
      </c>
      <c r="Q44" s="236"/>
      <c r="R44" s="236"/>
      <c r="S44" s="236"/>
    </row>
    <row r="45" spans="1:19" ht="17.25" customHeight="1" thickBot="1">
      <c r="A45" s="125" t="s">
        <v>202</v>
      </c>
      <c r="B45" s="126">
        <v>89.8</v>
      </c>
      <c r="C45" s="77">
        <v>2.8636884299999998E-2</v>
      </c>
      <c r="D45" s="15">
        <v>92.9</v>
      </c>
      <c r="E45" s="32">
        <f t="shared" ref="E45:E48" si="14">IF(ISNUMBER(D45), (D45 - $B45) / $B45, "")</f>
        <v>3.4521158129176041E-2</v>
      </c>
      <c r="F45" s="18">
        <f>IF(ISNUMBER(D45), $B64 * E45, "")</f>
        <v>3452.1158129176042</v>
      </c>
      <c r="G45" s="31">
        <v>98.8</v>
      </c>
      <c r="H45" s="32">
        <f t="shared" ref="H45:H48" si="15">IF(ISNUMBER(G45), (G45 - $B45) / $B45, "")</f>
        <v>0.1002227171492205</v>
      </c>
      <c r="I45" s="101">
        <f>IF(ISNUMBER(G45), $B64 * H45, "")</f>
        <v>10022.27171492205</v>
      </c>
      <c r="J45" s="15">
        <v>96.1</v>
      </c>
      <c r="K45" s="32">
        <f t="shared" ref="K45:K48" si="16">IF(ISNUMBER(J45), (J45 - $B45) / $B45, "")</f>
        <v>7.0155902004454318E-2</v>
      </c>
      <c r="L45" s="18">
        <f>IF(ISNUMBER(J45), $B64 * K45, "")</f>
        <v>7015.5902004454319</v>
      </c>
      <c r="M45" s="31">
        <v>96.6</v>
      </c>
      <c r="N45" s="32">
        <f t="shared" ref="N45:N48" si="17">IF(ISNUMBER(M45), (M45 - $B45) / $B45, "")</f>
        <v>7.5723830734966566E-2</v>
      </c>
      <c r="O45" s="18">
        <f>IF(ISNUMBER(M45), $B64 * N45, "")</f>
        <v>7572.3830734966568</v>
      </c>
      <c r="Q45" s="236"/>
      <c r="R45" s="236"/>
      <c r="S45" s="236"/>
    </row>
    <row r="46" spans="1:19" ht="17.25" customHeight="1" thickBot="1">
      <c r="A46" s="125" t="s">
        <v>122</v>
      </c>
      <c r="B46" s="126">
        <v>30.1</v>
      </c>
      <c r="C46" s="77">
        <v>6.6889632000000001E-3</v>
      </c>
      <c r="D46" s="15">
        <v>31.2</v>
      </c>
      <c r="E46" s="32">
        <f t="shared" si="14"/>
        <v>3.6544850498338798E-2</v>
      </c>
      <c r="F46" s="18">
        <f>IF(ISNUMBER(D46), $B64 * E46, "")</f>
        <v>3654.4850498338797</v>
      </c>
      <c r="G46" s="31">
        <v>31.5</v>
      </c>
      <c r="H46" s="32">
        <f t="shared" si="15"/>
        <v>4.6511627906976695E-2</v>
      </c>
      <c r="I46" s="101">
        <f>IF(ISNUMBER(G46), $B64 * H46, "")</f>
        <v>4651.1627906976692</v>
      </c>
      <c r="J46" s="15">
        <v>31.4</v>
      </c>
      <c r="K46" s="32">
        <f t="shared" si="16"/>
        <v>4.3189368770764021E-2</v>
      </c>
      <c r="L46" s="18">
        <f>IF(ISNUMBER(J46), $B64 * K46, "")</f>
        <v>4318.9368770764022</v>
      </c>
      <c r="M46" s="31">
        <v>32.700000000000003</v>
      </c>
      <c r="N46" s="32">
        <f t="shared" si="17"/>
        <v>8.6378737541528278E-2</v>
      </c>
      <c r="O46" s="18">
        <f>IF(ISNUMBER(M46), $B64 * N46, "")</f>
        <v>8637.873754152828</v>
      </c>
      <c r="Q46" s="241"/>
      <c r="R46" s="241"/>
      <c r="S46" s="241"/>
    </row>
    <row r="47" spans="1:19" ht="17.25" customHeight="1" thickBot="1">
      <c r="A47" s="125" t="s">
        <v>152</v>
      </c>
      <c r="B47" s="126">
        <v>84.7</v>
      </c>
      <c r="C47" s="77">
        <v>0</v>
      </c>
      <c r="D47" s="15">
        <v>89.5</v>
      </c>
      <c r="E47" s="32">
        <f t="shared" si="14"/>
        <v>5.6670602125147546E-2</v>
      </c>
      <c r="F47" s="18">
        <f>IF(ISNUMBER(D47), $B64 * E47, "")</f>
        <v>5667.0602125147543</v>
      </c>
      <c r="G47" s="31">
        <v>93.7</v>
      </c>
      <c r="H47" s="32">
        <f t="shared" si="15"/>
        <v>0.10625737898465171</v>
      </c>
      <c r="I47" s="101">
        <f>IF(ISNUMBER(G47), $B64 * H47, "")</f>
        <v>10625.737898465171</v>
      </c>
      <c r="J47" s="15">
        <v>94.6</v>
      </c>
      <c r="K47" s="32">
        <f t="shared" si="16"/>
        <v>0.11688311688311678</v>
      </c>
      <c r="L47" s="18">
        <f>IF(ISNUMBER(J47), $B64 * K47, "")</f>
        <v>11688.311688311678</v>
      </c>
      <c r="M47" s="31">
        <v>97.1</v>
      </c>
      <c r="N47" s="32">
        <f t="shared" si="17"/>
        <v>0.14639905548996449</v>
      </c>
      <c r="O47" s="18">
        <f>IF(ISNUMBER(M47), $B64 * N47, "")</f>
        <v>14639.905548996448</v>
      </c>
      <c r="Q47" s="241"/>
      <c r="R47" s="241"/>
      <c r="S47" s="241"/>
    </row>
    <row r="48" spans="1:19" ht="17.25" customHeight="1" thickBot="1">
      <c r="A48" s="127" t="s">
        <v>65</v>
      </c>
      <c r="B48" s="128">
        <v>32.1</v>
      </c>
      <c r="C48" s="78">
        <v>-3.1055901000000001E-3</v>
      </c>
      <c r="D48" s="20">
        <v>35</v>
      </c>
      <c r="E48" s="21">
        <f t="shared" si="14"/>
        <v>9.0342679127725811E-2</v>
      </c>
      <c r="F48" s="22">
        <f>IF(ISNUMBER(D48), $B64 * E48, "")</f>
        <v>9034.2679127725805</v>
      </c>
      <c r="G48" s="30">
        <v>35.299999999999997</v>
      </c>
      <c r="H48" s="21">
        <f t="shared" si="15"/>
        <v>9.968847352024908E-2</v>
      </c>
      <c r="I48" s="105">
        <f>IF(ISNUMBER(G48), $B64 * H48, "")</f>
        <v>9968.8473520249081</v>
      </c>
      <c r="J48" s="20">
        <v>34.9</v>
      </c>
      <c r="K48" s="21">
        <f t="shared" si="16"/>
        <v>8.7227414330217981E-2</v>
      </c>
      <c r="L48" s="22">
        <f>IF(ISNUMBER(J48), $B64 * K48, "")</f>
        <v>8722.741433021798</v>
      </c>
      <c r="M48" s="30">
        <v>35.6</v>
      </c>
      <c r="N48" s="21">
        <f t="shared" si="17"/>
        <v>0.10903426791277258</v>
      </c>
      <c r="O48" s="22">
        <f>IF(ISNUMBER(M48), $B64 * N48, "")</f>
        <v>10903.426791277258</v>
      </c>
      <c r="Q48" s="241"/>
      <c r="R48" s="241"/>
      <c r="S48" s="241"/>
    </row>
    <row r="49" spans="1:19" ht="17.25" customHeight="1" thickBot="1">
      <c r="A49" s="125" t="s">
        <v>148</v>
      </c>
      <c r="B49" s="129">
        <v>19.3</v>
      </c>
      <c r="C49" s="80">
        <v>-5.1546392E-3</v>
      </c>
      <c r="D49" s="106">
        <v>20.5</v>
      </c>
      <c r="E49" s="107">
        <f>IF(ISNUMBER(D49), (D49 - $B49) / $B49, "")</f>
        <v>6.2176165803108772E-2</v>
      </c>
      <c r="F49" s="108">
        <f>IF(ISNUMBER(D49), $B64 * E49, "")</f>
        <v>6217.616580310877</v>
      </c>
      <c r="G49" s="109">
        <v>20.9</v>
      </c>
      <c r="H49" s="107">
        <f>IF(ISNUMBER(G49), (G49 - $B49) / $B49, "")</f>
        <v>8.290155440414497E-2</v>
      </c>
      <c r="I49" s="110">
        <f>IF(ISNUMBER(G49), $B64 * H49, "")</f>
        <v>8290.1554404144972</v>
      </c>
      <c r="J49" s="106">
        <v>20.6</v>
      </c>
      <c r="K49" s="107">
        <f>IF(ISNUMBER(J49), (J49 - $B49) / $B49, "")</f>
        <v>6.7357512953367907E-2</v>
      </c>
      <c r="L49" s="108">
        <f>IF(ISNUMBER(J49), $B64 * K49, "")</f>
        <v>6735.7512953367905</v>
      </c>
      <c r="M49" s="109">
        <v>21.6</v>
      </c>
      <c r="N49" s="107">
        <f>IF(ISNUMBER(M49), (M49 - $B49) / $B49, "")</f>
        <v>0.11917098445595858</v>
      </c>
      <c r="O49" s="108">
        <f>IF(ISNUMBER(M49), $B64 * N49, "")</f>
        <v>11917.098445595859</v>
      </c>
      <c r="Q49" s="241"/>
      <c r="R49" s="241"/>
      <c r="S49" s="241"/>
    </row>
    <row r="50" spans="1:19" ht="17.25" customHeight="1" thickBot="1">
      <c r="A50" s="125" t="s">
        <v>98</v>
      </c>
      <c r="B50" s="126">
        <v>4.3899999999999997</v>
      </c>
      <c r="C50" s="77">
        <v>-6.7873302999999999E-3</v>
      </c>
      <c r="D50" s="15">
        <v>4.6100000000000003</v>
      </c>
      <c r="E50" s="32">
        <f t="shared" ref="E50:E53" si="18">IF(ISNUMBER(D50), (D50 - $B50) / $B50, "")</f>
        <v>5.0113895216401062E-2</v>
      </c>
      <c r="F50" s="18">
        <f>IF(ISNUMBER(D50), $B64 * E50, "")</f>
        <v>5011.3895216401061</v>
      </c>
      <c r="G50" s="31">
        <v>5.03</v>
      </c>
      <c r="H50" s="32">
        <f t="shared" ref="H50:H53" si="19">IF(ISNUMBER(G50), (G50 - $B50) / $B50, "")</f>
        <v>0.14578587699316642</v>
      </c>
      <c r="I50" s="101">
        <f>IF(ISNUMBER(G50), $B64 * H50, "")</f>
        <v>14578.587699316642</v>
      </c>
      <c r="J50" s="15">
        <v>4.9800000000000004</v>
      </c>
      <c r="K50" s="32">
        <f t="shared" ref="K50:K53" si="20">IF(ISNUMBER(J50), (J50 - $B50) / $B50, "")</f>
        <v>0.13439635535307534</v>
      </c>
      <c r="L50" s="18">
        <f>IF(ISNUMBER(J50), $B64 * K50, "")</f>
        <v>13439.635535307534</v>
      </c>
      <c r="M50" s="31">
        <v>5.26</v>
      </c>
      <c r="N50" s="32">
        <f t="shared" ref="N50:N53" si="21">IF(ISNUMBER(M50), (M50 - $B50) / $B50, "")</f>
        <v>0.19817767653758547</v>
      </c>
      <c r="O50" s="18">
        <f>IF(ISNUMBER(M50), $B64 * N50, "")</f>
        <v>19817.767653758547</v>
      </c>
      <c r="Q50" s="241"/>
      <c r="R50" s="241"/>
      <c r="S50" s="241"/>
    </row>
    <row r="51" spans="1:19" ht="17.25" customHeight="1" thickBot="1">
      <c r="A51" s="125" t="s">
        <v>188</v>
      </c>
      <c r="B51" s="126">
        <v>12.3</v>
      </c>
      <c r="C51" s="77">
        <v>-8.0645161000000003E-3</v>
      </c>
      <c r="D51" s="15">
        <v>12.6</v>
      </c>
      <c r="E51" s="32">
        <f t="shared" si="18"/>
        <v>2.4390243902438935E-2</v>
      </c>
      <c r="F51" s="18">
        <f>IF(ISNUMBER(D51), $B64 * E51, "")</f>
        <v>2439.0243902438933</v>
      </c>
      <c r="G51" s="31">
        <v>12.8</v>
      </c>
      <c r="H51" s="32">
        <f t="shared" si="19"/>
        <v>4.065040650406504E-2</v>
      </c>
      <c r="I51" s="101">
        <f>IF(ISNUMBER(G51), $B64 * H51, "")</f>
        <v>4065.040650406504</v>
      </c>
      <c r="J51" s="15">
        <v>12.7</v>
      </c>
      <c r="K51" s="32">
        <f t="shared" si="20"/>
        <v>3.2520325203251918E-2</v>
      </c>
      <c r="L51" s="18">
        <f>IF(ISNUMBER(J51), $B64 * K51, "")</f>
        <v>3252.0325203251919</v>
      </c>
      <c r="M51" s="31">
        <v>13.2</v>
      </c>
      <c r="N51" s="32">
        <f t="shared" si="21"/>
        <v>7.3170731707316958E-2</v>
      </c>
      <c r="O51" s="18">
        <f>IF(ISNUMBER(M51), $B64 * N51, "")</f>
        <v>7317.0731707316954</v>
      </c>
      <c r="Q51" s="241"/>
      <c r="R51" s="241"/>
      <c r="S51" s="241"/>
    </row>
    <row r="52" spans="1:19" ht="17.25" customHeight="1" thickBot="1">
      <c r="A52" s="125" t="s">
        <v>178</v>
      </c>
      <c r="B52" s="126">
        <v>16.399999999999999</v>
      </c>
      <c r="C52" s="77">
        <v>-1.20481928E-2</v>
      </c>
      <c r="D52" s="15">
        <v>16.8</v>
      </c>
      <c r="E52" s="32">
        <f t="shared" si="18"/>
        <v>2.4390243902439157E-2</v>
      </c>
      <c r="F52" s="18">
        <f>IF(ISNUMBER(D52), $B64 * E52, "")</f>
        <v>2439.0243902439156</v>
      </c>
      <c r="G52" s="31">
        <v>17.100000000000001</v>
      </c>
      <c r="H52" s="32">
        <f t="shared" si="19"/>
        <v>4.2682926829268469E-2</v>
      </c>
      <c r="I52" s="101">
        <f>IF(ISNUMBER(G52), $B64 * H52, "")</f>
        <v>4268.2926829268472</v>
      </c>
      <c r="J52" s="15">
        <v>17</v>
      </c>
      <c r="K52" s="32">
        <f t="shared" si="20"/>
        <v>3.6585365853658625E-2</v>
      </c>
      <c r="L52" s="18">
        <f>IF(ISNUMBER(J52), $B64 * K52, "")</f>
        <v>3658.5365853658623</v>
      </c>
      <c r="M52" s="31">
        <v>17.3</v>
      </c>
      <c r="N52" s="32">
        <f t="shared" si="21"/>
        <v>5.4878048780487937E-2</v>
      </c>
      <c r="O52" s="18">
        <f>IF(ISNUMBER(M52), $B64 * N52, "")</f>
        <v>5487.8048780487934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-1.33333333E-2</v>
      </c>
      <c r="D53" s="24">
        <v>22.8</v>
      </c>
      <c r="E53" s="25">
        <f t="shared" si="18"/>
        <v>2.7027027027027091E-2</v>
      </c>
      <c r="F53" s="104">
        <f>IF(ISNUMBER(D53), $B64 * E53, "")</f>
        <v>2702.7027027027093</v>
      </c>
      <c r="G53" s="102">
        <v>23.2</v>
      </c>
      <c r="H53" s="25">
        <f t="shared" si="19"/>
        <v>4.504504504504505E-2</v>
      </c>
      <c r="I53" s="103">
        <f>IF(ISNUMBER(G53), $B64 * H53, "")</f>
        <v>4504.5045045045053</v>
      </c>
      <c r="J53" s="24">
        <v>23</v>
      </c>
      <c r="K53" s="25">
        <f t="shared" si="20"/>
        <v>3.603603603603607E-2</v>
      </c>
      <c r="L53" s="104">
        <f>IF(ISNUMBER(J53), $B64 * K53, "")</f>
        <v>3603.6036036036071</v>
      </c>
      <c r="M53" s="102">
        <v>23.5</v>
      </c>
      <c r="N53" s="25">
        <f t="shared" si="21"/>
        <v>5.8558558558558592E-2</v>
      </c>
      <c r="O53" s="104">
        <f>IF(ISNUMBER(M53), $B64 * N53, "")</f>
        <v>5855.8558558558589</v>
      </c>
      <c r="Q53" s="250"/>
      <c r="R53" s="251"/>
      <c r="S53" s="252"/>
    </row>
    <row r="54" spans="1:19" ht="17.25" customHeight="1">
      <c r="A54" s="123" t="s">
        <v>234</v>
      </c>
      <c r="B54" s="124">
        <v>70</v>
      </c>
      <c r="C54" s="76">
        <v>-1.68539326E-2</v>
      </c>
      <c r="D54" s="13">
        <v>71.5</v>
      </c>
      <c r="E54" s="14">
        <f>IF(ISNUMBER(D54), (D54 - $B54) / $B54, "")</f>
        <v>2.1428571428571429E-2</v>
      </c>
      <c r="F54" s="16">
        <f>IF(ISNUMBER(D54), $B64 * E54, "")</f>
        <v>2142.8571428571427</v>
      </c>
      <c r="G54" s="29">
        <v>72.7</v>
      </c>
      <c r="H54" s="14">
        <f>IF(ISNUMBER(G54), (G54 - $B54) / $B54, "")</f>
        <v>3.8571428571428611E-2</v>
      </c>
      <c r="I54" s="100">
        <f>IF(ISNUMBER(G54), $B64 * H54, "")</f>
        <v>3857.142857142861</v>
      </c>
      <c r="J54" s="13">
        <v>72.2</v>
      </c>
      <c r="K54" s="14">
        <f>IF(ISNUMBER(J54), (J54 - $B54) / $B54, "")</f>
        <v>3.1428571428571472E-2</v>
      </c>
      <c r="L54" s="16">
        <f>IF(ISNUMBER(J54), $B64 * K54, "")</f>
        <v>3142.8571428571472</v>
      </c>
      <c r="M54" s="29">
        <v>73.8</v>
      </c>
      <c r="N54" s="14">
        <f>IF(ISNUMBER(M54), (M54 - $B54) / $B54, "")</f>
        <v>5.4285714285714243E-2</v>
      </c>
      <c r="O54" s="16">
        <f>IF(ISNUMBER(M54), $B64 * N54, "")</f>
        <v>5428.5714285714239</v>
      </c>
      <c r="Q54" s="253"/>
      <c r="R54" s="254"/>
      <c r="S54" s="255"/>
    </row>
    <row r="55" spans="1:19" ht="17.25" customHeight="1" thickBot="1">
      <c r="A55" s="125" t="s">
        <v>210</v>
      </c>
      <c r="B55" s="126">
        <v>11.6</v>
      </c>
      <c r="C55" s="77">
        <v>-1.6949152499999998E-2</v>
      </c>
      <c r="D55" s="15">
        <v>12</v>
      </c>
      <c r="E55" s="32">
        <f t="shared" ref="E55:E58" si="22">IF(ISNUMBER(D55), (D55 - $B55) / $B55, "")</f>
        <v>3.4482758620689689E-2</v>
      </c>
      <c r="F55" s="18">
        <f>IF(ISNUMBER(D55), $B64 * E55, "")</f>
        <v>3448.2758620689688</v>
      </c>
      <c r="G55" s="31">
        <v>12</v>
      </c>
      <c r="H55" s="32">
        <f t="shared" ref="H55:H58" si="23">IF(ISNUMBER(G55), (G55 - $B55) / $B55, "")</f>
        <v>3.4482758620689689E-2</v>
      </c>
      <c r="I55" s="101">
        <f>IF(ISNUMBER(G55), $B64 * H55, "")</f>
        <v>3448.2758620689688</v>
      </c>
      <c r="J55" s="15">
        <v>12.1</v>
      </c>
      <c r="K55" s="32">
        <f t="shared" ref="K55:K58" si="24">IF(ISNUMBER(J55), (J55 - $B55) / $B55, "")</f>
        <v>4.3103448275862072E-2</v>
      </c>
      <c r="L55" s="18">
        <f>IF(ISNUMBER(J55), $B64 * K55, "")</f>
        <v>4310.3448275862074</v>
      </c>
      <c r="M55" s="31">
        <v>12.3</v>
      </c>
      <c r="N55" s="32">
        <f t="shared" ref="N55:N58" si="25">IF(ISNUMBER(M55), (M55 - $B55) / $B55, "")</f>
        <v>6.0344827586206989E-2</v>
      </c>
      <c r="O55" s="18">
        <f>IF(ISNUMBER(M55), $B64 * N55, "")</f>
        <v>6034.4827586206993</v>
      </c>
      <c r="Q55" s="256"/>
      <c r="R55" s="257"/>
      <c r="S55" s="258"/>
    </row>
    <row r="56" spans="1:19" ht="17.25" customHeight="1" thickBot="1">
      <c r="A56" s="125" t="s">
        <v>190</v>
      </c>
      <c r="B56" s="126">
        <v>17.100000000000001</v>
      </c>
      <c r="C56" s="77">
        <v>-1.7241379300000002E-2</v>
      </c>
      <c r="D56" s="15">
        <v>17.5</v>
      </c>
      <c r="E56" s="32">
        <f t="shared" si="22"/>
        <v>2.3391812865496991E-2</v>
      </c>
      <c r="F56" s="18">
        <f>IF(ISNUMBER(D56), $B64 * E56, "")</f>
        <v>2339.1812865496991</v>
      </c>
      <c r="G56" s="31">
        <v>17.600000000000001</v>
      </c>
      <c r="H56" s="32">
        <f t="shared" si="23"/>
        <v>2.9239766081871343E-2</v>
      </c>
      <c r="I56" s="101">
        <f>IF(ISNUMBER(G56), $B64 * H56, "")</f>
        <v>2923.9766081871344</v>
      </c>
      <c r="J56" s="15">
        <v>17.399999999999999</v>
      </c>
      <c r="K56" s="32">
        <f t="shared" si="24"/>
        <v>1.754385964912264E-2</v>
      </c>
      <c r="L56" s="18">
        <f>IF(ISNUMBER(J56), $B64 * K56, "")</f>
        <v>1754.3859649122639</v>
      </c>
      <c r="M56" s="31">
        <v>18</v>
      </c>
      <c r="N56" s="32">
        <f t="shared" si="25"/>
        <v>5.2631578947368335E-2</v>
      </c>
      <c r="O56" s="18">
        <f>IF(ISNUMBER(M56), $B64 * N56, "")</f>
        <v>5263.1578947368334</v>
      </c>
      <c r="Q56" s="241"/>
      <c r="R56" s="241"/>
      <c r="S56" s="241"/>
    </row>
    <row r="57" spans="1:19" ht="17.25" customHeight="1" thickBot="1">
      <c r="A57" s="125" t="s">
        <v>250</v>
      </c>
      <c r="B57" s="126">
        <v>70</v>
      </c>
      <c r="C57" s="77">
        <v>-1.8232819099999999E-2</v>
      </c>
      <c r="D57" s="15">
        <v>73.400000000000006</v>
      </c>
      <c r="E57" s="32">
        <f t="shared" si="22"/>
        <v>4.8571428571428654E-2</v>
      </c>
      <c r="F57" s="18">
        <f>IF(ISNUMBER(D57), $B64 * E57, "")</f>
        <v>4857.1428571428651</v>
      </c>
      <c r="G57" s="31">
        <v>75.8</v>
      </c>
      <c r="H57" s="32">
        <f t="shared" si="23"/>
        <v>8.285714285714281E-2</v>
      </c>
      <c r="I57" s="101">
        <f>IF(ISNUMBER(G57), $B64 * H57, "")</f>
        <v>8285.7142857142808</v>
      </c>
      <c r="J57" s="15">
        <v>75.7</v>
      </c>
      <c r="K57" s="32">
        <f t="shared" si="24"/>
        <v>8.1428571428571475E-2</v>
      </c>
      <c r="L57" s="18">
        <f>IF(ISNUMBER(J57), $B64 * K57, "")</f>
        <v>8142.8571428571477</v>
      </c>
      <c r="M57" s="31">
        <v>77.5</v>
      </c>
      <c r="N57" s="32">
        <f t="shared" si="25"/>
        <v>0.10714285714285714</v>
      </c>
      <c r="O57" s="18">
        <f>IF(ISNUMBER(M57), $B64 * N57, "")</f>
        <v>10714.285714285714</v>
      </c>
      <c r="Q57" s="236"/>
      <c r="R57" s="236"/>
      <c r="S57" s="236"/>
    </row>
    <row r="58" spans="1:19" ht="17.25" customHeight="1" thickBot="1">
      <c r="A58" s="127" t="s">
        <v>216</v>
      </c>
      <c r="B58" s="128">
        <v>10.5</v>
      </c>
      <c r="C58" s="78">
        <v>-1.8691588799999999E-2</v>
      </c>
      <c r="D58" s="20">
        <v>10.7</v>
      </c>
      <c r="E58" s="21">
        <f t="shared" si="22"/>
        <v>1.904761904761898E-2</v>
      </c>
      <c r="F58" s="22">
        <f>IF(ISNUMBER(D58), $B64 * E58, "")</f>
        <v>1904.761904761898</v>
      </c>
      <c r="G58" s="30">
        <v>11</v>
      </c>
      <c r="H58" s="21">
        <f t="shared" si="23"/>
        <v>4.7619047619047616E-2</v>
      </c>
      <c r="I58" s="105">
        <f>IF(ISNUMBER(G58), $B64 * H58, "")</f>
        <v>4761.9047619047615</v>
      </c>
      <c r="J58" s="20">
        <v>10.9</v>
      </c>
      <c r="K58" s="21">
        <f t="shared" si="24"/>
        <v>3.8095238095238126E-2</v>
      </c>
      <c r="L58" s="22">
        <f>IF(ISNUMBER(J58), $B64 * K58, "")</f>
        <v>3809.5238095238128</v>
      </c>
      <c r="M58" s="30">
        <v>11.2</v>
      </c>
      <c r="N58" s="21">
        <f t="shared" si="25"/>
        <v>6.6666666666666596E-2</v>
      </c>
      <c r="O58" s="22">
        <f>IF(ISNUMBER(M58), $B64 * N58, "")</f>
        <v>6666.6666666666597</v>
      </c>
      <c r="Q58" s="236"/>
      <c r="R58" s="236"/>
      <c r="S58" s="236"/>
    </row>
    <row r="59" spans="1:19" ht="17.25" customHeight="1" thickBot="1">
      <c r="A59" s="125" t="s">
        <v>150</v>
      </c>
      <c r="B59" s="129">
        <v>12.6</v>
      </c>
      <c r="C59" s="80">
        <v>-2.3255814E-2</v>
      </c>
      <c r="D59" s="106">
        <v>13</v>
      </c>
      <c r="E59" s="107">
        <f>IF(ISNUMBER(D59), (D59 - $B59) / $B59, "")</f>
        <v>3.1746031746031772E-2</v>
      </c>
      <c r="F59" s="108">
        <f>IF(ISNUMBER(D59), $B64 * E59, "")</f>
        <v>3174.6031746031772</v>
      </c>
      <c r="G59" s="109">
        <v>13</v>
      </c>
      <c r="H59" s="107">
        <f>IF(ISNUMBER(G59), (G59 - $B59) / $B59, "")</f>
        <v>3.1746031746031772E-2</v>
      </c>
      <c r="I59" s="110">
        <f>IF(ISNUMBER(G59), $B64 * H59, "")</f>
        <v>3174.6031746031772</v>
      </c>
      <c r="J59" s="106">
        <v>12.9</v>
      </c>
      <c r="K59" s="107">
        <f>IF(ISNUMBER(J59), (J59 - $B59) / $B59, "")</f>
        <v>2.3809523809523867E-2</v>
      </c>
      <c r="L59" s="108">
        <f>IF(ISNUMBER(J59), $B64 * K59, "")</f>
        <v>2380.9523809523866</v>
      </c>
      <c r="M59" s="109">
        <v>13.3</v>
      </c>
      <c r="N59" s="107">
        <f>IF(ISNUMBER(M59), (M59 - $B59) / $B59, "")</f>
        <v>5.5555555555555643E-2</v>
      </c>
      <c r="O59" s="108">
        <f>IF(ISNUMBER(M59), $B64 * N59, "")</f>
        <v>5555.5555555555638</v>
      </c>
      <c r="Q59" s="241"/>
      <c r="R59" s="241"/>
      <c r="S59" s="241"/>
    </row>
    <row r="60" spans="1:19" ht="17.25" customHeight="1" thickBot="1">
      <c r="A60" s="125" t="s">
        <v>204</v>
      </c>
      <c r="B60" s="126">
        <v>13.8</v>
      </c>
      <c r="C60" s="77">
        <v>-2.8169014100000001E-2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14.2</v>
      </c>
      <c r="H60" s="32">
        <f t="shared" ref="H60:H63" si="27">IF(ISNUMBER(G60), (G60 - $B60) / $B60, "")</f>
        <v>2.8985507246376708E-2</v>
      </c>
      <c r="I60" s="101">
        <f>IF(ISNUMBER(G60), $B64 * H60, "")</f>
        <v>2898.550724637671</v>
      </c>
      <c r="J60" s="15">
        <v>14.2</v>
      </c>
      <c r="K60" s="32">
        <f t="shared" ref="K60:K63" si="28">IF(ISNUMBER(J60), (J60 - $B60) / $B60, "")</f>
        <v>2.8985507246376708E-2</v>
      </c>
      <c r="L60" s="18">
        <f>IF(ISNUMBER(J60), $B64 * K60, "")</f>
        <v>2898.550724637671</v>
      </c>
      <c r="M60" s="31">
        <v>14.6</v>
      </c>
      <c r="N60" s="32">
        <f t="shared" ref="N60:N63" si="29">IF(ISNUMBER(M60), (M60 - $B60) / $B60, "")</f>
        <v>5.7971014492753541E-2</v>
      </c>
      <c r="O60" s="18">
        <f>IF(ISNUMBER(M60), $B64 * N60, "")</f>
        <v>5797.1014492753538</v>
      </c>
      <c r="Q60" s="241"/>
      <c r="R60" s="241"/>
      <c r="S60" s="241"/>
    </row>
    <row r="61" spans="1:19" ht="17.25" customHeight="1" thickBot="1">
      <c r="A61" s="125" t="s">
        <v>208</v>
      </c>
      <c r="B61" s="126">
        <v>13.3</v>
      </c>
      <c r="C61" s="77">
        <v>-2.9197080300000001E-2</v>
      </c>
      <c r="D61" s="15">
        <v>13.5</v>
      </c>
      <c r="E61" s="32">
        <f t="shared" si="26"/>
        <v>1.5037593984962351E-2</v>
      </c>
      <c r="F61" s="18">
        <f>IF(ISNUMBER(D61), $B64 * E61, "")</f>
        <v>1503.7593984962352</v>
      </c>
      <c r="G61" s="31">
        <v>13.7</v>
      </c>
      <c r="H61" s="32">
        <f t="shared" si="27"/>
        <v>3.0075187969924703E-2</v>
      </c>
      <c r="I61" s="101">
        <f>IF(ISNUMBER(G61), $B64 * H61, "")</f>
        <v>3007.5187969924705</v>
      </c>
      <c r="J61" s="15">
        <v>13.6</v>
      </c>
      <c r="K61" s="32">
        <f t="shared" si="28"/>
        <v>2.2556390977443528E-2</v>
      </c>
      <c r="L61" s="18">
        <f>IF(ISNUMBER(J61), $B64 * K61, "")</f>
        <v>2255.639097744353</v>
      </c>
      <c r="M61" s="31">
        <v>14.2</v>
      </c>
      <c r="N61" s="32">
        <f t="shared" si="29"/>
        <v>6.7669172932330712E-2</v>
      </c>
      <c r="O61" s="18">
        <f>IF(ISNUMBER(M61), $B64 * N61, "")</f>
        <v>6766.9172932330712</v>
      </c>
      <c r="Q61" s="241"/>
      <c r="R61" s="241"/>
      <c r="S61" s="24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63"/>
      <c r="R62" s="264"/>
      <c r="S62" s="26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6"/>
      <c r="R63" s="267"/>
      <c r="S63" s="268"/>
    </row>
    <row r="64" spans="1:19" ht="17.25" customHeight="1" thickBot="1">
      <c r="A64" s="132" t="s">
        <v>270</v>
      </c>
      <c r="B64" s="274">
        <f>$B$37</f>
        <v>100000</v>
      </c>
      <c r="C64" s="275"/>
      <c r="D64" s="26" t="s">
        <v>271</v>
      </c>
      <c r="E64" s="27">
        <f>IF(COUNT(E44:E63), SUM(E44:E63) / COUNT(E44:E63), 0)</f>
        <v>3.5435377728247258E-2</v>
      </c>
      <c r="F64" s="28">
        <f>SUM(F44:F63)</f>
        <v>63783.679910845065</v>
      </c>
      <c r="G64" s="26" t="s">
        <v>271</v>
      </c>
      <c r="H64" s="27">
        <f>IF(COUNT(H44:H63), SUM(H44:H63) / COUNT(H44:H63), 0)</f>
        <v>5.8901594869206333E-2</v>
      </c>
      <c r="I64" s="28">
        <f>SUM(I44:I63)</f>
        <v>106022.87076457139</v>
      </c>
      <c r="J64" s="26" t="s">
        <v>271</v>
      </c>
      <c r="K64" s="27">
        <f>IF(COUNT(K44:K63), SUM(K44:K63) / COUNT(K44:K63), 0)</f>
        <v>5.2537898858312476E-2</v>
      </c>
      <c r="L64" s="28">
        <f>SUM(L44:L63)</f>
        <v>94568.217944962424</v>
      </c>
      <c r="M64" s="26" t="s">
        <v>271</v>
      </c>
      <c r="N64" s="27">
        <f>IF(COUNT(N44:N63), SUM(N44:N63) / COUNT(N44:N63), 0)</f>
        <v>8.2617086685835284E-2</v>
      </c>
      <c r="O64" s="28">
        <f>SUM(O44:O63)</f>
        <v>148710.75603450349</v>
      </c>
      <c r="Q64" s="269"/>
      <c r="R64" s="270"/>
      <c r="S64" s="27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36"/>
      <c r="R67" s="236"/>
      <c r="S67" s="236"/>
    </row>
    <row r="68" spans="1:19" ht="17.25" thickBot="1">
      <c r="A68" s="197" t="s">
        <v>267</v>
      </c>
      <c r="B68" s="215" t="s">
        <v>49</v>
      </c>
      <c r="C68" s="217"/>
      <c r="D68" s="215" t="s">
        <v>58</v>
      </c>
      <c r="E68" s="216"/>
      <c r="F68" s="217"/>
      <c r="G68" s="242">
        <f>_xlfn.IFNA(VLOOKUP(B68, 현재가테이블!$B$2:$D$200, 2, FALSE), "-")</f>
        <v>53976000</v>
      </c>
      <c r="H68" s="243"/>
      <c r="I68" s="244"/>
      <c r="J68" s="215" t="s">
        <v>59</v>
      </c>
      <c r="K68" s="216"/>
      <c r="L68" s="217"/>
      <c r="M68" s="245">
        <f>_xlfn.IFNA(VLOOKUP(B68, 현재가테이블!$B$2:$D$200, 3, FALSE), "-")</f>
        <v>-2.1216407400000001E-2</v>
      </c>
      <c r="N68" s="246"/>
      <c r="O68" s="247"/>
      <c r="Q68" s="236"/>
      <c r="R68" s="236"/>
      <c r="S68" s="236"/>
    </row>
    <row r="69" spans="1:19" ht="17.25" thickBot="1">
      <c r="A69" s="276" t="s">
        <v>55</v>
      </c>
      <c r="B69" s="278" t="str">
        <f>TEXT($G$1, "[$-ko-KR]yyyy-mm-dd(ddd) ") &amp; "오전 00:00"</f>
        <v>2021-08-11(수) 오전 00:00</v>
      </c>
      <c r="C69" s="279"/>
      <c r="D69" s="238" t="str">
        <f>TEXT($G$1, "[$-ko-KR]yyyy-mm-dd(ddd) ") &amp; "오후 14:00"</f>
        <v>2021-08-11(수) 오후 14:00</v>
      </c>
      <c r="E69" s="239"/>
      <c r="F69" s="240"/>
      <c r="G69" s="238" t="str">
        <f>TEXT($G$1, "[$-ko-KR]yyyy-mm-dd(ddd) ") &amp; "오후 19:00"</f>
        <v>2021-08-11(수) 오후 19:00</v>
      </c>
      <c r="H69" s="239"/>
      <c r="I69" s="240"/>
      <c r="J69" s="238" t="str">
        <f>TEXT($G$1, "[$-ko-KR]yyyy-mm-dd(ddd) ") &amp; "오후 21:00"</f>
        <v>2021-08-11(수) 오후 21:00</v>
      </c>
      <c r="K69" s="239"/>
      <c r="L69" s="240"/>
      <c r="M69" s="238" t="str">
        <f>TEXT($G$1+1, "[$-ko-KR]yyyy-mm-dd(ddd) ") &amp; "오전 00:00"</f>
        <v>2021-08-12(목) 오전 00:00</v>
      </c>
      <c r="N69" s="239"/>
      <c r="O69" s="240"/>
      <c r="Q69" s="236"/>
      <c r="R69" s="236"/>
      <c r="S69" s="236"/>
    </row>
    <row r="70" spans="1:19" ht="17.25" thickBot="1">
      <c r="A70" s="27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1"/>
      <c r="R70" s="241"/>
      <c r="S70" s="241"/>
    </row>
    <row r="71" spans="1:19" ht="17.25" thickBot="1">
      <c r="A71" s="123" t="s">
        <v>61</v>
      </c>
      <c r="B71" s="124">
        <v>941</v>
      </c>
      <c r="C71" s="76">
        <v>9.4186046499999995E-2</v>
      </c>
      <c r="D71" s="13">
        <v>957</v>
      </c>
      <c r="E71" s="14">
        <f>IF(ISNUMBER(D71), (D71 - $B71) / $B71, "")</f>
        <v>1.7003188097768331E-2</v>
      </c>
      <c r="F71" s="16">
        <f>IF(ISNUMBER(D71), $B91 * E71, "")</f>
        <v>1700.3188097768329</v>
      </c>
      <c r="G71" s="29">
        <v>959</v>
      </c>
      <c r="H71" s="14">
        <f>IF(ISNUMBER(G71), (G71 - $B71) / $B71, "")</f>
        <v>1.9128586609989374E-2</v>
      </c>
      <c r="I71" s="100">
        <f>IF(ISNUMBER(G71), $B91 * H71, "")</f>
        <v>1912.8586609989375</v>
      </c>
      <c r="J71" s="13">
        <v>945</v>
      </c>
      <c r="K71" s="14">
        <f>IF(ISNUMBER(J71), (J71 - $B71) / $B71, "")</f>
        <v>4.2507970244420826E-3</v>
      </c>
      <c r="L71" s="16">
        <f>IF(ISNUMBER(J71), $B91 * K71, "")</f>
        <v>425.07970244420824</v>
      </c>
      <c r="M71" s="29">
        <v>980</v>
      </c>
      <c r="N71" s="14">
        <f>IF(ISNUMBER(M71), (M71 - $B71) / $B71, "")</f>
        <v>4.1445270988310308E-2</v>
      </c>
      <c r="O71" s="16">
        <f>IF(ISNUMBER(M71), $B91 * N71, "")</f>
        <v>4144.5270988310303</v>
      </c>
      <c r="Q71" s="236"/>
      <c r="R71" s="236"/>
      <c r="S71" s="236"/>
    </row>
    <row r="72" spans="1:19" ht="17.25" thickBot="1">
      <c r="A72" s="125" t="s">
        <v>114</v>
      </c>
      <c r="B72" s="126">
        <v>773</v>
      </c>
      <c r="C72" s="77">
        <v>7.5104311500000007E-2</v>
      </c>
      <c r="D72" s="15">
        <v>814</v>
      </c>
      <c r="E72" s="32">
        <f t="shared" ref="E72:E75" si="30">IF(ISNUMBER(D72), (D72 - $B72) / $B72, "")</f>
        <v>5.3040103492884863E-2</v>
      </c>
      <c r="F72" s="18">
        <f>IF(ISNUMBER(D72), $B91 * E72, "")</f>
        <v>5304.0103492884864</v>
      </c>
      <c r="G72" s="31">
        <v>798</v>
      </c>
      <c r="H72" s="32">
        <f t="shared" ref="H72:H75" si="31">IF(ISNUMBER(G72), (G72 - $B72) / $B72, "")</f>
        <v>3.2341526520051747E-2</v>
      </c>
      <c r="I72" s="101">
        <f>IF(ISNUMBER(G72), $B91 * H72, "")</f>
        <v>3234.1526520051748</v>
      </c>
      <c r="J72" s="15">
        <v>781</v>
      </c>
      <c r="K72" s="32">
        <f t="shared" ref="K72:K75" si="32">IF(ISNUMBER(J72), (J72 - $B72) / $B72, "")</f>
        <v>1.034928848641656E-2</v>
      </c>
      <c r="L72" s="18">
        <f>IF(ISNUMBER(J72), $B91 * K72, "")</f>
        <v>1034.928848641656</v>
      </c>
      <c r="M72" s="31">
        <v>785</v>
      </c>
      <c r="N72" s="32">
        <f t="shared" ref="N72:N75" si="33">IF(ISNUMBER(M72), (M72 - $B72) / $B72, "")</f>
        <v>1.5523932729624839E-2</v>
      </c>
      <c r="O72" s="18">
        <f>IF(ISNUMBER(M72), $B91 * N72, "")</f>
        <v>1552.3932729624839</v>
      </c>
      <c r="Q72" s="236"/>
      <c r="R72" s="236"/>
      <c r="S72" s="236"/>
    </row>
    <row r="73" spans="1:19" ht="17.25" thickBot="1">
      <c r="A73" s="125" t="s">
        <v>124</v>
      </c>
      <c r="B73" s="126">
        <v>354</v>
      </c>
      <c r="C73" s="77">
        <v>4.4247787599999998E-2</v>
      </c>
      <c r="D73" s="15">
        <v>362</v>
      </c>
      <c r="E73" s="32">
        <f t="shared" si="30"/>
        <v>2.2598870056497175E-2</v>
      </c>
      <c r="F73" s="18">
        <f>IF(ISNUMBER(D73), $B91 * E73, "")</f>
        <v>2259.8870056497176</v>
      </c>
      <c r="G73" s="31">
        <v>388</v>
      </c>
      <c r="H73" s="32">
        <f t="shared" si="31"/>
        <v>9.6045197740112997E-2</v>
      </c>
      <c r="I73" s="101">
        <f>IF(ISNUMBER(G73), $B91 * H73, "")</f>
        <v>9604.5197740112999</v>
      </c>
      <c r="J73" s="15">
        <v>383</v>
      </c>
      <c r="K73" s="32">
        <f t="shared" si="32"/>
        <v>8.1920903954802254E-2</v>
      </c>
      <c r="L73" s="18">
        <f>IF(ISNUMBER(J73), $B91 * K73, "")</f>
        <v>8192.0903954802252</v>
      </c>
      <c r="M73" s="31">
        <v>393</v>
      </c>
      <c r="N73" s="32">
        <f t="shared" si="33"/>
        <v>0.11016949152542373</v>
      </c>
      <c r="O73" s="18">
        <f>IF(ISNUMBER(M73), $B91 * N73, "")</f>
        <v>11016.949152542373</v>
      </c>
      <c r="Q73" s="241"/>
      <c r="R73" s="241"/>
      <c r="S73" s="241"/>
    </row>
    <row r="74" spans="1:19" ht="17.25" thickBot="1">
      <c r="A74" s="125" t="s">
        <v>132</v>
      </c>
      <c r="B74" s="126">
        <v>110</v>
      </c>
      <c r="C74" s="77">
        <v>3.7735849100000003E-2</v>
      </c>
      <c r="D74" s="15">
        <v>116</v>
      </c>
      <c r="E74" s="32">
        <f t="shared" si="30"/>
        <v>5.4545454545454543E-2</v>
      </c>
      <c r="F74" s="18">
        <f>IF(ISNUMBER(D74), $B91 * E74, "")</f>
        <v>5454.545454545454</v>
      </c>
      <c r="G74" s="31">
        <v>117</v>
      </c>
      <c r="H74" s="32">
        <f t="shared" si="31"/>
        <v>6.363636363636363E-2</v>
      </c>
      <c r="I74" s="101">
        <f>IF(ISNUMBER(G74), $B91 * H74, "")</f>
        <v>6363.6363636363631</v>
      </c>
      <c r="J74" s="15">
        <v>115</v>
      </c>
      <c r="K74" s="32">
        <f t="shared" si="32"/>
        <v>4.5454545454545456E-2</v>
      </c>
      <c r="L74" s="18">
        <f>IF(ISNUMBER(J74), $B91 * K74, "")</f>
        <v>4545.454545454546</v>
      </c>
      <c r="M74" s="31">
        <v>119</v>
      </c>
      <c r="N74" s="32">
        <f t="shared" si="33"/>
        <v>8.1818181818181818E-2</v>
      </c>
      <c r="O74" s="18">
        <f>IF(ISNUMBER(M74), $B91 * N74, "")</f>
        <v>8181.818181818182</v>
      </c>
      <c r="Q74" s="241"/>
      <c r="R74" s="241"/>
      <c r="S74" s="241"/>
    </row>
    <row r="75" spans="1:19" ht="17.25" thickBot="1">
      <c r="A75" s="127" t="s">
        <v>86</v>
      </c>
      <c r="B75" s="128">
        <v>367</v>
      </c>
      <c r="C75" s="78">
        <v>3.3802816899999998E-2</v>
      </c>
      <c r="D75" s="20">
        <v>378</v>
      </c>
      <c r="E75" s="21">
        <f t="shared" si="30"/>
        <v>2.9972752043596729E-2</v>
      </c>
      <c r="F75" s="22">
        <f>IF(ISNUMBER(D75), $B91 * E75, "")</f>
        <v>2997.2752043596729</v>
      </c>
      <c r="G75" s="30">
        <v>386</v>
      </c>
      <c r="H75" s="21">
        <f t="shared" si="31"/>
        <v>5.1771117166212535E-2</v>
      </c>
      <c r="I75" s="105">
        <f>IF(ISNUMBER(G75), $B91 * H75, "")</f>
        <v>5177.1117166212534</v>
      </c>
      <c r="J75" s="20">
        <v>380</v>
      </c>
      <c r="K75" s="21">
        <f t="shared" si="32"/>
        <v>3.5422343324250684E-2</v>
      </c>
      <c r="L75" s="22">
        <f>IF(ISNUMBER(J75), $B91 * K75, "")</f>
        <v>3542.2343324250683</v>
      </c>
      <c r="M75" s="30">
        <v>386</v>
      </c>
      <c r="N75" s="21">
        <f t="shared" si="33"/>
        <v>5.1771117166212535E-2</v>
      </c>
      <c r="O75" s="22">
        <f>IF(ISNUMBER(M75), $B91 * N75, "")</f>
        <v>5177.1117166212534</v>
      </c>
      <c r="Q75" s="241"/>
      <c r="R75" s="241"/>
      <c r="S75" s="241"/>
    </row>
    <row r="76" spans="1:19" ht="17.25" thickBot="1">
      <c r="A76" s="125" t="s">
        <v>200</v>
      </c>
      <c r="B76" s="129">
        <v>141</v>
      </c>
      <c r="C76" s="80">
        <v>2.1739130400000001E-2</v>
      </c>
      <c r="D76" s="106">
        <v>145</v>
      </c>
      <c r="E76" s="107">
        <f>IF(ISNUMBER(D76), (D76 - $B76) / $B76, "")</f>
        <v>2.8368794326241134E-2</v>
      </c>
      <c r="F76" s="108">
        <f>IF(ISNUMBER(D76), $B91 * E76, "")</f>
        <v>2836.8794326241136</v>
      </c>
      <c r="G76" s="109">
        <v>145</v>
      </c>
      <c r="H76" s="107">
        <f>IF(ISNUMBER(G76), (G76 - $B76) / $B76, "")</f>
        <v>2.8368794326241134E-2</v>
      </c>
      <c r="I76" s="110">
        <f>IF(ISNUMBER(G76), $B91 * H76, "")</f>
        <v>2836.8794326241136</v>
      </c>
      <c r="J76" s="106">
        <v>143</v>
      </c>
      <c r="K76" s="107">
        <f>IF(ISNUMBER(J76), (J76 - $B76) / $B76, "")</f>
        <v>1.4184397163120567E-2</v>
      </c>
      <c r="L76" s="108">
        <f>IF(ISNUMBER(J76), $B91 * K76, "")</f>
        <v>1418.4397163120568</v>
      </c>
      <c r="M76" s="109">
        <v>147</v>
      </c>
      <c r="N76" s="107">
        <f>IF(ISNUMBER(M76), (M76 - $B76) / $B76, "")</f>
        <v>4.2553191489361701E-2</v>
      </c>
      <c r="O76" s="108">
        <f>IF(ISNUMBER(M76), $B91 * N76, "")</f>
        <v>4255.3191489361698</v>
      </c>
      <c r="Q76" s="241"/>
      <c r="R76" s="241"/>
      <c r="S76" s="241"/>
    </row>
    <row r="77" spans="1:19" ht="17.25" thickBot="1">
      <c r="A77" s="125" t="s">
        <v>51</v>
      </c>
      <c r="B77" s="126">
        <v>348</v>
      </c>
      <c r="C77" s="77">
        <v>1.75438596E-2</v>
      </c>
      <c r="D77" s="15">
        <v>374</v>
      </c>
      <c r="E77" s="32">
        <f t="shared" ref="E77:E80" si="34">IF(ISNUMBER(D77), (D77 - $B77) / $B77, "")</f>
        <v>7.4712643678160925E-2</v>
      </c>
      <c r="F77" s="18">
        <f>IF(ISNUMBER(D77), $B91 * E77, "")</f>
        <v>7471.2643678160921</v>
      </c>
      <c r="G77" s="31">
        <v>374</v>
      </c>
      <c r="H77" s="32">
        <f t="shared" ref="H77:H80" si="35">IF(ISNUMBER(G77), (G77 - $B77) / $B77, "")</f>
        <v>7.4712643678160925E-2</v>
      </c>
      <c r="I77" s="101">
        <f>IF(ISNUMBER(G77), $B91 * H77, "")</f>
        <v>7471.2643678160921</v>
      </c>
      <c r="J77" s="15">
        <v>370</v>
      </c>
      <c r="K77" s="32">
        <f t="shared" ref="K77:K80" si="36">IF(ISNUMBER(J77), (J77 - $B77) / $B77, "")</f>
        <v>6.3218390804597707E-2</v>
      </c>
      <c r="L77" s="18">
        <f>IF(ISNUMBER(J77), $B91 * K77, "")</f>
        <v>6321.8390804597711</v>
      </c>
      <c r="M77" s="31">
        <v>381</v>
      </c>
      <c r="N77" s="32">
        <f t="shared" ref="N77:N80" si="37">IF(ISNUMBER(M77), (M77 - $B77) / $B77, "")</f>
        <v>9.4827586206896547E-2</v>
      </c>
      <c r="O77" s="18">
        <f>IF(ISNUMBER(M77), $B91 * N77, "")</f>
        <v>9482.758620689654</v>
      </c>
      <c r="Q77" s="241"/>
      <c r="R77" s="241"/>
      <c r="S77" s="241"/>
    </row>
    <row r="78" spans="1:19" ht="17.25" thickBot="1">
      <c r="A78" s="125" t="s">
        <v>90</v>
      </c>
      <c r="B78" s="126">
        <v>949</v>
      </c>
      <c r="C78" s="77">
        <v>1.4973261999999999E-2</v>
      </c>
      <c r="D78" s="15">
        <v>1025</v>
      </c>
      <c r="E78" s="32">
        <f t="shared" si="34"/>
        <v>8.0084299262381448E-2</v>
      </c>
      <c r="F78" s="18">
        <f>IF(ISNUMBER(D78), $B91 * E78, "")</f>
        <v>8008.4299262381446</v>
      </c>
      <c r="G78" s="31">
        <v>1035</v>
      </c>
      <c r="H78" s="32">
        <f t="shared" si="35"/>
        <v>9.0621707060063228E-2</v>
      </c>
      <c r="I78" s="101">
        <f>IF(ISNUMBER(G78), $B91 * H78, "")</f>
        <v>9062.1707060063236</v>
      </c>
      <c r="J78" s="15">
        <v>1010</v>
      </c>
      <c r="K78" s="32">
        <f t="shared" si="36"/>
        <v>6.4278187565858805E-2</v>
      </c>
      <c r="L78" s="18">
        <f>IF(ISNUMBER(J78), $B91 * K78, "")</f>
        <v>6427.8187565858807</v>
      </c>
      <c r="M78" s="31">
        <v>1060</v>
      </c>
      <c r="N78" s="32">
        <f t="shared" si="37"/>
        <v>0.11696522655426765</v>
      </c>
      <c r="O78" s="18">
        <f>IF(ISNUMBER(M78), $B91 * N78, "")</f>
        <v>11696.522655426765</v>
      </c>
      <c r="Q78" s="241"/>
      <c r="R78" s="241"/>
      <c r="S78" s="241"/>
    </row>
    <row r="79" spans="1:19" ht="17.25" thickBot="1">
      <c r="A79" s="125" t="s">
        <v>80</v>
      </c>
      <c r="B79" s="126">
        <v>814</v>
      </c>
      <c r="C79" s="77">
        <v>1.24378109E-2</v>
      </c>
      <c r="D79" s="15">
        <v>848</v>
      </c>
      <c r="E79" s="32">
        <f t="shared" si="34"/>
        <v>4.1769041769041768E-2</v>
      </c>
      <c r="F79" s="18">
        <f>IF(ISNUMBER(D79), $B91 * E79, "")</f>
        <v>4176.9041769041769</v>
      </c>
      <c r="G79" s="15">
        <v>851</v>
      </c>
      <c r="H79" s="32">
        <f t="shared" si="35"/>
        <v>4.5454545454545456E-2</v>
      </c>
      <c r="I79" s="18">
        <f>IF(ISNUMBER(G79), $B91 * H79, "")</f>
        <v>4545.454545454546</v>
      </c>
      <c r="J79" s="15">
        <v>851</v>
      </c>
      <c r="K79" s="32">
        <f t="shared" si="36"/>
        <v>4.5454545454545456E-2</v>
      </c>
      <c r="L79" s="18">
        <f>IF(ISNUMBER(J79), $B91 * K79, "")</f>
        <v>4545.454545454546</v>
      </c>
      <c r="M79" s="31">
        <v>866</v>
      </c>
      <c r="N79" s="32">
        <f t="shared" si="37"/>
        <v>6.3882063882063883E-2</v>
      </c>
      <c r="O79" s="18">
        <f>IF(ISNUMBER(M79), $B91 * N79, "")</f>
        <v>6388.2063882063885</v>
      </c>
      <c r="Q79" s="33"/>
      <c r="R79" s="33"/>
    </row>
    <row r="80" spans="1:19" ht="17.25" thickBot="1">
      <c r="A80" s="130" t="s">
        <v>162</v>
      </c>
      <c r="B80" s="131">
        <v>102</v>
      </c>
      <c r="C80" s="79">
        <v>9.9009900999999997E-3</v>
      </c>
      <c r="D80" s="24">
        <v>108</v>
      </c>
      <c r="E80" s="25">
        <f t="shared" si="34"/>
        <v>5.8823529411764705E-2</v>
      </c>
      <c r="F80" s="104">
        <f>IF(ISNUMBER(D80), $B91 * E80, "")</f>
        <v>5882.3529411764703</v>
      </c>
      <c r="G80" s="24">
        <v>111</v>
      </c>
      <c r="H80" s="25">
        <f t="shared" si="35"/>
        <v>8.8235294117647065E-2</v>
      </c>
      <c r="I80" s="104">
        <f>IF(ISNUMBER(G80), $B91 * H80, "")</f>
        <v>8823.5294117647063</v>
      </c>
      <c r="J80" s="24">
        <v>109</v>
      </c>
      <c r="K80" s="25">
        <f t="shared" si="36"/>
        <v>6.8627450980392163E-2</v>
      </c>
      <c r="L80" s="104">
        <f>IF(ISNUMBER(J80), $B91 * K80, "")</f>
        <v>6862.7450980392159</v>
      </c>
      <c r="M80" s="102">
        <v>117</v>
      </c>
      <c r="N80" s="25">
        <f t="shared" si="37"/>
        <v>0.14705882352941177</v>
      </c>
      <c r="O80" s="104">
        <f>IF(ISNUMBER(M80), $B91 * N80, "")</f>
        <v>14705.882352941177</v>
      </c>
      <c r="Q80" s="250"/>
      <c r="R80" s="251"/>
      <c r="S80" s="252"/>
    </row>
    <row r="81" spans="1:19">
      <c r="A81" s="123" t="s">
        <v>174</v>
      </c>
      <c r="B81" s="124">
        <v>351</v>
      </c>
      <c r="C81" s="76">
        <v>8.6206896999999998E-3</v>
      </c>
      <c r="D81" s="13">
        <v>355</v>
      </c>
      <c r="E81" s="14">
        <f>IF(ISNUMBER(D81), (D81 - $B81) / $B81, "")</f>
        <v>1.1396011396011397E-2</v>
      </c>
      <c r="F81" s="16">
        <f>IF(ISNUMBER(D81), $B91 * E81, "")</f>
        <v>1139.6011396011397</v>
      </c>
      <c r="G81" s="29">
        <v>355</v>
      </c>
      <c r="H81" s="14">
        <f>IF(ISNUMBER(G81), (G81 - $B81) / $B81, "")</f>
        <v>1.1396011396011397E-2</v>
      </c>
      <c r="I81" s="100">
        <f>IF(ISNUMBER(G81), $B91 * H81, "")</f>
        <v>1139.6011396011397</v>
      </c>
      <c r="J81" s="13">
        <v>353</v>
      </c>
      <c r="K81" s="14">
        <f>IF(ISNUMBER(J81), (J81 - $B81) / $B81, "")</f>
        <v>5.6980056980056983E-3</v>
      </c>
      <c r="L81" s="16">
        <f>IF(ISNUMBER(J81), $B91 * K81, "")</f>
        <v>569.80056980056986</v>
      </c>
      <c r="M81" s="29">
        <v>360</v>
      </c>
      <c r="N81" s="14">
        <f>IF(ISNUMBER(M81), (M81 - $B81) / $B81, "")</f>
        <v>2.564102564102564E-2</v>
      </c>
      <c r="O81" s="16">
        <f>IF(ISNUMBER(M81), $B91 * N81, "")</f>
        <v>2564.102564102564</v>
      </c>
      <c r="Q81" s="253"/>
      <c r="R81" s="254"/>
      <c r="S81" s="255"/>
    </row>
    <row r="82" spans="1:19" ht="17.25" thickBot="1">
      <c r="A82" s="125" t="s">
        <v>54</v>
      </c>
      <c r="B82" s="126">
        <v>255</v>
      </c>
      <c r="C82" s="77">
        <v>3.9370079000000001E-3</v>
      </c>
      <c r="D82" s="15">
        <v>262</v>
      </c>
      <c r="E82" s="32">
        <f t="shared" ref="E82:E85" si="38">IF(ISNUMBER(D82), (D82 - $B82) / $B82, "")</f>
        <v>2.7450980392156862E-2</v>
      </c>
      <c r="F82" s="18">
        <f>IF(ISNUMBER(D82), $B91 * E82, "")</f>
        <v>2745.0980392156862</v>
      </c>
      <c r="G82" s="206">
        <v>265</v>
      </c>
      <c r="H82" s="32">
        <f t="shared" ref="H82:H85" si="39">IF(ISNUMBER(G82), (G82 - $B82) / $B82, "")</f>
        <v>3.9215686274509803E-2</v>
      </c>
      <c r="I82" s="101">
        <f>IF(ISNUMBER(G82), $B91 * H82, "")</f>
        <v>3921.5686274509803</v>
      </c>
      <c r="J82" s="15">
        <v>261</v>
      </c>
      <c r="K82" s="32">
        <f t="shared" ref="K82:K85" si="40">IF(ISNUMBER(J82), (J82 - $B82) / $B82, "")</f>
        <v>2.3529411764705882E-2</v>
      </c>
      <c r="L82" s="18">
        <f>IF(ISNUMBER(J82), $B91 * K82, "")</f>
        <v>2352.9411764705883</v>
      </c>
      <c r="M82" s="31">
        <v>266</v>
      </c>
      <c r="N82" s="32">
        <f t="shared" ref="N82:N85" si="41">IF(ISNUMBER(M82), (M82 - $B82) / $B82, "")</f>
        <v>4.3137254901960784E-2</v>
      </c>
      <c r="O82" s="18">
        <f>IF(ISNUMBER(M82), $B91 * N82, "")</f>
        <v>4313.7254901960787</v>
      </c>
      <c r="Q82" s="256"/>
      <c r="R82" s="257"/>
      <c r="S82" s="258"/>
    </row>
    <row r="83" spans="1:19" ht="17.25" thickBot="1">
      <c r="A83" s="125" t="s">
        <v>254</v>
      </c>
      <c r="B83" s="126">
        <v>295</v>
      </c>
      <c r="C83" s="77">
        <v>3.4013605000000001E-3</v>
      </c>
      <c r="D83" s="15">
        <v>306</v>
      </c>
      <c r="E83" s="32">
        <f t="shared" si="38"/>
        <v>3.7288135593220341E-2</v>
      </c>
      <c r="F83" s="18">
        <f>IF(ISNUMBER(D83), $B91 * E83, "")</f>
        <v>3728.8135593220341</v>
      </c>
      <c r="G83" s="31">
        <v>308</v>
      </c>
      <c r="H83" s="32">
        <f t="shared" si="39"/>
        <v>4.4067796610169491E-2</v>
      </c>
      <c r="I83" s="101">
        <f>IF(ISNUMBER(G83), $B91 * H83, "")</f>
        <v>4406.7796610169489</v>
      </c>
      <c r="J83" s="15">
        <v>304</v>
      </c>
      <c r="K83" s="32">
        <f t="shared" si="40"/>
        <v>3.0508474576271188E-2</v>
      </c>
      <c r="L83" s="18">
        <f>IF(ISNUMBER(J83), $B91 * K83, "")</f>
        <v>3050.8474576271187</v>
      </c>
      <c r="M83" s="31">
        <v>314</v>
      </c>
      <c r="N83" s="32">
        <f t="shared" si="41"/>
        <v>6.4406779661016947E-2</v>
      </c>
      <c r="O83" s="18">
        <f>IF(ISNUMBER(M83), $B91 * N83, "")</f>
        <v>6440.6779661016944</v>
      </c>
      <c r="Q83" s="241"/>
      <c r="R83" s="241"/>
      <c r="S83" s="241"/>
    </row>
    <row r="84" spans="1:19" ht="17.25" thickBot="1">
      <c r="A84" s="125" t="s">
        <v>252</v>
      </c>
      <c r="B84" s="126">
        <v>993</v>
      </c>
      <c r="C84" s="77">
        <v>0</v>
      </c>
      <c r="D84" s="15">
        <v>1000</v>
      </c>
      <c r="E84" s="32">
        <f t="shared" si="38"/>
        <v>7.0493454179254783E-3</v>
      </c>
      <c r="F84" s="18">
        <f>IF(ISNUMBER(D84), $B91 * E84, "")</f>
        <v>704.93454179254786</v>
      </c>
      <c r="G84" s="31">
        <v>1005</v>
      </c>
      <c r="H84" s="32">
        <f t="shared" si="39"/>
        <v>1.2084592145015106E-2</v>
      </c>
      <c r="I84" s="101">
        <f>IF(ISNUMBER(G84), $B91 * H84, "")</f>
        <v>1208.4592145015106</v>
      </c>
      <c r="J84" s="15">
        <v>997</v>
      </c>
      <c r="K84" s="32">
        <f t="shared" si="40"/>
        <v>4.0281973816717019E-3</v>
      </c>
      <c r="L84" s="18">
        <f>IF(ISNUMBER(J84), $B91 * K84, "")</f>
        <v>402.81973816717021</v>
      </c>
      <c r="M84" s="31">
        <v>1020</v>
      </c>
      <c r="N84" s="32">
        <f t="shared" si="41"/>
        <v>2.7190332326283987E-2</v>
      </c>
      <c r="O84" s="18">
        <f>IF(ISNUMBER(M84), $B91 * N84, "")</f>
        <v>2719.0332326283988</v>
      </c>
      <c r="Q84" s="236"/>
      <c r="R84" s="236"/>
      <c r="S84" s="236"/>
    </row>
    <row r="85" spans="1:19" ht="17.25" thickBot="1">
      <c r="A85" s="127" t="s">
        <v>220</v>
      </c>
      <c r="B85" s="128">
        <v>212</v>
      </c>
      <c r="C85" s="78">
        <v>0</v>
      </c>
      <c r="D85" s="20">
        <v>222</v>
      </c>
      <c r="E85" s="21">
        <f t="shared" si="38"/>
        <v>4.716981132075472E-2</v>
      </c>
      <c r="F85" s="22">
        <f>IF(ISNUMBER(D85), $B91 * E85, "")</f>
        <v>4716.9811320754725</v>
      </c>
      <c r="G85" s="206">
        <v>220</v>
      </c>
      <c r="H85" s="21">
        <f t="shared" si="39"/>
        <v>3.7735849056603772E-2</v>
      </c>
      <c r="I85" s="105">
        <f>IF(ISNUMBER(G85), $B91 * H85, "")</f>
        <v>3773.584905660377</v>
      </c>
      <c r="J85" s="20">
        <v>218</v>
      </c>
      <c r="K85" s="21">
        <f t="shared" si="40"/>
        <v>2.8301886792452831E-2</v>
      </c>
      <c r="L85" s="22">
        <f>IF(ISNUMBER(J85), $B91 * K85, "")</f>
        <v>2830.1886792452833</v>
      </c>
      <c r="M85" s="30">
        <v>222</v>
      </c>
      <c r="N85" s="21">
        <f t="shared" si="41"/>
        <v>4.716981132075472E-2</v>
      </c>
      <c r="O85" s="22">
        <f>IF(ISNUMBER(M85), $B91 * N85, "")</f>
        <v>4716.9811320754725</v>
      </c>
      <c r="Q85" s="236"/>
      <c r="R85" s="236"/>
      <c r="S85" s="236"/>
    </row>
    <row r="86" spans="1:19" ht="17.25" thickBot="1">
      <c r="A86" s="125" t="s">
        <v>230</v>
      </c>
      <c r="B86" s="129">
        <v>205</v>
      </c>
      <c r="C86" s="80">
        <v>0</v>
      </c>
      <c r="D86" s="106">
        <v>214</v>
      </c>
      <c r="E86" s="107">
        <f>IF(ISNUMBER(D86), (D86 - $B86) / $B86, "")</f>
        <v>4.3902439024390241E-2</v>
      </c>
      <c r="F86" s="108">
        <f>IF(ISNUMBER(D86), $B91 * E86, "")</f>
        <v>4390.2439024390242</v>
      </c>
      <c r="G86" s="109">
        <v>215</v>
      </c>
      <c r="H86" s="107">
        <f>IF(ISNUMBER(G86), (G86 - $B86) / $B86, "")</f>
        <v>4.878048780487805E-2</v>
      </c>
      <c r="I86" s="110">
        <f>IF(ISNUMBER(G86), $B91 * H86, "")</f>
        <v>4878.0487804878048</v>
      </c>
      <c r="J86" s="106">
        <v>213</v>
      </c>
      <c r="K86" s="107">
        <f>IF(ISNUMBER(J86), (J86 - $B86) / $B86, "")</f>
        <v>3.9024390243902439E-2</v>
      </c>
      <c r="L86" s="108">
        <f>IF(ISNUMBER(J86), $B91 * K86, "")</f>
        <v>3902.439024390244</v>
      </c>
      <c r="M86" s="109">
        <v>221</v>
      </c>
      <c r="N86" s="107">
        <f>IF(ISNUMBER(M86), (M86 - $B86) / $B86, "")</f>
        <v>7.8048780487804878E-2</v>
      </c>
      <c r="O86" s="108">
        <f>IF(ISNUMBER(M86), $B91 * N86, "")</f>
        <v>7804.8780487804879</v>
      </c>
      <c r="Q86" s="241"/>
      <c r="R86" s="241"/>
      <c r="S86" s="241"/>
    </row>
    <row r="87" spans="1:19" ht="17.25" thickBot="1">
      <c r="A87" s="125" t="s">
        <v>130</v>
      </c>
      <c r="B87" s="126">
        <v>103</v>
      </c>
      <c r="C87" s="77">
        <v>0</v>
      </c>
      <c r="D87" s="15">
        <v>108</v>
      </c>
      <c r="E87" s="32">
        <f t="shared" ref="E87:E90" si="42">IF(ISNUMBER(D87), (D87 - $B87) / $B87, "")</f>
        <v>4.8543689320388349E-2</v>
      </c>
      <c r="F87" s="18">
        <f>IF(ISNUMBER(D87), $B91 * E87, "")</f>
        <v>4854.3689320388348</v>
      </c>
      <c r="G87" s="15">
        <v>110</v>
      </c>
      <c r="H87" s="32">
        <f t="shared" ref="H87:H90" si="43">IF(ISNUMBER(G87), (G87 - $B87) / $B87, "")</f>
        <v>6.7961165048543687E-2</v>
      </c>
      <c r="I87" s="101">
        <f>IF(ISNUMBER(G87), $B91 * H87, "")</f>
        <v>6796.1165048543689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113</v>
      </c>
      <c r="N87" s="32">
        <f t="shared" ref="N87:N90" si="45">IF(ISNUMBER(M87), (M87 - $B87) / $B87, "")</f>
        <v>9.7087378640776698E-2</v>
      </c>
      <c r="O87" s="18">
        <f>IF(ISNUMBER(M87), $B91 * N87, "")</f>
        <v>9708.7378640776697</v>
      </c>
      <c r="Q87" s="241"/>
      <c r="R87" s="241"/>
      <c r="S87" s="241"/>
    </row>
    <row r="88" spans="1:19" ht="17.25" thickBot="1">
      <c r="A88" s="125" t="s">
        <v>128</v>
      </c>
      <c r="B88" s="126">
        <v>122</v>
      </c>
      <c r="C88" s="77">
        <v>0</v>
      </c>
      <c r="D88" s="15">
        <v>128</v>
      </c>
      <c r="E88" s="32">
        <f t="shared" si="42"/>
        <v>4.9180327868852458E-2</v>
      </c>
      <c r="F88" s="18">
        <f>IF(ISNUMBER(D88), $B91 * E88, "")</f>
        <v>4918.0327868852455</v>
      </c>
      <c r="G88" s="15">
        <v>128</v>
      </c>
      <c r="H88" s="32">
        <f t="shared" si="43"/>
        <v>4.9180327868852458E-2</v>
      </c>
      <c r="I88" s="101">
        <f>IF(ISNUMBER(G88), $B91 * H88, "")</f>
        <v>4918.0327868852455</v>
      </c>
      <c r="J88" s="15">
        <v>127</v>
      </c>
      <c r="K88" s="32">
        <f t="shared" si="44"/>
        <v>4.0983606557377046E-2</v>
      </c>
      <c r="L88" s="18">
        <f>IF(ISNUMBER(J88), $B91 * K88, "")</f>
        <v>4098.3606557377043</v>
      </c>
      <c r="M88" s="31">
        <v>133</v>
      </c>
      <c r="N88" s="32">
        <f t="shared" si="45"/>
        <v>9.0163934426229511E-2</v>
      </c>
      <c r="O88" s="18">
        <f>IF(ISNUMBER(M88), $B91 * N88, "")</f>
        <v>9016.3934426229516</v>
      </c>
      <c r="Q88" s="241"/>
      <c r="R88" s="241"/>
      <c r="S88" s="241"/>
    </row>
    <row r="89" spans="1:19">
      <c r="A89" s="125" t="s">
        <v>118</v>
      </c>
      <c r="B89" s="126">
        <v>162</v>
      </c>
      <c r="C89" s="77">
        <v>0</v>
      </c>
      <c r="D89" s="15">
        <v>166</v>
      </c>
      <c r="E89" s="32">
        <f t="shared" si="42"/>
        <v>2.4691358024691357E-2</v>
      </c>
      <c r="F89" s="18">
        <f>IF(ISNUMBER(D89), $B91 * E89, "")</f>
        <v>2469.1358024691358</v>
      </c>
      <c r="G89" s="206">
        <v>169</v>
      </c>
      <c r="H89" s="32">
        <f t="shared" si="43"/>
        <v>4.3209876543209874E-2</v>
      </c>
      <c r="I89" s="101">
        <f>IF(ISNUMBER(G89), $B91 * H89, "")</f>
        <v>4320.9876543209875</v>
      </c>
      <c r="J89" s="15">
        <v>168</v>
      </c>
      <c r="K89" s="32">
        <f t="shared" si="44"/>
        <v>3.7037037037037035E-2</v>
      </c>
      <c r="L89" s="18">
        <f>IF(ISNUMBER(J89), $B91 * K89, "")</f>
        <v>3703.7037037037035</v>
      </c>
      <c r="M89" s="31">
        <v>171</v>
      </c>
      <c r="N89" s="32">
        <f t="shared" si="45"/>
        <v>5.5555555555555552E-2</v>
      </c>
      <c r="O89" s="18">
        <f>IF(ISNUMBER(M89), $B91 * N89, "")</f>
        <v>5555.5555555555557</v>
      </c>
      <c r="Q89" s="263"/>
      <c r="R89" s="264"/>
      <c r="S89" s="265"/>
    </row>
    <row r="90" spans="1:19" ht="17.25" thickBot="1">
      <c r="A90" s="130" t="s">
        <v>138</v>
      </c>
      <c r="B90" s="131">
        <v>383</v>
      </c>
      <c r="C90" s="79">
        <v>-2.6041667E-3</v>
      </c>
      <c r="D90" s="24">
        <v>391</v>
      </c>
      <c r="E90" s="25">
        <f t="shared" si="42"/>
        <v>2.0887728459530026E-2</v>
      </c>
      <c r="F90" s="104">
        <f>IF(ISNUMBER(D90), $B91 * E90, "")</f>
        <v>2088.7728459530026</v>
      </c>
      <c r="G90" s="102">
        <v>390</v>
      </c>
      <c r="H90" s="25">
        <f t="shared" si="43"/>
        <v>1.8276762402088774E-2</v>
      </c>
      <c r="I90" s="103">
        <f>IF(ISNUMBER(G90), $B91 * H90, "")</f>
        <v>1827.6762402088773</v>
      </c>
      <c r="J90" s="24">
        <v>388</v>
      </c>
      <c r="K90" s="25">
        <f t="shared" si="44"/>
        <v>1.3054830287206266E-2</v>
      </c>
      <c r="L90" s="104">
        <f>IF(ISNUMBER(J90), $B91 * K90, "")</f>
        <v>1305.4830287206266</v>
      </c>
      <c r="M90" s="102">
        <v>405</v>
      </c>
      <c r="N90" s="25">
        <f t="shared" si="45"/>
        <v>5.7441253263707574E-2</v>
      </c>
      <c r="O90" s="104">
        <f>IF(ISNUMBER(M90), $B91 * N90, "")</f>
        <v>5744.1253263707576</v>
      </c>
      <c r="Q90" s="266"/>
      <c r="R90" s="267"/>
      <c r="S90" s="268"/>
    </row>
    <row r="91" spans="1:19" ht="17.25" thickBot="1">
      <c r="A91" s="132" t="s">
        <v>270</v>
      </c>
      <c r="B91" s="274">
        <f>$B$37</f>
        <v>100000</v>
      </c>
      <c r="C91" s="275"/>
      <c r="D91" s="26" t="s">
        <v>271</v>
      </c>
      <c r="E91" s="27">
        <f>IF(COUNT(E71:E90), SUM(E71:E90) / COUNT(E71:E90), 0)</f>
        <v>3.8923925175085639E-2</v>
      </c>
      <c r="F91" s="28">
        <f>SUM(F71:F90)</f>
        <v>77847.850350171284</v>
      </c>
      <c r="G91" s="26" t="s">
        <v>271</v>
      </c>
      <c r="H91" s="27">
        <f>IF(COUNT(H71:H90), SUM(H71:H90) / COUNT(H71:H90), 0)</f>
        <v>4.8111216572963522E-2</v>
      </c>
      <c r="I91" s="28">
        <f>SUM(I71:I90)</f>
        <v>96222.433145927032</v>
      </c>
      <c r="J91" s="26" t="s">
        <v>271</v>
      </c>
      <c r="K91" s="27">
        <f>IF(COUNT(K71:K90), SUM(K71:K90) / COUNT(K71:K90), 0)</f>
        <v>3.5193518993599515E-2</v>
      </c>
      <c r="L91" s="28">
        <f>SUM(L71:L90)</f>
        <v>70387.03798719903</v>
      </c>
      <c r="M91" s="26" t="s">
        <v>271</v>
      </c>
      <c r="N91" s="27">
        <f>IF(COUNT(N71:N90), SUM(N71:N90) / COUNT(N71:N90), 0)</f>
        <v>6.7592849605743549E-2</v>
      </c>
      <c r="O91" s="28">
        <f>SUM(O71:O90)</f>
        <v>135185.69921148711</v>
      </c>
      <c r="Q91" s="269"/>
      <c r="R91" s="270"/>
      <c r="S91" s="27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36"/>
      <c r="R94" s="236"/>
      <c r="S94" s="236"/>
    </row>
    <row r="95" spans="1:19" ht="17.25" thickBot="1">
      <c r="A95" s="197" t="s">
        <v>267</v>
      </c>
      <c r="B95" s="215" t="s">
        <v>49</v>
      </c>
      <c r="C95" s="217"/>
      <c r="D95" s="215" t="s">
        <v>58</v>
      </c>
      <c r="E95" s="216"/>
      <c r="F95" s="217"/>
      <c r="G95" s="242">
        <f>_xlfn.IFNA(VLOOKUP(B95, 현재가테이블!$B$2:$D$200, 2, FALSE), "-")</f>
        <v>53976000</v>
      </c>
      <c r="H95" s="243"/>
      <c r="I95" s="244"/>
      <c r="J95" s="215" t="s">
        <v>59</v>
      </c>
      <c r="K95" s="216"/>
      <c r="L95" s="217"/>
      <c r="M95" s="245">
        <f>_xlfn.IFNA(VLOOKUP(B95, 현재가테이블!$B$2:$D$200, 3, FALSE), "-")</f>
        <v>-2.1216407400000001E-2</v>
      </c>
      <c r="N95" s="246"/>
      <c r="O95" s="247"/>
      <c r="Q95" s="236"/>
      <c r="R95" s="236"/>
      <c r="S95" s="236"/>
    </row>
    <row r="96" spans="1:19" ht="17.25" thickBot="1">
      <c r="A96" s="276" t="s">
        <v>55</v>
      </c>
      <c r="B96" s="278" t="str">
        <f>TEXT($G$1, "[$-ko-KR]yyyy-mm-dd(ddd) ") &amp; "오전 00:00"</f>
        <v>2021-08-11(수) 오전 00:00</v>
      </c>
      <c r="C96" s="279"/>
      <c r="D96" s="238" t="str">
        <f>TEXT($G$1, "[$-ko-KR]yyyy-mm-dd(ddd) ") &amp; "오후 14:00"</f>
        <v>2021-08-11(수) 오후 14:00</v>
      </c>
      <c r="E96" s="239"/>
      <c r="F96" s="240"/>
      <c r="G96" s="238" t="str">
        <f>TEXT($G$1, "[$-ko-KR]yyyy-mm-dd(ddd) ") &amp; "오후 19:00"</f>
        <v>2021-08-11(수) 오후 19:00</v>
      </c>
      <c r="H96" s="239"/>
      <c r="I96" s="240"/>
      <c r="J96" s="238" t="str">
        <f>TEXT($G$1, "[$-ko-KR]yyyy-mm-dd(ddd) ") &amp; "오후 21:00"</f>
        <v>2021-08-11(수) 오후 21:00</v>
      </c>
      <c r="K96" s="239"/>
      <c r="L96" s="240"/>
      <c r="M96" s="238" t="str">
        <f>TEXT($G$1+1, "[$-ko-KR]yyyy-mm-dd(ddd) ") &amp; "오전 00:00"</f>
        <v>2021-08-12(목) 오전 00:00</v>
      </c>
      <c r="N96" s="239"/>
      <c r="O96" s="240"/>
      <c r="Q96" s="236"/>
      <c r="R96" s="236"/>
      <c r="S96" s="236"/>
    </row>
    <row r="97" spans="1:19" ht="17.25" thickBot="1">
      <c r="A97" s="27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1"/>
      <c r="R97" s="241"/>
      <c r="S97" s="241"/>
    </row>
    <row r="98" spans="1:19" ht="17.25" thickBot="1">
      <c r="A98" s="123" t="s">
        <v>154</v>
      </c>
      <c r="B98" s="124">
        <v>68420</v>
      </c>
      <c r="C98" s="76">
        <v>0.3744475693</v>
      </c>
      <c r="D98" s="13">
        <v>83930</v>
      </c>
      <c r="E98" s="14">
        <f>IF(ISNUMBER(D98), (D98 - $B98) / $B98, "")</f>
        <v>0.22668810289389069</v>
      </c>
      <c r="F98" s="16">
        <f>IF(ISNUMBER(D98), $B118 * E98, "")</f>
        <v>22668.810289389068</v>
      </c>
      <c r="G98" s="206">
        <v>80850</v>
      </c>
      <c r="H98" s="14">
        <f>IF(ISNUMBER(G98), (G98 - $B98) / $B98, "")</f>
        <v>0.18167202572347266</v>
      </c>
      <c r="I98" s="100">
        <f>IF(ISNUMBER(G98), $B118 * H98, "")</f>
        <v>18167.202572347265</v>
      </c>
      <c r="J98" s="13">
        <v>76580</v>
      </c>
      <c r="K98" s="14">
        <f>IF(ISNUMBER(J98), (J98 - $B98) / $B98, "")</f>
        <v>0.11926337328266588</v>
      </c>
      <c r="L98" s="16">
        <f>IF(ISNUMBER(J98), $B118 * K98, "")</f>
        <v>11926.337328266589</v>
      </c>
      <c r="M98" s="29">
        <v>76170</v>
      </c>
      <c r="N98" s="14">
        <f>IF(ISNUMBER(M98), (M98 - $B98) / $B98, "")</f>
        <v>0.11327097339959076</v>
      </c>
      <c r="O98" s="16">
        <f>IF(ISNUMBER(M98), $B118 * N98, "")</f>
        <v>11327.097339959077</v>
      </c>
      <c r="Q98" s="236"/>
      <c r="R98" s="236"/>
      <c r="S98" s="236"/>
    </row>
    <row r="99" spans="1:19" ht="17.25" thickBot="1">
      <c r="A99" s="125" t="s">
        <v>61</v>
      </c>
      <c r="B99" s="126">
        <v>941</v>
      </c>
      <c r="C99" s="77">
        <v>9.4186046499999995E-2</v>
      </c>
      <c r="D99" s="15">
        <v>957</v>
      </c>
      <c r="E99" s="32">
        <f t="shared" ref="E99:E102" si="46">IF(ISNUMBER(D99), (D99 - $B99) / $B99, "")</f>
        <v>1.7003188097768331E-2</v>
      </c>
      <c r="F99" s="18">
        <f>IF(ISNUMBER(D99), $B118 * E99, "")</f>
        <v>1700.3188097768329</v>
      </c>
      <c r="G99" s="31">
        <v>959</v>
      </c>
      <c r="H99" s="32">
        <f t="shared" ref="H99:H102" si="47">IF(ISNUMBER(G99), (G99 - $B99) / $B99, "")</f>
        <v>1.9128586609989374E-2</v>
      </c>
      <c r="I99" s="101">
        <f>IF(ISNUMBER(G99), $B118 * H99, "")</f>
        <v>1912.8586609989375</v>
      </c>
      <c r="J99" s="15">
        <v>945</v>
      </c>
      <c r="K99" s="32">
        <f t="shared" ref="K99:K102" si="48">IF(ISNUMBER(J99), (J99 - $B99) / $B99, "")</f>
        <v>4.2507970244420826E-3</v>
      </c>
      <c r="L99" s="18">
        <f>IF(ISNUMBER(J99), $B118 * K99, "")</f>
        <v>425.07970244420824</v>
      </c>
      <c r="M99" s="31">
        <v>980</v>
      </c>
      <c r="N99" s="32">
        <f t="shared" ref="N99:N102" si="49">IF(ISNUMBER(M99), (M99 - $B99) / $B99, "")</f>
        <v>4.1445270988310308E-2</v>
      </c>
      <c r="O99" s="18">
        <f>IF(ISNUMBER(M99), $B118 * N99, "")</f>
        <v>4144.5270988310303</v>
      </c>
      <c r="Q99" s="236"/>
      <c r="R99" s="236"/>
      <c r="S99" s="236"/>
    </row>
    <row r="100" spans="1:19" ht="17.25" thickBot="1">
      <c r="A100" s="125" t="s">
        <v>114</v>
      </c>
      <c r="B100" s="126">
        <v>773</v>
      </c>
      <c r="C100" s="77">
        <v>7.5104311500000007E-2</v>
      </c>
      <c r="D100" s="15">
        <v>814</v>
      </c>
      <c r="E100" s="32">
        <f t="shared" si="46"/>
        <v>5.3040103492884863E-2</v>
      </c>
      <c r="F100" s="18">
        <f>IF(ISNUMBER(D100), $B118 * E100, "")</f>
        <v>5304.0103492884864</v>
      </c>
      <c r="G100" s="31">
        <v>798</v>
      </c>
      <c r="H100" s="32">
        <f t="shared" si="47"/>
        <v>3.2341526520051747E-2</v>
      </c>
      <c r="I100" s="101">
        <f>IF(ISNUMBER(G100), $B118 * H100, "")</f>
        <v>3234.1526520051748</v>
      </c>
      <c r="J100" s="15">
        <v>781</v>
      </c>
      <c r="K100" s="32">
        <f t="shared" si="48"/>
        <v>1.034928848641656E-2</v>
      </c>
      <c r="L100" s="18">
        <f>IF(ISNUMBER(J100), $B118 * K100, "")</f>
        <v>1034.928848641656</v>
      </c>
      <c r="M100" s="31">
        <v>785</v>
      </c>
      <c r="N100" s="32">
        <f t="shared" si="49"/>
        <v>1.5523932729624839E-2</v>
      </c>
      <c r="O100" s="18">
        <f>IF(ISNUMBER(M100), $B118 * N100, "")</f>
        <v>1552.3932729624839</v>
      </c>
      <c r="Q100" s="241"/>
      <c r="R100" s="241"/>
      <c r="S100" s="241"/>
    </row>
    <row r="101" spans="1:19" ht="17.25" thickBot="1">
      <c r="A101" s="125" t="s">
        <v>214</v>
      </c>
      <c r="B101" s="126">
        <v>1220</v>
      </c>
      <c r="C101" s="77">
        <v>7.0175438600000001E-2</v>
      </c>
      <c r="D101" s="15">
        <v>1200</v>
      </c>
      <c r="E101" s="32">
        <f t="shared" si="46"/>
        <v>-1.6393442622950821E-2</v>
      </c>
      <c r="F101" s="18">
        <f>IF(ISNUMBER(D101), $B118 * E101, "")</f>
        <v>-1639.344262295082</v>
      </c>
      <c r="G101" s="31">
        <v>1230</v>
      </c>
      <c r="H101" s="32">
        <f t="shared" si="47"/>
        <v>8.1967213114754103E-3</v>
      </c>
      <c r="I101" s="101">
        <f>IF(ISNUMBER(G101), $B118 * H101, "")</f>
        <v>819.67213114754099</v>
      </c>
      <c r="J101" s="15">
        <v>1225</v>
      </c>
      <c r="K101" s="32">
        <f t="shared" si="48"/>
        <v>4.0983606557377051E-3</v>
      </c>
      <c r="L101" s="18">
        <f>IF(ISNUMBER(J101), $B118 * K101, "")</f>
        <v>409.8360655737705</v>
      </c>
      <c r="M101" s="31">
        <v>1215</v>
      </c>
      <c r="N101" s="32">
        <f t="shared" si="49"/>
        <v>-4.0983606557377051E-3</v>
      </c>
      <c r="O101" s="18">
        <f>IF(ISNUMBER(M101), $B118 * N101, "")</f>
        <v>-409.8360655737705</v>
      </c>
      <c r="Q101" s="241"/>
      <c r="R101" s="241"/>
      <c r="S101" s="241"/>
    </row>
    <row r="102" spans="1:19" ht="17.25" thickBot="1">
      <c r="A102" s="127" t="s">
        <v>186</v>
      </c>
      <c r="B102" s="128">
        <v>10050</v>
      </c>
      <c r="C102" s="78">
        <v>6.9148936199999997E-2</v>
      </c>
      <c r="D102" s="20">
        <v>10070</v>
      </c>
      <c r="E102" s="21">
        <f t="shared" si="46"/>
        <v>1.990049751243781E-3</v>
      </c>
      <c r="F102" s="22">
        <f>IF(ISNUMBER(D102), $B118 * E102, "")</f>
        <v>199.00497512437809</v>
      </c>
      <c r="G102" s="30">
        <v>10080</v>
      </c>
      <c r="H102" s="21">
        <f t="shared" si="47"/>
        <v>2.9850746268656717E-3</v>
      </c>
      <c r="I102" s="105">
        <f>IF(ISNUMBER(G102), $B118 * H102, "")</f>
        <v>298.50746268656718</v>
      </c>
      <c r="J102" s="20">
        <v>9945</v>
      </c>
      <c r="K102" s="21">
        <f t="shared" si="48"/>
        <v>-1.0447761194029851E-2</v>
      </c>
      <c r="L102" s="22">
        <f>IF(ISNUMBER(J102), $B118 * K102, "")</f>
        <v>-1044.7761194029852</v>
      </c>
      <c r="M102" s="30">
        <v>10130</v>
      </c>
      <c r="N102" s="21">
        <f t="shared" si="49"/>
        <v>7.9601990049751239E-3</v>
      </c>
      <c r="O102" s="22">
        <f>IF(ISNUMBER(M102), $B118 * N102, "")</f>
        <v>796.01990049751237</v>
      </c>
      <c r="Q102" s="241"/>
      <c r="R102" s="241"/>
      <c r="S102" s="241"/>
    </row>
    <row r="103" spans="1:19" ht="17.25" thickBot="1">
      <c r="A103" s="125" t="s">
        <v>82</v>
      </c>
      <c r="B103" s="129">
        <v>1790</v>
      </c>
      <c r="C103" s="80">
        <v>5.91715976E-2</v>
      </c>
      <c r="D103" s="106">
        <v>2015</v>
      </c>
      <c r="E103" s="107">
        <f>IF(ISNUMBER(D103), (D103 - $B103) / $B103, "")</f>
        <v>0.12569832402234637</v>
      </c>
      <c r="F103" s="108">
        <f>IF(ISNUMBER(D103), $B118 * E103, "")</f>
        <v>12569.832402234637</v>
      </c>
      <c r="G103" s="106">
        <v>2045</v>
      </c>
      <c r="H103" s="107">
        <f>IF(ISNUMBER(G103), (G103 - $B103) / $B103, "")</f>
        <v>0.14245810055865921</v>
      </c>
      <c r="I103" s="108">
        <f>IF(ISNUMBER(G103), $B118 * H103, "")</f>
        <v>14245.810055865921</v>
      </c>
      <c r="J103" s="106">
        <v>2035</v>
      </c>
      <c r="K103" s="107">
        <f>IF(ISNUMBER(J103), (J103 - $B103) / $B103, "")</f>
        <v>0.13687150837988826</v>
      </c>
      <c r="L103" s="108">
        <f>IF(ISNUMBER(J103), $B118 * K103, "")</f>
        <v>13687.150837988826</v>
      </c>
      <c r="M103" s="109">
        <v>2145</v>
      </c>
      <c r="N103" s="107">
        <f>IF(ISNUMBER(M103), (M103 - $B103) / $B103, "")</f>
        <v>0.19832402234636873</v>
      </c>
      <c r="O103" s="108">
        <f>IF(ISNUMBER(M103), $B118 * N103, "")</f>
        <v>19832.402234636873</v>
      </c>
      <c r="Q103" s="241"/>
      <c r="R103" s="241"/>
      <c r="S103" s="241"/>
    </row>
    <row r="104" spans="1:19" ht="17.25" thickBot="1">
      <c r="A104" s="125" t="s">
        <v>124</v>
      </c>
      <c r="B104" s="126">
        <v>354</v>
      </c>
      <c r="C104" s="77">
        <v>4.4247787599999998E-2</v>
      </c>
      <c r="D104" s="15">
        <v>362</v>
      </c>
      <c r="E104" s="32">
        <f t="shared" ref="E104:E107" si="50">IF(ISNUMBER(D104), (D104 - $B104) / $B104, "")</f>
        <v>2.2598870056497175E-2</v>
      </c>
      <c r="F104" s="18">
        <f>IF(ISNUMBER(D104), $B118 * E104, "")</f>
        <v>2259.8870056497176</v>
      </c>
      <c r="G104" s="15">
        <v>388</v>
      </c>
      <c r="H104" s="32">
        <f>IF(ISNUMBER(G104), (G104 - $B104) / $B104, "")</f>
        <v>9.6045197740112997E-2</v>
      </c>
      <c r="I104" s="18">
        <f>IF(ISNUMBER(G104), $B118 * H104, "")</f>
        <v>9604.5197740112999</v>
      </c>
      <c r="J104" s="15">
        <v>383</v>
      </c>
      <c r="K104" s="32">
        <f t="shared" ref="K104:K107" si="51">IF(ISNUMBER(J104), (J104 - $B104) / $B104, "")</f>
        <v>8.1920903954802254E-2</v>
      </c>
      <c r="L104" s="18">
        <f>IF(ISNUMBER(J104), $B118 * K104, "")</f>
        <v>8192.0903954802252</v>
      </c>
      <c r="M104" s="31">
        <v>393</v>
      </c>
      <c r="N104" s="32">
        <f t="shared" ref="N104:N107" si="52">IF(ISNUMBER(M104), (M104 - $B104) / $B104, "")</f>
        <v>0.11016949152542373</v>
      </c>
      <c r="O104" s="18">
        <f>IF(ISNUMBER(M104), $B118 * N104, "")</f>
        <v>11016.949152542373</v>
      </c>
      <c r="Q104" s="241"/>
      <c r="R104" s="241"/>
      <c r="S104" s="241"/>
    </row>
    <row r="105" spans="1:19" ht="17.25" thickBot="1">
      <c r="A105" s="125" t="s">
        <v>198</v>
      </c>
      <c r="B105" s="126">
        <v>26480</v>
      </c>
      <c r="C105" s="77">
        <v>4.2930287499999997E-2</v>
      </c>
      <c r="D105" s="15">
        <v>28790</v>
      </c>
      <c r="E105" s="32">
        <f t="shared" si="50"/>
        <v>8.723564954682779E-2</v>
      </c>
      <c r="F105" s="18">
        <f>IF(ISNUMBER(D105), $B118 * E105, "")</f>
        <v>8723.564954682779</v>
      </c>
      <c r="G105" s="31">
        <v>28170</v>
      </c>
      <c r="H105" s="32">
        <f t="shared" ref="H105:H107" si="53">IF(ISNUMBER(G105), (G105 - $B105) / $B105, "")</f>
        <v>6.3821752265861023E-2</v>
      </c>
      <c r="I105" s="101">
        <f>IF(ISNUMBER(G105), $B118 * H105, "")</f>
        <v>6382.1752265861023</v>
      </c>
      <c r="J105" s="15">
        <v>27530</v>
      </c>
      <c r="K105" s="32">
        <f t="shared" si="51"/>
        <v>3.9652567975830819E-2</v>
      </c>
      <c r="L105" s="18">
        <f>IF(ISNUMBER(J105), $B118 * K105, "")</f>
        <v>3965.2567975830821</v>
      </c>
      <c r="M105" s="31">
        <v>27810</v>
      </c>
      <c r="N105" s="32">
        <f t="shared" si="52"/>
        <v>5.0226586102719031E-2</v>
      </c>
      <c r="O105" s="18">
        <f>IF(ISNUMBER(M105), $B118 * N105, "")</f>
        <v>5022.6586102719029</v>
      </c>
      <c r="Q105" s="241"/>
      <c r="R105" s="241"/>
      <c r="S105" s="241"/>
    </row>
    <row r="106" spans="1:19" ht="17.25" thickBot="1">
      <c r="A106" s="125" t="s">
        <v>132</v>
      </c>
      <c r="B106" s="126">
        <v>110</v>
      </c>
      <c r="C106" s="77">
        <v>3.7735849100000003E-2</v>
      </c>
      <c r="D106" s="15">
        <v>116</v>
      </c>
      <c r="E106" s="32">
        <f t="shared" si="50"/>
        <v>5.4545454545454543E-2</v>
      </c>
      <c r="F106" s="18">
        <f>IF(ISNUMBER(D106), $B118 * E106, "")</f>
        <v>5454.545454545454</v>
      </c>
      <c r="G106" s="31">
        <v>117</v>
      </c>
      <c r="H106" s="32">
        <f t="shared" si="53"/>
        <v>6.363636363636363E-2</v>
      </c>
      <c r="I106" s="101">
        <f>IF(ISNUMBER(G106), $B118 * H106, "")</f>
        <v>6363.6363636363631</v>
      </c>
      <c r="J106" s="15">
        <v>115</v>
      </c>
      <c r="K106" s="32">
        <f t="shared" si="51"/>
        <v>4.5454545454545456E-2</v>
      </c>
      <c r="L106" s="18">
        <f>IF(ISNUMBER(J106), $B118 * K106, "")</f>
        <v>4545.454545454546</v>
      </c>
      <c r="M106" s="31">
        <v>119</v>
      </c>
      <c r="N106" s="32">
        <f t="shared" si="52"/>
        <v>8.1818181818181818E-2</v>
      </c>
      <c r="O106" s="18">
        <f>IF(ISNUMBER(M106), $B118 * N106, "")</f>
        <v>8181.818181818182</v>
      </c>
      <c r="Q106" s="33"/>
      <c r="R106" s="33"/>
    </row>
    <row r="107" spans="1:19" ht="17.25" thickBot="1">
      <c r="A107" s="130" t="s">
        <v>240</v>
      </c>
      <c r="B107" s="131">
        <v>66.900000000000006</v>
      </c>
      <c r="C107" s="79">
        <v>3.7209302299999997E-2</v>
      </c>
      <c r="D107" s="24">
        <v>67.5</v>
      </c>
      <c r="E107" s="25">
        <f t="shared" si="50"/>
        <v>8.9686098654707669E-3</v>
      </c>
      <c r="F107" s="104">
        <f>IF(ISNUMBER(D107), $B118 * E107, "")</f>
        <v>896.86098654707666</v>
      </c>
      <c r="G107" s="102">
        <v>68.7</v>
      </c>
      <c r="H107" s="25">
        <f t="shared" si="53"/>
        <v>2.6905829596412512E-2</v>
      </c>
      <c r="I107" s="103">
        <f>IF(ISNUMBER(G107), $B118 * H107, "")</f>
        <v>2690.5829596412514</v>
      </c>
      <c r="J107" s="24">
        <v>69.2</v>
      </c>
      <c r="K107" s="25">
        <f t="shared" si="51"/>
        <v>3.4379671150971555E-2</v>
      </c>
      <c r="L107" s="104">
        <f>IF(ISNUMBER(J107), $B118 * K107, "")</f>
        <v>3437.9671150971553</v>
      </c>
      <c r="M107" s="102">
        <v>69.8</v>
      </c>
      <c r="N107" s="25">
        <f t="shared" si="52"/>
        <v>4.3348281016442322E-2</v>
      </c>
      <c r="O107" s="104">
        <f>IF(ISNUMBER(M107), $B118 * N107, "")</f>
        <v>4334.8281016442324</v>
      </c>
      <c r="Q107" s="250"/>
      <c r="R107" s="251"/>
      <c r="S107" s="252"/>
    </row>
    <row r="108" spans="1:19">
      <c r="A108" s="123" t="s">
        <v>86</v>
      </c>
      <c r="B108" s="124">
        <v>367</v>
      </c>
      <c r="C108" s="76">
        <v>3.3802816899999998E-2</v>
      </c>
      <c r="D108" s="13">
        <v>378</v>
      </c>
      <c r="E108" s="14">
        <f>IF(ISNUMBER(D108), (D108 - $B108) / $B108, "")</f>
        <v>2.9972752043596729E-2</v>
      </c>
      <c r="F108" s="16">
        <f>IF(ISNUMBER(D108), $B118 * E108, "")</f>
        <v>2997.2752043596729</v>
      </c>
      <c r="G108" s="29">
        <v>386</v>
      </c>
      <c r="H108" s="14">
        <f>IF(ISNUMBER(G108), (G108 - $B108) / $B108, "")</f>
        <v>5.1771117166212535E-2</v>
      </c>
      <c r="I108" s="100">
        <f>IF(ISNUMBER(G108), $B118 * H108, "")</f>
        <v>5177.1117166212534</v>
      </c>
      <c r="J108" s="13">
        <v>380</v>
      </c>
      <c r="K108" s="14">
        <f>IF(ISNUMBER(J108), (J108 - $B108) / $B108, "")</f>
        <v>3.5422343324250684E-2</v>
      </c>
      <c r="L108" s="16">
        <f>IF(ISNUMBER(J108), $B118 * K108, "")</f>
        <v>3542.2343324250683</v>
      </c>
      <c r="M108" s="29">
        <v>386</v>
      </c>
      <c r="N108" s="14">
        <f>IF(ISNUMBER(M108), (M108 - $B108) / $B108, "")</f>
        <v>5.1771117166212535E-2</v>
      </c>
      <c r="O108" s="16">
        <f>IF(ISNUMBER(M108), $B118 * N108, "")</f>
        <v>5177.1117166212534</v>
      </c>
      <c r="Q108" s="253"/>
      <c r="R108" s="254"/>
      <c r="S108" s="255"/>
    </row>
    <row r="109" spans="1:19" ht="17.25" thickBot="1">
      <c r="A109" s="125" t="s">
        <v>202</v>
      </c>
      <c r="B109" s="126">
        <v>89.8</v>
      </c>
      <c r="C109" s="77">
        <v>2.8636884299999998E-2</v>
      </c>
      <c r="D109" s="15">
        <v>92.9</v>
      </c>
      <c r="E109" s="32">
        <f t="shared" ref="E109:E112" si="54">IF(ISNUMBER(D109), (D109 - $B109) / $B109, "")</f>
        <v>3.4521158129176041E-2</v>
      </c>
      <c r="F109" s="18">
        <f>IF(ISNUMBER(D109), $B118 * E109, "")</f>
        <v>3452.1158129176042</v>
      </c>
      <c r="G109" s="31">
        <v>98.8</v>
      </c>
      <c r="H109" s="32">
        <f t="shared" ref="H109:H112" si="55">IF(ISNUMBER(G109), (G109 - $B109) / $B109, "")</f>
        <v>0.1002227171492205</v>
      </c>
      <c r="I109" s="101">
        <f>IF(ISNUMBER(G109), $B118 * H109, "")</f>
        <v>10022.27171492205</v>
      </c>
      <c r="J109" s="15">
        <v>96.1</v>
      </c>
      <c r="K109" s="32">
        <f t="shared" ref="K109:K112" si="56">IF(ISNUMBER(J109), (J109 - $B109) / $B109, "")</f>
        <v>7.0155902004454318E-2</v>
      </c>
      <c r="L109" s="18">
        <f>IF(ISNUMBER(J109), $B118 * K109, "")</f>
        <v>7015.5902004454319</v>
      </c>
      <c r="M109" s="31">
        <v>96.6</v>
      </c>
      <c r="N109" s="32">
        <f t="shared" ref="N109:N112" si="57">IF(ISNUMBER(M109), (M109 - $B109) / $B109, "")</f>
        <v>7.5723830734966566E-2</v>
      </c>
      <c r="O109" s="18">
        <f>IF(ISNUMBER(M109), $B118 * N109, "")</f>
        <v>7572.3830734966568</v>
      </c>
      <c r="Q109" s="256"/>
      <c r="R109" s="257"/>
      <c r="S109" s="258"/>
    </row>
    <row r="110" spans="1:19" ht="17.25" thickBot="1">
      <c r="A110" s="125" t="s">
        <v>156</v>
      </c>
      <c r="B110" s="126">
        <v>1800</v>
      </c>
      <c r="C110" s="77">
        <v>2.85714286E-2</v>
      </c>
      <c r="D110" s="15">
        <v>1875</v>
      </c>
      <c r="E110" s="32">
        <f t="shared" si="54"/>
        <v>4.1666666666666664E-2</v>
      </c>
      <c r="F110" s="18">
        <f>IF(ISNUMBER(D110), $B118 * E110, "")</f>
        <v>4166.6666666666661</v>
      </c>
      <c r="G110" s="31">
        <v>1880</v>
      </c>
      <c r="H110" s="32">
        <f t="shared" si="55"/>
        <v>4.4444444444444446E-2</v>
      </c>
      <c r="I110" s="101">
        <f>IF(ISNUMBER(G110), $B118 * H110, "")</f>
        <v>4444.4444444444443</v>
      </c>
      <c r="J110" s="15">
        <v>1850</v>
      </c>
      <c r="K110" s="32">
        <f t="shared" si="56"/>
        <v>2.7777777777777776E-2</v>
      </c>
      <c r="L110" s="18">
        <f>IF(ISNUMBER(J110), $B118 * K110, "")</f>
        <v>2777.7777777777778</v>
      </c>
      <c r="M110" s="31">
        <v>1915</v>
      </c>
      <c r="N110" s="32">
        <f t="shared" si="57"/>
        <v>6.3888888888888884E-2</v>
      </c>
      <c r="O110" s="18">
        <f>IF(ISNUMBER(M110), $B118 * N110, "")</f>
        <v>6388.8888888888887</v>
      </c>
      <c r="Q110" s="241"/>
      <c r="R110" s="241"/>
      <c r="S110" s="241"/>
    </row>
    <row r="111" spans="1:19" ht="17.25" thickBot="1">
      <c r="A111" s="125" t="s">
        <v>200</v>
      </c>
      <c r="B111" s="126">
        <v>141</v>
      </c>
      <c r="C111" s="77">
        <v>2.1739130400000001E-2</v>
      </c>
      <c r="D111" s="15">
        <v>145</v>
      </c>
      <c r="E111" s="32">
        <f t="shared" si="54"/>
        <v>2.8368794326241134E-2</v>
      </c>
      <c r="F111" s="18">
        <f>IF(ISNUMBER(D111), $B118 * E111, "")</f>
        <v>2836.8794326241136</v>
      </c>
      <c r="G111" s="31">
        <v>145</v>
      </c>
      <c r="H111" s="32">
        <f t="shared" si="55"/>
        <v>2.8368794326241134E-2</v>
      </c>
      <c r="I111" s="101">
        <f>IF(ISNUMBER(G111), $B118 * H111, "")</f>
        <v>2836.8794326241136</v>
      </c>
      <c r="J111" s="15">
        <v>143</v>
      </c>
      <c r="K111" s="32">
        <f t="shared" si="56"/>
        <v>1.4184397163120567E-2</v>
      </c>
      <c r="L111" s="18">
        <f>IF(ISNUMBER(J111), $B118 * K111, "")</f>
        <v>1418.4397163120568</v>
      </c>
      <c r="M111" s="31">
        <v>147</v>
      </c>
      <c r="N111" s="32">
        <f t="shared" si="57"/>
        <v>4.2553191489361701E-2</v>
      </c>
      <c r="O111" s="18">
        <f>IF(ISNUMBER(M111), $B118 * N111, "")</f>
        <v>4255.3191489361698</v>
      </c>
      <c r="Q111" s="236"/>
      <c r="R111" s="236"/>
      <c r="S111" s="236"/>
    </row>
    <row r="112" spans="1:19" ht="17.25" thickBot="1">
      <c r="A112" s="127" t="s">
        <v>76</v>
      </c>
      <c r="B112" s="128">
        <v>28190</v>
      </c>
      <c r="C112" s="78">
        <v>2.13768116E-2</v>
      </c>
      <c r="D112" s="20">
        <v>29120</v>
      </c>
      <c r="E112" s="21">
        <f t="shared" si="54"/>
        <v>3.2990422135509047E-2</v>
      </c>
      <c r="F112" s="22">
        <f>IF(ISNUMBER(D112), $B118 * E112, "")</f>
        <v>3299.0422135509048</v>
      </c>
      <c r="G112" s="30">
        <v>29860</v>
      </c>
      <c r="H112" s="21">
        <f t="shared" si="55"/>
        <v>5.9240865555161407E-2</v>
      </c>
      <c r="I112" s="105">
        <f>IF(ISNUMBER(G112), $B118 * H112, "")</f>
        <v>5924.0865555161408</v>
      </c>
      <c r="J112" s="20">
        <v>29900</v>
      </c>
      <c r="K112" s="21">
        <f t="shared" si="56"/>
        <v>6.0659808442710184E-2</v>
      </c>
      <c r="L112" s="22">
        <f>IF(ISNUMBER(J112), $B118 * K112, "")</f>
        <v>6065.9808442710182</v>
      </c>
      <c r="M112" s="30">
        <v>30510</v>
      </c>
      <c r="N112" s="21">
        <f t="shared" si="57"/>
        <v>8.2298687477829022E-2</v>
      </c>
      <c r="O112" s="22">
        <f>IF(ISNUMBER(M112), $B118 * N112, "")</f>
        <v>8229.8687477829026</v>
      </c>
      <c r="Q112" s="236"/>
      <c r="R112" s="236"/>
      <c r="S112" s="236"/>
    </row>
    <row r="113" spans="1:19" ht="17.25" thickBot="1">
      <c r="A113" s="125" t="s">
        <v>51</v>
      </c>
      <c r="B113" s="129">
        <v>348</v>
      </c>
      <c r="C113" s="80">
        <v>1.75438596E-2</v>
      </c>
      <c r="D113" s="106">
        <v>374</v>
      </c>
      <c r="E113" s="107">
        <f>IF(ISNUMBER(D113), (D113 - $B113) / $B113, "")</f>
        <v>7.4712643678160925E-2</v>
      </c>
      <c r="F113" s="108">
        <f>IF(ISNUMBER(D113), $B118 * E113, "")</f>
        <v>7471.2643678160921</v>
      </c>
      <c r="G113" s="106">
        <v>374</v>
      </c>
      <c r="H113" s="107">
        <f>IF(ISNUMBER(G113), (G113 - $B113) / $B113, "")</f>
        <v>7.4712643678160925E-2</v>
      </c>
      <c r="I113" s="110">
        <f>IF(ISNUMBER(G113), $B118 * H113, "")</f>
        <v>7471.2643678160921</v>
      </c>
      <c r="J113" s="106">
        <v>370</v>
      </c>
      <c r="K113" s="107">
        <f>IF(ISNUMBER(J113), (J113 - $B113) / $B113, "")</f>
        <v>6.3218390804597707E-2</v>
      </c>
      <c r="L113" s="108">
        <f>IF(ISNUMBER(J113), $B118 * K113, "")</f>
        <v>6321.8390804597711</v>
      </c>
      <c r="M113" s="109">
        <v>381</v>
      </c>
      <c r="N113" s="107">
        <f>IF(ISNUMBER(M113), (M113 - $B113) / $B113, "")</f>
        <v>9.4827586206896547E-2</v>
      </c>
      <c r="O113" s="108">
        <f>IF(ISNUMBER(M113), $B118 * N113, "")</f>
        <v>9482.758620689654</v>
      </c>
      <c r="Q113" s="241"/>
      <c r="R113" s="241"/>
      <c r="S113" s="241"/>
    </row>
    <row r="114" spans="1:19" ht="17.25" thickBot="1">
      <c r="A114" s="125" t="s">
        <v>140</v>
      </c>
      <c r="B114" s="126">
        <v>5810</v>
      </c>
      <c r="C114" s="77">
        <v>1.7513134900000001E-2</v>
      </c>
      <c r="D114" s="15">
        <v>6025</v>
      </c>
      <c r="E114" s="32">
        <f t="shared" ref="E114:E117" si="58">IF(ISNUMBER(D114), (D114 - $B114) / $B114, "")</f>
        <v>3.7005163511187607E-2</v>
      </c>
      <c r="F114" s="18">
        <f>IF(ISNUMBER(D114), $B118 * E114, "")</f>
        <v>3700.5163511187607</v>
      </c>
      <c r="G114" s="15">
        <v>6085</v>
      </c>
      <c r="H114" s="32">
        <f t="shared" ref="H114:H117" si="59">IF(ISNUMBER(G114), (G114 - $B114) / $B114, "")</f>
        <v>4.7332185886402756E-2</v>
      </c>
      <c r="I114" s="101">
        <f>IF(ISNUMBER(G114), $B118 * H114, "")</f>
        <v>4733.2185886402758</v>
      </c>
      <c r="J114" s="15">
        <v>6085</v>
      </c>
      <c r="K114" s="32">
        <f t="shared" ref="K114:K117" si="60">IF(ISNUMBER(J114), (J114 - $B114) / $B114, "")</f>
        <v>4.7332185886402756E-2</v>
      </c>
      <c r="L114" s="18">
        <f>IF(ISNUMBER(J114), $B118 * K114, "")</f>
        <v>4733.2185886402758</v>
      </c>
      <c r="M114" s="31">
        <v>6195</v>
      </c>
      <c r="N114" s="32">
        <f t="shared" ref="N114:N117" si="61">IF(ISNUMBER(M114), (M114 - $B114) / $B114, "")</f>
        <v>6.6265060240963861E-2</v>
      </c>
      <c r="O114" s="18">
        <f>IF(ISNUMBER(M114), $B118 * N114, "")</f>
        <v>6626.5060240963858</v>
      </c>
      <c r="Q114" s="241"/>
      <c r="R114" s="241"/>
      <c r="S114" s="241"/>
    </row>
    <row r="115" spans="1:19" ht="17.25" thickBot="1">
      <c r="A115" s="125" t="s">
        <v>90</v>
      </c>
      <c r="B115" s="126">
        <v>949</v>
      </c>
      <c r="C115" s="77">
        <v>1.4973261999999999E-2</v>
      </c>
      <c r="D115" s="15">
        <v>1025</v>
      </c>
      <c r="E115" s="32">
        <f t="shared" si="58"/>
        <v>8.0084299262381448E-2</v>
      </c>
      <c r="F115" s="18">
        <f>IF(ISNUMBER(D115), $B118 * E115, "")</f>
        <v>8008.4299262381446</v>
      </c>
      <c r="G115" s="15">
        <v>1035</v>
      </c>
      <c r="H115" s="32">
        <f t="shared" si="59"/>
        <v>9.0621707060063228E-2</v>
      </c>
      <c r="I115" s="101">
        <f>IF(ISNUMBER(G115), $B118 * H115, "")</f>
        <v>9062.1707060063236</v>
      </c>
      <c r="J115" s="15">
        <v>1010</v>
      </c>
      <c r="K115" s="32">
        <f t="shared" si="60"/>
        <v>6.4278187565858805E-2</v>
      </c>
      <c r="L115" s="18">
        <f>IF(ISNUMBER(J115), $B118 * K115, "")</f>
        <v>6427.8187565858807</v>
      </c>
      <c r="M115" s="31">
        <v>1060</v>
      </c>
      <c r="N115" s="32">
        <f t="shared" si="61"/>
        <v>0.11696522655426765</v>
      </c>
      <c r="O115" s="18">
        <f>IF(ISNUMBER(M115), $B118 * N115, "")</f>
        <v>11696.522655426765</v>
      </c>
      <c r="Q115" s="241"/>
      <c r="R115" s="241"/>
      <c r="S115" s="241"/>
    </row>
    <row r="116" spans="1:19">
      <c r="A116" s="125" t="s">
        <v>74</v>
      </c>
      <c r="B116" s="126">
        <v>15880</v>
      </c>
      <c r="C116" s="77">
        <v>1.40485313E-2</v>
      </c>
      <c r="D116" s="15">
        <v>17190</v>
      </c>
      <c r="E116" s="32">
        <f t="shared" si="58"/>
        <v>8.2493702770780858E-2</v>
      </c>
      <c r="F116" s="18">
        <f>IF(ISNUMBER(D116), $B118 * E116, "")</f>
        <v>8249.3702770780856</v>
      </c>
      <c r="G116" s="15">
        <v>17540</v>
      </c>
      <c r="H116" s="32">
        <f t="shared" si="59"/>
        <v>0.10453400503778337</v>
      </c>
      <c r="I116" s="101">
        <f>IF(ISNUMBER(G116), $B118 * H116, "")</f>
        <v>10453.400503778337</v>
      </c>
      <c r="J116" s="15">
        <v>17110</v>
      </c>
      <c r="K116" s="32">
        <f t="shared" si="60"/>
        <v>7.7455919395465991E-2</v>
      </c>
      <c r="L116" s="18">
        <f>IF(ISNUMBER(J116), $B118 * K116, "")</f>
        <v>7745.591939546599</v>
      </c>
      <c r="M116" s="31">
        <v>17420</v>
      </c>
      <c r="N116" s="32">
        <f t="shared" si="61"/>
        <v>9.697732997481108E-2</v>
      </c>
      <c r="O116" s="18">
        <f>IF(ISNUMBER(M116), $B118 * N116, "")</f>
        <v>9697.7329974811073</v>
      </c>
      <c r="Q116" s="263"/>
      <c r="R116" s="264"/>
      <c r="S116" s="265"/>
    </row>
    <row r="117" spans="1:19" ht="17.25" thickBot="1">
      <c r="A117" s="130" t="s">
        <v>69</v>
      </c>
      <c r="B117" s="131">
        <v>5305</v>
      </c>
      <c r="C117" s="79">
        <v>1.33715377E-2</v>
      </c>
      <c r="D117" s="24">
        <v>5870</v>
      </c>
      <c r="E117" s="25">
        <f t="shared" si="58"/>
        <v>0.10650329877474081</v>
      </c>
      <c r="F117" s="104">
        <f>IF(ISNUMBER(D117), $B118 * E117, "")</f>
        <v>10650.329877474082</v>
      </c>
      <c r="G117" s="102">
        <v>5790</v>
      </c>
      <c r="H117" s="25">
        <f t="shared" si="59"/>
        <v>9.1423185673892557E-2</v>
      </c>
      <c r="I117" s="103">
        <f>IF(ISNUMBER(G117), $B118 * H117, "")</f>
        <v>9142.3185673892549</v>
      </c>
      <c r="J117" s="24">
        <v>5730</v>
      </c>
      <c r="K117" s="25">
        <f t="shared" si="60"/>
        <v>8.0113100848256361E-2</v>
      </c>
      <c r="L117" s="104">
        <f>IF(ISNUMBER(J117), $B118 * K117, "")</f>
        <v>8011.3100848256363</v>
      </c>
      <c r="M117" s="102">
        <v>5865</v>
      </c>
      <c r="N117" s="25">
        <f t="shared" si="61"/>
        <v>0.1055607917059378</v>
      </c>
      <c r="O117" s="104">
        <f>IF(ISNUMBER(M117), $B118 * N117, "")</f>
        <v>10556.079170593779</v>
      </c>
      <c r="Q117" s="266"/>
      <c r="R117" s="267"/>
      <c r="S117" s="268"/>
    </row>
    <row r="118" spans="1:19" ht="17.25" thickBot="1">
      <c r="A118" s="132" t="s">
        <v>270</v>
      </c>
      <c r="B118" s="274">
        <f>$B$37</f>
        <v>100000</v>
      </c>
      <c r="C118" s="275"/>
      <c r="D118" s="26" t="s">
        <v>271</v>
      </c>
      <c r="E118" s="27">
        <f>IF(COUNT(E98:E117), SUM(E98:E117) / COUNT(E98:E117), 0)</f>
        <v>5.6484690547393732E-2</v>
      </c>
      <c r="F118" s="28">
        <f>SUM(F98:F117)</f>
        <v>112969.38109478746</v>
      </c>
      <c r="G118" s="26" t="s">
        <v>271</v>
      </c>
      <c r="H118" s="27">
        <f>IF(COUNT(H98:H117), SUM(H98:H117) / COUNT(H98:H117), 0)</f>
        <v>6.649314222834235E-2</v>
      </c>
      <c r="I118" s="28">
        <f>SUM(I98:I117)</f>
        <v>132986.28445668469</v>
      </c>
      <c r="J118" s="26" t="s">
        <v>271</v>
      </c>
      <c r="K118" s="27">
        <f>IF(COUNT(K98:K117), SUM(K98:K117) / COUNT(K98:K117), 0)</f>
        <v>5.0319563419208305E-2</v>
      </c>
      <c r="L118" s="28">
        <f>SUM(L98:L117)</f>
        <v>100639.12683841659</v>
      </c>
      <c r="M118" s="26" t="s">
        <v>271</v>
      </c>
      <c r="N118" s="27">
        <f>IF(COUNT(N98:N117), SUM(N98:N117) / COUNT(N98:N117), 0)</f>
        <v>7.2741014435801721E-2</v>
      </c>
      <c r="O118" s="28">
        <f>SUM(O98:O117)</f>
        <v>145482.02887160346</v>
      </c>
      <c r="Q118" s="269"/>
      <c r="R118" s="270"/>
      <c r="S118" s="27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36"/>
      <c r="R121" s="236"/>
      <c r="S121" s="236"/>
    </row>
    <row r="122" spans="1:19" ht="17.25" thickBot="1">
      <c r="A122" s="197" t="s">
        <v>267</v>
      </c>
      <c r="B122" s="215" t="s">
        <v>49</v>
      </c>
      <c r="C122" s="217"/>
      <c r="D122" s="215" t="s">
        <v>58</v>
      </c>
      <c r="E122" s="216"/>
      <c r="F122" s="217"/>
      <c r="G122" s="242">
        <f>_xlfn.IFNA(VLOOKUP(B122, 현재가테이블!$B$2:$D$200, 2, FALSE), "-")</f>
        <v>53976000</v>
      </c>
      <c r="H122" s="243"/>
      <c r="I122" s="244"/>
      <c r="J122" s="215" t="s">
        <v>59</v>
      </c>
      <c r="K122" s="216"/>
      <c r="L122" s="217"/>
      <c r="M122" s="245">
        <f>_xlfn.IFNA(VLOOKUP(B122, 현재가테이블!$B$2:$D$200, 3, FALSE), "-")</f>
        <v>-2.1216407400000001E-2</v>
      </c>
      <c r="N122" s="246"/>
      <c r="O122" s="247"/>
      <c r="Q122" s="236"/>
      <c r="R122" s="236"/>
      <c r="S122" s="236"/>
    </row>
    <row r="123" spans="1:19" ht="17.25" thickBot="1">
      <c r="A123" s="276" t="s">
        <v>55</v>
      </c>
      <c r="B123" s="278" t="str">
        <f>TEXT($G$1, "[$-ko-KR]yyyy-mm-dd(ddd) ") &amp; "오전 00:00"</f>
        <v>2021-08-11(수) 오전 00:00</v>
      </c>
      <c r="C123" s="279"/>
      <c r="D123" s="238" t="str">
        <f>TEXT($G$1, "[$-ko-KR]yyyy-mm-dd(ddd) ") &amp; "오후 14:00"</f>
        <v>2021-08-11(수) 오후 14:00</v>
      </c>
      <c r="E123" s="239"/>
      <c r="F123" s="240"/>
      <c r="G123" s="238" t="str">
        <f>TEXT($G$1, "[$-ko-KR]yyyy-mm-dd(ddd) ") &amp; "오후 19:00"</f>
        <v>2021-08-11(수) 오후 19:00</v>
      </c>
      <c r="H123" s="239"/>
      <c r="I123" s="240"/>
      <c r="J123" s="238" t="str">
        <f>TEXT($G$1, "[$-ko-KR]yyyy-mm-dd(ddd) ") &amp; "오후 21:00"</f>
        <v>2021-08-11(수) 오후 21:00</v>
      </c>
      <c r="K123" s="239"/>
      <c r="L123" s="240"/>
      <c r="M123" s="238" t="str">
        <f>TEXT($G$1+1, "[$-ko-KR]yyyy-mm-dd(ddd) ") &amp; "오전 00:00"</f>
        <v>2021-08-12(목) 오전 00:00</v>
      </c>
      <c r="N123" s="239"/>
      <c r="O123" s="240"/>
      <c r="Q123" s="236"/>
      <c r="R123" s="236"/>
      <c r="S123" s="236"/>
    </row>
    <row r="124" spans="1:19" ht="17.25" thickBot="1">
      <c r="A124" s="27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1"/>
      <c r="R124" s="241"/>
      <c r="S124" s="241"/>
    </row>
    <row r="125" spans="1:19" ht="17.25" thickBot="1">
      <c r="A125" s="123" t="s">
        <v>240</v>
      </c>
      <c r="B125" s="124">
        <v>66.900000000000006</v>
      </c>
      <c r="C125" s="76">
        <v>3.7209302299999997E-2</v>
      </c>
      <c r="D125" s="13">
        <v>67.5</v>
      </c>
      <c r="E125" s="14">
        <f>IF(ISNUMBER(D125), (D125 - $B125) / $B125, "")</f>
        <v>8.9686098654707669E-3</v>
      </c>
      <c r="F125" s="16">
        <f>IF(ISNUMBER(D125), $B145 * E125, "")</f>
        <v>896.86098654707666</v>
      </c>
      <c r="G125" s="29">
        <v>68.7</v>
      </c>
      <c r="H125" s="14">
        <f>IF(ISNUMBER(G125), (G125 - $B125) / $B125, "")</f>
        <v>2.6905829596412512E-2</v>
      </c>
      <c r="I125" s="100">
        <f>IF(ISNUMBER(G125), $B145 * H125, "")</f>
        <v>2690.5829596412514</v>
      </c>
      <c r="J125" s="13">
        <v>69.2</v>
      </c>
      <c r="K125" s="14">
        <f>IF(ISNUMBER(J125), (J125 - $B125) / $B125, "")</f>
        <v>3.4379671150971555E-2</v>
      </c>
      <c r="L125" s="16">
        <f>IF(ISNUMBER(J125), $B145 * K125, "")</f>
        <v>3437.9671150971553</v>
      </c>
      <c r="M125" s="29">
        <v>69.8</v>
      </c>
      <c r="N125" s="14">
        <f>IF(ISNUMBER(M125), (M125 - $B125) / $B125, "")</f>
        <v>4.3348281016442322E-2</v>
      </c>
      <c r="O125" s="16">
        <f>IF(ISNUMBER(M125), $B145 * N125, "")</f>
        <v>4334.8281016442324</v>
      </c>
      <c r="Q125" s="236"/>
      <c r="R125" s="236"/>
      <c r="S125" s="236"/>
    </row>
    <row r="126" spans="1:19" ht="17.25" thickBot="1">
      <c r="A126" s="125" t="s">
        <v>202</v>
      </c>
      <c r="B126" s="126">
        <v>89.8</v>
      </c>
      <c r="C126" s="77">
        <v>2.8636884299999998E-2</v>
      </c>
      <c r="D126" s="15">
        <v>92.9</v>
      </c>
      <c r="E126" s="32">
        <f t="shared" ref="E126:E129" si="62">IF(ISNUMBER(D126), (D126 - $B126) / $B126, "")</f>
        <v>3.4521158129176041E-2</v>
      </c>
      <c r="F126" s="18">
        <f>IF(ISNUMBER(D126), $B145 * E126, "")</f>
        <v>3452.1158129176042</v>
      </c>
      <c r="G126" s="31">
        <v>98.8</v>
      </c>
      <c r="H126" s="32">
        <f t="shared" ref="H126:H129" si="63">IF(ISNUMBER(G126), (G126 - $B126) / $B126, "")</f>
        <v>0.1002227171492205</v>
      </c>
      <c r="I126" s="101">
        <f>IF(ISNUMBER(G126), $B145 * H126, "")</f>
        <v>10022.27171492205</v>
      </c>
      <c r="J126" s="15">
        <v>96.1</v>
      </c>
      <c r="K126" s="32">
        <f t="shared" ref="K126:K129" si="64">IF(ISNUMBER(J126), (J126 - $B126) / $B126, "")</f>
        <v>7.0155902004454318E-2</v>
      </c>
      <c r="L126" s="18">
        <f>IF(ISNUMBER(J126), $B145 * K126, "")</f>
        <v>7015.5902004454319</v>
      </c>
      <c r="M126" s="31">
        <v>96.6</v>
      </c>
      <c r="N126" s="32">
        <f t="shared" ref="N126:N129" si="65">IF(ISNUMBER(M126), (M126 - $B126) / $B126, "")</f>
        <v>7.5723830734966566E-2</v>
      </c>
      <c r="O126" s="18">
        <f>IF(ISNUMBER(M126), $B145 * N126, "")</f>
        <v>7572.3830734966568</v>
      </c>
      <c r="Q126" s="236"/>
      <c r="R126" s="236"/>
      <c r="S126" s="236"/>
    </row>
    <row r="127" spans="1:19" ht="17.25" thickBot="1">
      <c r="A127" s="125" t="s">
        <v>122</v>
      </c>
      <c r="B127" s="126">
        <v>30.1</v>
      </c>
      <c r="C127" s="77">
        <v>6.6889632000000001E-3</v>
      </c>
      <c r="D127" s="15">
        <v>31.2</v>
      </c>
      <c r="E127" s="32">
        <f t="shared" si="62"/>
        <v>3.6544850498338798E-2</v>
      </c>
      <c r="F127" s="18">
        <f>IF(ISNUMBER(D127), $B145 * E127, "")</f>
        <v>3654.4850498338797</v>
      </c>
      <c r="G127" s="31">
        <v>31.5</v>
      </c>
      <c r="H127" s="32">
        <f t="shared" si="63"/>
        <v>4.6511627906976695E-2</v>
      </c>
      <c r="I127" s="101">
        <f>IF(ISNUMBER(G127), $B145 * H127, "")</f>
        <v>4651.1627906976692</v>
      </c>
      <c r="J127" s="15">
        <v>31.4</v>
      </c>
      <c r="K127" s="32">
        <f t="shared" si="64"/>
        <v>4.3189368770764021E-2</v>
      </c>
      <c r="L127" s="18">
        <f>IF(ISNUMBER(J127), $B145 * K127, "")</f>
        <v>4318.9368770764022</v>
      </c>
      <c r="M127" s="31">
        <v>32.700000000000003</v>
      </c>
      <c r="N127" s="32">
        <f t="shared" si="65"/>
        <v>8.6378737541528278E-2</v>
      </c>
      <c r="O127" s="18">
        <f>IF(ISNUMBER(M127), $B145 * N127, "")</f>
        <v>8637.873754152828</v>
      </c>
      <c r="Q127" s="241"/>
      <c r="R127" s="241"/>
      <c r="S127" s="241"/>
    </row>
    <row r="128" spans="1:19" ht="17.25" thickBot="1">
      <c r="A128" s="125" t="s">
        <v>152</v>
      </c>
      <c r="B128" s="126">
        <v>84.7</v>
      </c>
      <c r="C128" s="77">
        <v>0</v>
      </c>
      <c r="D128" s="15">
        <v>89.5</v>
      </c>
      <c r="E128" s="32">
        <f t="shared" si="62"/>
        <v>5.6670602125147546E-2</v>
      </c>
      <c r="F128" s="18">
        <f>IF(ISNUMBER(D128), $B145 * E128, "")</f>
        <v>5667.0602125147543</v>
      </c>
      <c r="G128" s="31">
        <v>93.7</v>
      </c>
      <c r="H128" s="32">
        <f t="shared" si="63"/>
        <v>0.10625737898465171</v>
      </c>
      <c r="I128" s="101">
        <f>IF(ISNUMBER(G128), $B145 * H128, "")</f>
        <v>10625.737898465171</v>
      </c>
      <c r="J128" s="15">
        <v>94.6</v>
      </c>
      <c r="K128" s="32">
        <f t="shared" si="64"/>
        <v>0.11688311688311678</v>
      </c>
      <c r="L128" s="18">
        <f>IF(ISNUMBER(J128), $B145 * K128, "")</f>
        <v>11688.311688311678</v>
      </c>
      <c r="M128" s="31">
        <v>97.1</v>
      </c>
      <c r="N128" s="32">
        <f t="shared" si="65"/>
        <v>0.14639905548996449</v>
      </c>
      <c r="O128" s="18">
        <f>IF(ISNUMBER(M128), $B145 * N128, "")</f>
        <v>14639.905548996448</v>
      </c>
      <c r="Q128" s="241"/>
      <c r="R128" s="241"/>
      <c r="S128" s="241"/>
    </row>
    <row r="129" spans="1:19" ht="17.25" thickBot="1">
      <c r="A129" s="127" t="s">
        <v>65</v>
      </c>
      <c r="B129" s="128">
        <v>32.1</v>
      </c>
      <c r="C129" s="78">
        <v>-3.1055901000000001E-3</v>
      </c>
      <c r="D129" s="20">
        <v>35</v>
      </c>
      <c r="E129" s="21">
        <f t="shared" si="62"/>
        <v>9.0342679127725811E-2</v>
      </c>
      <c r="F129" s="22">
        <f>IF(ISNUMBER(D129), $B145 * E129, "")</f>
        <v>9034.2679127725805</v>
      </c>
      <c r="G129" s="30">
        <v>35.299999999999997</v>
      </c>
      <c r="H129" s="21">
        <f t="shared" si="63"/>
        <v>9.968847352024908E-2</v>
      </c>
      <c r="I129" s="105">
        <f>IF(ISNUMBER(G129), $B145 * H129, "")</f>
        <v>9968.8473520249081</v>
      </c>
      <c r="J129" s="20">
        <v>34.9</v>
      </c>
      <c r="K129" s="21">
        <f t="shared" si="64"/>
        <v>8.7227414330217981E-2</v>
      </c>
      <c r="L129" s="22">
        <f>IF(ISNUMBER(J129), $B145 * K129, "")</f>
        <v>8722.741433021798</v>
      </c>
      <c r="M129" s="30">
        <v>35.6</v>
      </c>
      <c r="N129" s="21">
        <f t="shared" si="65"/>
        <v>0.10903426791277258</v>
      </c>
      <c r="O129" s="22">
        <f>IF(ISNUMBER(M129), $B145 * N129, "")</f>
        <v>10903.426791277258</v>
      </c>
      <c r="Q129" s="241"/>
      <c r="R129" s="241"/>
      <c r="S129" s="241"/>
    </row>
    <row r="130" spans="1:19" ht="17.25" thickBot="1">
      <c r="A130" s="125" t="s">
        <v>148</v>
      </c>
      <c r="B130" s="129">
        <v>19.3</v>
      </c>
      <c r="C130" s="80">
        <v>-5.1546392E-3</v>
      </c>
      <c r="D130" s="106">
        <v>20.5</v>
      </c>
      <c r="E130" s="107">
        <f>IF(ISNUMBER(D130), (D130 - $B130) / $B130, "")</f>
        <v>6.2176165803108772E-2</v>
      </c>
      <c r="F130" s="108">
        <f>IF(ISNUMBER(D130), $B145 * E130, "")</f>
        <v>6217.616580310877</v>
      </c>
      <c r="G130" s="109">
        <v>20.9</v>
      </c>
      <c r="H130" s="107">
        <f>IF(ISNUMBER(G130), (G130 - $B130) / $B130, "")</f>
        <v>8.290155440414497E-2</v>
      </c>
      <c r="I130" s="110">
        <f>IF(ISNUMBER(G130), $B145 * H130, "")</f>
        <v>8290.1554404144972</v>
      </c>
      <c r="J130" s="106">
        <v>20.6</v>
      </c>
      <c r="K130" s="107">
        <f>IF(ISNUMBER(J130), (J130 - $B130) / $B130, "")</f>
        <v>6.7357512953367907E-2</v>
      </c>
      <c r="L130" s="108">
        <f>IF(ISNUMBER(J130), $B145 * K130, "")</f>
        <v>6735.7512953367905</v>
      </c>
      <c r="M130" s="109">
        <v>21.6</v>
      </c>
      <c r="N130" s="107">
        <f>IF(ISNUMBER(M130), (M130 - $B130) / $B130, "")</f>
        <v>0.11917098445595858</v>
      </c>
      <c r="O130" s="108">
        <f>IF(ISNUMBER(M130), $B145 * N130, "")</f>
        <v>11917.098445595859</v>
      </c>
      <c r="Q130" s="241"/>
      <c r="R130" s="241"/>
      <c r="S130" s="241"/>
    </row>
    <row r="131" spans="1:19" ht="17.25" thickBot="1">
      <c r="A131" s="125" t="s">
        <v>98</v>
      </c>
      <c r="B131" s="126">
        <v>4.3899999999999997</v>
      </c>
      <c r="C131" s="77">
        <v>-6.7873302999999999E-3</v>
      </c>
      <c r="D131" s="15">
        <v>4.6100000000000003</v>
      </c>
      <c r="E131" s="32">
        <f t="shared" ref="E131:E134" si="66">IF(ISNUMBER(D131), (D131 - $B131) / $B131, "")</f>
        <v>5.0113895216401062E-2</v>
      </c>
      <c r="F131" s="18">
        <f>IF(ISNUMBER(D131), $B145 * E131, "")</f>
        <v>5011.3895216401061</v>
      </c>
      <c r="G131" s="31">
        <v>5.03</v>
      </c>
      <c r="H131" s="32">
        <f t="shared" ref="H131:H134" si="67">IF(ISNUMBER(G131), (G131 - $B131) / $B131, "")</f>
        <v>0.14578587699316642</v>
      </c>
      <c r="I131" s="101">
        <f>IF(ISNUMBER(G131), $B145 * H131, "")</f>
        <v>14578.587699316642</v>
      </c>
      <c r="J131" s="15">
        <v>4.9800000000000004</v>
      </c>
      <c r="K131" s="32">
        <f t="shared" ref="K131:K134" si="68">IF(ISNUMBER(J131), (J131 - $B131) / $B131, "")</f>
        <v>0.13439635535307534</v>
      </c>
      <c r="L131" s="18">
        <f>IF(ISNUMBER(J131), $B145 * K131, "")</f>
        <v>13439.635535307534</v>
      </c>
      <c r="M131" s="31">
        <v>5.26</v>
      </c>
      <c r="N131" s="32">
        <f t="shared" ref="N131:N134" si="69">IF(ISNUMBER(M131), (M131 - $B131) / $B131, "")</f>
        <v>0.19817767653758547</v>
      </c>
      <c r="O131" s="18">
        <f>IF(ISNUMBER(M131), $B145 * N131, "")</f>
        <v>19817.767653758547</v>
      </c>
      <c r="Q131" s="241"/>
      <c r="R131" s="241"/>
      <c r="S131" s="241"/>
    </row>
    <row r="132" spans="1:19" ht="17.25" thickBot="1">
      <c r="A132" s="125" t="s">
        <v>188</v>
      </c>
      <c r="B132" s="126">
        <v>12.3</v>
      </c>
      <c r="C132" s="77">
        <v>-8.0645161000000003E-3</v>
      </c>
      <c r="D132" s="15">
        <v>12.6</v>
      </c>
      <c r="E132" s="32">
        <f t="shared" si="66"/>
        <v>2.4390243902438935E-2</v>
      </c>
      <c r="F132" s="18">
        <f>IF(ISNUMBER(D132), $B145 * E132, "")</f>
        <v>2439.0243902438933</v>
      </c>
      <c r="G132" s="31">
        <v>12.8</v>
      </c>
      <c r="H132" s="32">
        <f t="shared" si="67"/>
        <v>4.065040650406504E-2</v>
      </c>
      <c r="I132" s="101">
        <f>IF(ISNUMBER(G132), $B145 * H132, "")</f>
        <v>4065.040650406504</v>
      </c>
      <c r="J132" s="15">
        <v>12.7</v>
      </c>
      <c r="K132" s="32">
        <f t="shared" si="68"/>
        <v>3.2520325203251918E-2</v>
      </c>
      <c r="L132" s="18">
        <f>IF(ISNUMBER(J132), $B145 * K132, "")</f>
        <v>3252.0325203251919</v>
      </c>
      <c r="M132" s="31">
        <v>13.2</v>
      </c>
      <c r="N132" s="32">
        <f t="shared" si="69"/>
        <v>7.3170731707316958E-2</v>
      </c>
      <c r="O132" s="18">
        <f>IF(ISNUMBER(M132), $B145 * N132, "")</f>
        <v>7317.0731707316954</v>
      </c>
      <c r="Q132" s="241"/>
      <c r="R132" s="241"/>
      <c r="S132" s="241"/>
    </row>
    <row r="133" spans="1:19" ht="17.25" thickBot="1">
      <c r="A133" s="125" t="s">
        <v>178</v>
      </c>
      <c r="B133" s="126">
        <v>16.399999999999999</v>
      </c>
      <c r="C133" s="77">
        <v>-1.20481928E-2</v>
      </c>
      <c r="D133" s="15">
        <v>16.8</v>
      </c>
      <c r="E133" s="32">
        <f t="shared" si="66"/>
        <v>2.4390243902439157E-2</v>
      </c>
      <c r="F133" s="18">
        <f>IF(ISNUMBER(D133), $B145 * E133, "")</f>
        <v>2439.0243902439156</v>
      </c>
      <c r="G133" s="31">
        <v>17.100000000000001</v>
      </c>
      <c r="H133" s="32">
        <f t="shared" si="67"/>
        <v>4.2682926829268469E-2</v>
      </c>
      <c r="I133" s="101">
        <f>IF(ISNUMBER(G133), $B145 * H133, "")</f>
        <v>4268.2926829268472</v>
      </c>
      <c r="J133" s="15">
        <v>17</v>
      </c>
      <c r="K133" s="32">
        <f t="shared" si="68"/>
        <v>3.6585365853658625E-2</v>
      </c>
      <c r="L133" s="18">
        <f>IF(ISNUMBER(J133), $B145 * K133, "")</f>
        <v>3658.5365853658623</v>
      </c>
      <c r="M133" s="31">
        <v>17.3</v>
      </c>
      <c r="N133" s="32">
        <f t="shared" si="69"/>
        <v>5.4878048780487937E-2</v>
      </c>
      <c r="O133" s="18">
        <f>IF(ISNUMBER(M133), $B145 * N133, "")</f>
        <v>5487.8048780487934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-1.33333333E-2</v>
      </c>
      <c r="D134" s="24">
        <v>22.8</v>
      </c>
      <c r="E134" s="25">
        <f t="shared" si="66"/>
        <v>2.7027027027027091E-2</v>
      </c>
      <c r="F134" s="104">
        <f>IF(ISNUMBER(D134), $B145 * E134, "")</f>
        <v>2702.7027027027093</v>
      </c>
      <c r="G134" s="102">
        <v>23.2</v>
      </c>
      <c r="H134" s="25">
        <f t="shared" si="67"/>
        <v>4.504504504504505E-2</v>
      </c>
      <c r="I134" s="103">
        <f>IF(ISNUMBER(G134), $B145 * H134, "")</f>
        <v>4504.5045045045053</v>
      </c>
      <c r="J134" s="24">
        <v>23</v>
      </c>
      <c r="K134" s="25">
        <f t="shared" si="68"/>
        <v>3.603603603603607E-2</v>
      </c>
      <c r="L134" s="104">
        <f>IF(ISNUMBER(J134), $B145 * K134, "")</f>
        <v>3603.6036036036071</v>
      </c>
      <c r="M134" s="102">
        <v>23.5</v>
      </c>
      <c r="N134" s="25">
        <f t="shared" si="69"/>
        <v>5.8558558558558592E-2</v>
      </c>
      <c r="O134" s="104">
        <f>IF(ISNUMBER(M134), $B145 * N134, "")</f>
        <v>5855.8558558558589</v>
      </c>
      <c r="Q134" s="250"/>
      <c r="R134" s="251"/>
      <c r="S134" s="252"/>
    </row>
    <row r="135" spans="1:19">
      <c r="A135" s="123" t="s">
        <v>234</v>
      </c>
      <c r="B135" s="124">
        <v>70</v>
      </c>
      <c r="C135" s="76">
        <v>-1.68539326E-2</v>
      </c>
      <c r="D135" s="13">
        <v>71.5</v>
      </c>
      <c r="E135" s="14">
        <f>IF(ISNUMBER(D135), (D135 - $B135) / $B135, "")</f>
        <v>2.1428571428571429E-2</v>
      </c>
      <c r="F135" s="16">
        <f>IF(ISNUMBER(D135), $B145 * E135, "")</f>
        <v>2142.8571428571427</v>
      </c>
      <c r="G135" s="29">
        <v>72.7</v>
      </c>
      <c r="H135" s="14">
        <f>IF(ISNUMBER(G135), (G135 - $B135) / $B135, "")</f>
        <v>3.8571428571428611E-2</v>
      </c>
      <c r="I135" s="100">
        <f>IF(ISNUMBER(G135), $B145 * H135, "")</f>
        <v>3857.142857142861</v>
      </c>
      <c r="J135" s="13">
        <v>72.2</v>
      </c>
      <c r="K135" s="14">
        <f>IF(ISNUMBER(J135), (J135 - $B135) / $B135, "")</f>
        <v>3.1428571428571472E-2</v>
      </c>
      <c r="L135" s="16">
        <f>IF(ISNUMBER(J135), $B145 * K135, "")</f>
        <v>3142.8571428571472</v>
      </c>
      <c r="M135" s="29">
        <v>73.8</v>
      </c>
      <c r="N135" s="14">
        <f>IF(ISNUMBER(M135), (M135 - $B135) / $B135, "")</f>
        <v>5.4285714285714243E-2</v>
      </c>
      <c r="O135" s="16">
        <f>IF(ISNUMBER(M135), $B145 * N135, "")</f>
        <v>5428.5714285714239</v>
      </c>
      <c r="Q135" s="253"/>
      <c r="R135" s="254"/>
      <c r="S135" s="255"/>
    </row>
    <row r="136" spans="1:19" ht="17.25" thickBot="1">
      <c r="A136" s="125" t="s">
        <v>210</v>
      </c>
      <c r="B136" s="126">
        <v>11.6</v>
      </c>
      <c r="C136" s="77">
        <v>-1.6949152499999998E-2</v>
      </c>
      <c r="D136" s="15">
        <v>12</v>
      </c>
      <c r="E136" s="32">
        <f t="shared" ref="E136:E139" si="70">IF(ISNUMBER(D136), (D136 - $B136) / $B136, "")</f>
        <v>3.4482758620689689E-2</v>
      </c>
      <c r="F136" s="18">
        <f>IF(ISNUMBER(D136), $B145 * E136, "")</f>
        <v>3448.2758620689688</v>
      </c>
      <c r="G136" s="31">
        <v>12</v>
      </c>
      <c r="H136" s="32">
        <f t="shared" ref="H136:H139" si="71">IF(ISNUMBER(G136), (G136 - $B136) / $B136, "")</f>
        <v>3.4482758620689689E-2</v>
      </c>
      <c r="I136" s="101">
        <f>IF(ISNUMBER(G136), $B145 * H136, "")</f>
        <v>3448.2758620689688</v>
      </c>
      <c r="J136" s="15">
        <v>12.1</v>
      </c>
      <c r="K136" s="32">
        <f t="shared" ref="K136:K139" si="72">IF(ISNUMBER(J136), (J136 - $B136) / $B136, "")</f>
        <v>4.3103448275862072E-2</v>
      </c>
      <c r="L136" s="18">
        <f>IF(ISNUMBER(J136), $B145 * K136, "")</f>
        <v>4310.3448275862074</v>
      </c>
      <c r="M136" s="31">
        <v>12.3</v>
      </c>
      <c r="N136" s="32">
        <f t="shared" ref="N136:N139" si="73">IF(ISNUMBER(M136), (M136 - $B136) / $B136, "")</f>
        <v>6.0344827586206989E-2</v>
      </c>
      <c r="O136" s="18">
        <f>IF(ISNUMBER(M136), $B145 * N136, "")</f>
        <v>6034.4827586206993</v>
      </c>
      <c r="Q136" s="256"/>
      <c r="R136" s="257"/>
      <c r="S136" s="258"/>
    </row>
    <row r="137" spans="1:19" ht="17.25" thickBot="1">
      <c r="A137" s="125" t="s">
        <v>190</v>
      </c>
      <c r="B137" s="126">
        <v>17.100000000000001</v>
      </c>
      <c r="C137" s="77">
        <v>-1.7241379300000002E-2</v>
      </c>
      <c r="D137" s="15">
        <v>17.5</v>
      </c>
      <c r="E137" s="32">
        <f t="shared" si="70"/>
        <v>2.3391812865496991E-2</v>
      </c>
      <c r="F137" s="18">
        <f>IF(ISNUMBER(D137), $B145 * E137, "")</f>
        <v>2339.1812865496991</v>
      </c>
      <c r="G137" s="31">
        <v>17.600000000000001</v>
      </c>
      <c r="H137" s="32">
        <f t="shared" si="71"/>
        <v>2.9239766081871343E-2</v>
      </c>
      <c r="I137" s="101">
        <f>IF(ISNUMBER(G137), $B145 * H137, "")</f>
        <v>2923.9766081871344</v>
      </c>
      <c r="J137" s="15">
        <v>17.399999999999999</v>
      </c>
      <c r="K137" s="32">
        <f t="shared" si="72"/>
        <v>1.754385964912264E-2</v>
      </c>
      <c r="L137" s="18">
        <f>IF(ISNUMBER(J137), $B145 * K137, "")</f>
        <v>1754.3859649122639</v>
      </c>
      <c r="M137" s="31">
        <v>18</v>
      </c>
      <c r="N137" s="32">
        <f t="shared" si="73"/>
        <v>5.2631578947368335E-2</v>
      </c>
      <c r="O137" s="18">
        <f>IF(ISNUMBER(M137), $B145 * N137, "")</f>
        <v>5263.1578947368334</v>
      </c>
      <c r="Q137" s="241"/>
      <c r="R137" s="241"/>
      <c r="S137" s="241"/>
    </row>
    <row r="138" spans="1:19" ht="17.25" thickBot="1">
      <c r="A138" s="125" t="s">
        <v>250</v>
      </c>
      <c r="B138" s="126">
        <v>70</v>
      </c>
      <c r="C138" s="77">
        <v>-1.8232819099999999E-2</v>
      </c>
      <c r="D138" s="15">
        <v>73.400000000000006</v>
      </c>
      <c r="E138" s="32">
        <f t="shared" si="70"/>
        <v>4.8571428571428654E-2</v>
      </c>
      <c r="F138" s="18">
        <f>IF(ISNUMBER(D138), $B145 * E138, "")</f>
        <v>4857.1428571428651</v>
      </c>
      <c r="G138" s="31">
        <v>75.8</v>
      </c>
      <c r="H138" s="32">
        <f t="shared" si="71"/>
        <v>8.285714285714281E-2</v>
      </c>
      <c r="I138" s="101">
        <f>IF(ISNUMBER(G138), $B145 * H138, "")</f>
        <v>8285.7142857142808</v>
      </c>
      <c r="J138" s="15">
        <v>75.7</v>
      </c>
      <c r="K138" s="32">
        <f t="shared" si="72"/>
        <v>8.1428571428571475E-2</v>
      </c>
      <c r="L138" s="18">
        <f>IF(ISNUMBER(J138), $B145 * K138, "")</f>
        <v>8142.8571428571477</v>
      </c>
      <c r="M138" s="31">
        <v>77.5</v>
      </c>
      <c r="N138" s="32">
        <f t="shared" si="73"/>
        <v>0.10714285714285714</v>
      </c>
      <c r="O138" s="18">
        <f>IF(ISNUMBER(M138), $B145 * N138, "")</f>
        <v>10714.285714285714</v>
      </c>
      <c r="Q138" s="236"/>
      <c r="R138" s="236"/>
      <c r="S138" s="236"/>
    </row>
    <row r="139" spans="1:19" ht="17.25" thickBot="1">
      <c r="A139" s="127" t="s">
        <v>216</v>
      </c>
      <c r="B139" s="128">
        <v>10.5</v>
      </c>
      <c r="C139" s="78">
        <v>-1.8691588799999999E-2</v>
      </c>
      <c r="D139" s="20">
        <v>10.7</v>
      </c>
      <c r="E139" s="21">
        <f t="shared" si="70"/>
        <v>1.904761904761898E-2</v>
      </c>
      <c r="F139" s="22">
        <f>IF(ISNUMBER(D139), $B145 * E139, "")</f>
        <v>1904.761904761898</v>
      </c>
      <c r="G139" s="30">
        <v>11</v>
      </c>
      <c r="H139" s="21">
        <f t="shared" si="71"/>
        <v>4.7619047619047616E-2</v>
      </c>
      <c r="I139" s="105">
        <f>IF(ISNUMBER(G139), $B145 * H139, "")</f>
        <v>4761.9047619047615</v>
      </c>
      <c r="J139" s="20">
        <v>10.9</v>
      </c>
      <c r="K139" s="21">
        <f t="shared" si="72"/>
        <v>3.8095238095238126E-2</v>
      </c>
      <c r="L139" s="22">
        <f>IF(ISNUMBER(J139), $B145 * K139, "")</f>
        <v>3809.5238095238128</v>
      </c>
      <c r="M139" s="30">
        <v>11.2</v>
      </c>
      <c r="N139" s="21">
        <f t="shared" si="73"/>
        <v>6.6666666666666596E-2</v>
      </c>
      <c r="O139" s="22">
        <f>IF(ISNUMBER(M139), $B145 * N139, "")</f>
        <v>6666.6666666666597</v>
      </c>
      <c r="Q139" s="236"/>
      <c r="R139" s="236"/>
      <c r="S139" s="236"/>
    </row>
    <row r="140" spans="1:19" ht="17.25" thickBot="1">
      <c r="A140" s="125" t="s">
        <v>150</v>
      </c>
      <c r="B140" s="129">
        <v>12.6</v>
      </c>
      <c r="C140" s="80">
        <v>-2.3255814E-2</v>
      </c>
      <c r="D140" s="106">
        <v>13</v>
      </c>
      <c r="E140" s="107">
        <f>IF(ISNUMBER(D140), (D140 - $B140) / $B140, "")</f>
        <v>3.1746031746031772E-2</v>
      </c>
      <c r="F140" s="108">
        <f>IF(ISNUMBER(D140), $B145 * E140, "")</f>
        <v>3174.6031746031772</v>
      </c>
      <c r="G140" s="109">
        <v>13</v>
      </c>
      <c r="H140" s="107">
        <f>IF(ISNUMBER(G140), (G140 - $B140) / $B140, "")</f>
        <v>3.1746031746031772E-2</v>
      </c>
      <c r="I140" s="110">
        <f>IF(ISNUMBER(G140), $B145 * H140, "")</f>
        <v>3174.6031746031772</v>
      </c>
      <c r="J140" s="106">
        <v>12.9</v>
      </c>
      <c r="K140" s="107">
        <f>IF(ISNUMBER(J140), (J140 - $B140) / $B140, "")</f>
        <v>2.3809523809523867E-2</v>
      </c>
      <c r="L140" s="108">
        <f>IF(ISNUMBER(J140), $B145 * K140, "")</f>
        <v>2380.9523809523866</v>
      </c>
      <c r="M140" s="109">
        <v>13.3</v>
      </c>
      <c r="N140" s="107">
        <f>IF(ISNUMBER(M140), (M140 - $B140) / $B140, "")</f>
        <v>5.5555555555555643E-2</v>
      </c>
      <c r="O140" s="108">
        <f>IF(ISNUMBER(M140), $B145 * N140, "")</f>
        <v>5555.5555555555638</v>
      </c>
      <c r="Q140" s="241"/>
      <c r="R140" s="241"/>
      <c r="S140" s="241"/>
    </row>
    <row r="141" spans="1:19" ht="17.25" thickBot="1">
      <c r="A141" s="125" t="s">
        <v>204</v>
      </c>
      <c r="B141" s="126">
        <v>13.8</v>
      </c>
      <c r="C141" s="77">
        <v>-2.8169014100000001E-2</v>
      </c>
      <c r="D141" s="15">
        <v>14.2</v>
      </c>
      <c r="E141" s="32">
        <f t="shared" ref="E141:E144" si="74">IF(ISNUMBER(D141), (D141 - $B141) / $B141, "")</f>
        <v>2.8985507246376708E-2</v>
      </c>
      <c r="F141" s="18">
        <f>IF(ISNUMBER(D141), $B145 * E141, "")</f>
        <v>2898.550724637671</v>
      </c>
      <c r="G141" s="31">
        <v>14.2</v>
      </c>
      <c r="H141" s="32">
        <f t="shared" ref="H141:H144" si="75">IF(ISNUMBER(G141), (G141 - $B141) / $B141, "")</f>
        <v>2.8985507246376708E-2</v>
      </c>
      <c r="I141" s="101">
        <f>IF(ISNUMBER(G141), $B145 * H141, "")</f>
        <v>2898.550724637671</v>
      </c>
      <c r="J141" s="15">
        <v>14.2</v>
      </c>
      <c r="K141" s="32">
        <f t="shared" ref="K141:K144" si="76">IF(ISNUMBER(J141), (J141 - $B141) / $B141, "")</f>
        <v>2.8985507246376708E-2</v>
      </c>
      <c r="L141" s="18">
        <f>IF(ISNUMBER(J141), $B145 * K141, "")</f>
        <v>2898.550724637671</v>
      </c>
      <c r="M141" s="31">
        <v>14.6</v>
      </c>
      <c r="N141" s="32">
        <f t="shared" ref="N141:N144" si="77">IF(ISNUMBER(M141), (M141 - $B141) / $B141, "")</f>
        <v>5.7971014492753541E-2</v>
      </c>
      <c r="O141" s="18">
        <f>IF(ISNUMBER(M141), $B145 * N141, "")</f>
        <v>5797.1014492753538</v>
      </c>
      <c r="Q141" s="241"/>
      <c r="R141" s="241"/>
      <c r="S141" s="241"/>
    </row>
    <row r="142" spans="1:19" ht="17.25" thickBot="1">
      <c r="A142" s="125" t="s">
        <v>208</v>
      </c>
      <c r="B142" s="126">
        <v>13.3</v>
      </c>
      <c r="C142" s="77">
        <v>-2.9197080300000001E-2</v>
      </c>
      <c r="D142" s="15">
        <v>13.5</v>
      </c>
      <c r="E142" s="32">
        <f t="shared" si="74"/>
        <v>1.5037593984962351E-2</v>
      </c>
      <c r="F142" s="18">
        <f>IF(ISNUMBER(D142), $B145 * E142, "")</f>
        <v>1503.7593984962352</v>
      </c>
      <c r="G142" s="31">
        <v>13.7</v>
      </c>
      <c r="H142" s="32">
        <f t="shared" si="75"/>
        <v>3.0075187969924703E-2</v>
      </c>
      <c r="I142" s="101">
        <f>IF(ISNUMBER(G142), $B145 * H142, "")</f>
        <v>3007.5187969924705</v>
      </c>
      <c r="J142" s="15">
        <v>13.6</v>
      </c>
      <c r="K142" s="32">
        <f t="shared" si="76"/>
        <v>2.2556390977443528E-2</v>
      </c>
      <c r="L142" s="18">
        <f>IF(ISNUMBER(J142), $B145 * K142, "")</f>
        <v>2255.639097744353</v>
      </c>
      <c r="M142" s="31">
        <v>14.2</v>
      </c>
      <c r="N142" s="32">
        <f t="shared" si="77"/>
        <v>6.7669172932330712E-2</v>
      </c>
      <c r="O142" s="18">
        <f>IF(ISNUMBER(M142), $B145 * N142, "")</f>
        <v>6766.9172932330712</v>
      </c>
      <c r="Q142" s="241"/>
      <c r="R142" s="241"/>
      <c r="S142" s="24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63"/>
      <c r="R143" s="264"/>
      <c r="S143" s="26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6"/>
      <c r="R144" s="267"/>
      <c r="S144" s="268"/>
    </row>
    <row r="145" spans="1:19" ht="17.25" thickBot="1">
      <c r="A145" s="132" t="s">
        <v>270</v>
      </c>
      <c r="B145" s="274">
        <f>$B$37</f>
        <v>100000</v>
      </c>
      <c r="C145" s="275"/>
      <c r="D145" s="26" t="s">
        <v>271</v>
      </c>
      <c r="E145" s="27">
        <f>IF(COUNT(E125:E144), SUM(E125:E144) / COUNT(E125:E144), 0)</f>
        <v>3.5435377728247258E-2</v>
      </c>
      <c r="F145" s="28">
        <f>SUM(F125:F144)</f>
        <v>63783.679910845065</v>
      </c>
      <c r="G145" s="26" t="s">
        <v>271</v>
      </c>
      <c r="H145" s="27">
        <f>IF(COUNT(H125:H144), SUM(H125:H144) / COUNT(H125:H144), 0)</f>
        <v>5.8901594869206333E-2</v>
      </c>
      <c r="I145" s="28">
        <f>SUM(I125:I144)</f>
        <v>106022.87076457139</v>
      </c>
      <c r="J145" s="26" t="s">
        <v>271</v>
      </c>
      <c r="K145" s="27">
        <f>IF(COUNT(K125:K144), SUM(K125:K144) / COUNT(K125:K144), 0)</f>
        <v>5.2537898858312476E-2</v>
      </c>
      <c r="L145" s="28">
        <f>SUM(L125:L144)</f>
        <v>94568.217944962424</v>
      </c>
      <c r="M145" s="26" t="s">
        <v>271</v>
      </c>
      <c r="N145" s="27">
        <f>IF(COUNT(N125:N144), SUM(N125:N144) / COUNT(N125:N144), 0)</f>
        <v>8.2617086685835284E-2</v>
      </c>
      <c r="O145" s="28">
        <f>SUM(O125:O144)</f>
        <v>148710.75603450349</v>
      </c>
      <c r="Q145" s="269"/>
      <c r="R145" s="270"/>
      <c r="S145" s="27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36"/>
      <c r="R148" s="236"/>
      <c r="S148" s="236"/>
    </row>
    <row r="149" spans="1:19" ht="17.25" thickBot="1">
      <c r="A149" s="197" t="s">
        <v>267</v>
      </c>
      <c r="B149" s="215" t="s">
        <v>49</v>
      </c>
      <c r="C149" s="217"/>
      <c r="D149" s="215" t="s">
        <v>58</v>
      </c>
      <c r="E149" s="216"/>
      <c r="F149" s="217"/>
      <c r="G149" s="242">
        <f>_xlfn.IFNA(VLOOKUP(B149, 현재가테이블!$B$2:$D$200, 2, FALSE), "-")</f>
        <v>53976000</v>
      </c>
      <c r="H149" s="243"/>
      <c r="I149" s="244"/>
      <c r="J149" s="215" t="s">
        <v>59</v>
      </c>
      <c r="K149" s="216"/>
      <c r="L149" s="217"/>
      <c r="M149" s="245">
        <f>_xlfn.IFNA(VLOOKUP(B149, 현재가테이블!$B$2:$D$200, 3, FALSE), "-")</f>
        <v>-2.1216407400000001E-2</v>
      </c>
      <c r="N149" s="246"/>
      <c r="O149" s="247"/>
      <c r="Q149" s="236"/>
      <c r="R149" s="236"/>
      <c r="S149" s="236"/>
    </row>
    <row r="150" spans="1:19" ht="17.25" thickBot="1">
      <c r="A150" s="276" t="s">
        <v>55</v>
      </c>
      <c r="B150" s="278" t="str">
        <f>TEXT($G$1, "[$-ko-KR]yyyy-mm-dd(ddd) ") &amp; "오전 00:00"</f>
        <v>2021-08-11(수) 오전 00:00</v>
      </c>
      <c r="C150" s="279"/>
      <c r="D150" s="238" t="str">
        <f>TEXT($G$1, "[$-ko-KR]yyyy-mm-dd(ddd) ") &amp; "오후 14:00"</f>
        <v>2021-08-11(수) 오후 14:00</v>
      </c>
      <c r="E150" s="239"/>
      <c r="F150" s="240"/>
      <c r="G150" s="238" t="str">
        <f>TEXT($G$1, "[$-ko-KR]yyyy-mm-dd(ddd) ") &amp; "오후 19:00"</f>
        <v>2021-08-11(수) 오후 19:00</v>
      </c>
      <c r="H150" s="239"/>
      <c r="I150" s="240"/>
      <c r="J150" s="238" t="str">
        <f>TEXT($G$1, "[$-ko-KR]yyyy-mm-dd(ddd) ") &amp; "오후 21:00"</f>
        <v>2021-08-11(수) 오후 21:00</v>
      </c>
      <c r="K150" s="239"/>
      <c r="L150" s="240"/>
      <c r="M150" s="238" t="str">
        <f>TEXT($G$1+1, "[$-ko-KR]yyyy-mm-dd(ddd) ") &amp; "오전 00:00"</f>
        <v>2021-08-12(목) 오전 00:00</v>
      </c>
      <c r="N150" s="239"/>
      <c r="O150" s="240"/>
      <c r="Q150" s="236"/>
      <c r="R150" s="236"/>
      <c r="S150" s="236"/>
    </row>
    <row r="151" spans="1:19" ht="17.25" thickBot="1">
      <c r="A151" s="27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1"/>
      <c r="R151" s="241"/>
      <c r="S151" s="241"/>
    </row>
    <row r="152" spans="1:19" ht="17.25" thickBot="1">
      <c r="A152" s="123" t="s">
        <v>128</v>
      </c>
      <c r="B152" s="124">
        <v>122</v>
      </c>
      <c r="C152" s="76">
        <v>0</v>
      </c>
      <c r="D152" s="13">
        <v>128</v>
      </c>
      <c r="E152" s="14">
        <f>IF(ISNUMBER(D152), (D152 - $B152) / $B152, "")</f>
        <v>4.9180327868852458E-2</v>
      </c>
      <c r="F152" s="16">
        <f>IF(ISNUMBER(D152), $B172 * E152, "")</f>
        <v>4918.0327868852455</v>
      </c>
      <c r="G152" s="29">
        <v>128</v>
      </c>
      <c r="H152" s="14">
        <f>IF(ISNUMBER(G152), (G152 - $B152) / $B152, "")</f>
        <v>4.9180327868852458E-2</v>
      </c>
      <c r="I152" s="100">
        <f>IF(ISNUMBER(G152), $B172 * H152, "")</f>
        <v>4918.0327868852455</v>
      </c>
      <c r="J152" s="13">
        <v>127</v>
      </c>
      <c r="K152" s="14">
        <f>IF(ISNUMBER(J152), (J152 - $B152) / $B152, "")</f>
        <v>4.0983606557377046E-2</v>
      </c>
      <c r="L152" s="16">
        <f>IF(ISNUMBER(J152), $B172 * K152, "")</f>
        <v>4098.3606557377043</v>
      </c>
      <c r="M152" s="29">
        <v>133</v>
      </c>
      <c r="N152" s="14">
        <f>IF(ISNUMBER(M152), (M152 - $B152) / $B152, "")</f>
        <v>9.0163934426229511E-2</v>
      </c>
      <c r="O152" s="16">
        <f>IF(ISNUMBER(M152), $B172 * N152, "")</f>
        <v>9016.3934426229516</v>
      </c>
      <c r="Q152" s="236"/>
      <c r="R152" s="236"/>
      <c r="S152" s="236"/>
    </row>
    <row r="153" spans="1:19" ht="17.25" thickBot="1">
      <c r="A153" s="125" t="s">
        <v>118</v>
      </c>
      <c r="B153" s="126">
        <v>162</v>
      </c>
      <c r="C153" s="77">
        <v>0</v>
      </c>
      <c r="D153" s="15">
        <v>166</v>
      </c>
      <c r="E153" s="32">
        <f t="shared" ref="E153:E156" si="78">IF(ISNUMBER(D153), (D153 - $B153) / $B153, "")</f>
        <v>2.4691358024691357E-2</v>
      </c>
      <c r="F153" s="18">
        <f>IF(ISNUMBER(D153), $B172 * E153, "")</f>
        <v>2469.1358024691358</v>
      </c>
      <c r="G153" s="31">
        <v>169</v>
      </c>
      <c r="H153" s="32">
        <f t="shared" ref="H153:H156" si="79">IF(ISNUMBER(G153), (G153 - $B153) / $B153, "")</f>
        <v>4.3209876543209874E-2</v>
      </c>
      <c r="I153" s="101">
        <f>IF(ISNUMBER(G153), $B172 * H153, "")</f>
        <v>4320.9876543209875</v>
      </c>
      <c r="J153" s="15">
        <v>168</v>
      </c>
      <c r="K153" s="32">
        <f t="shared" ref="K153:K156" si="80">IF(ISNUMBER(J153), (J153 - $B153) / $B153, "")</f>
        <v>3.7037037037037035E-2</v>
      </c>
      <c r="L153" s="18">
        <f>IF(ISNUMBER(J153), $B172 * K153, "")</f>
        <v>3703.7037037037035</v>
      </c>
      <c r="M153" s="31">
        <v>171</v>
      </c>
      <c r="N153" s="32">
        <f t="shared" ref="N153:N156" si="81">IF(ISNUMBER(M153), (M153 - $B153) / $B153, "")</f>
        <v>5.5555555555555552E-2</v>
      </c>
      <c r="O153" s="18">
        <f>IF(ISNUMBER(M153), $B172 * N153, "")</f>
        <v>5555.5555555555557</v>
      </c>
      <c r="Q153" s="236"/>
      <c r="R153" s="236"/>
      <c r="S153" s="236"/>
    </row>
    <row r="154" spans="1:19" ht="17.25" thickBot="1">
      <c r="A154" s="125" t="s">
        <v>138</v>
      </c>
      <c r="B154" s="126">
        <v>383</v>
      </c>
      <c r="C154" s="77">
        <v>-2.6041667E-3</v>
      </c>
      <c r="D154" s="15">
        <v>391</v>
      </c>
      <c r="E154" s="32">
        <f t="shared" si="78"/>
        <v>2.0887728459530026E-2</v>
      </c>
      <c r="F154" s="18">
        <f>IF(ISNUMBER(D154), $B172 * E154, "")</f>
        <v>2088.7728459530026</v>
      </c>
      <c r="G154" s="31">
        <v>390</v>
      </c>
      <c r="H154" s="32">
        <f t="shared" si="79"/>
        <v>1.8276762402088774E-2</v>
      </c>
      <c r="I154" s="101">
        <f>IF(ISNUMBER(G154), $B172 * H154, "")</f>
        <v>1827.6762402088773</v>
      </c>
      <c r="J154" s="15">
        <v>388</v>
      </c>
      <c r="K154" s="32">
        <f t="shared" si="80"/>
        <v>1.3054830287206266E-2</v>
      </c>
      <c r="L154" s="18">
        <f>IF(ISNUMBER(J154), $B172 * K154, "")</f>
        <v>1305.4830287206266</v>
      </c>
      <c r="M154" s="31">
        <v>405</v>
      </c>
      <c r="N154" s="32">
        <f t="shared" si="81"/>
        <v>5.7441253263707574E-2</v>
      </c>
      <c r="O154" s="18">
        <f>IF(ISNUMBER(M154), $B172 * N154, "")</f>
        <v>5744.1253263707576</v>
      </c>
      <c r="Q154" s="241"/>
      <c r="R154" s="241"/>
      <c r="S154" s="241"/>
    </row>
    <row r="155" spans="1:19" ht="17.25" thickBot="1">
      <c r="A155" s="125" t="s">
        <v>242</v>
      </c>
      <c r="B155" s="126">
        <v>483</v>
      </c>
      <c r="C155" s="77">
        <v>-6.1728395E-3</v>
      </c>
      <c r="D155" s="15">
        <v>489</v>
      </c>
      <c r="E155" s="32">
        <f t="shared" si="78"/>
        <v>1.2422360248447204E-2</v>
      </c>
      <c r="F155" s="18">
        <f>IF(ISNUMBER(D155), $B172 * E155, "")</f>
        <v>1242.2360248447203</v>
      </c>
      <c r="G155" s="31">
        <v>493</v>
      </c>
      <c r="H155" s="32">
        <f t="shared" si="79"/>
        <v>2.0703933747412008E-2</v>
      </c>
      <c r="I155" s="101">
        <f>IF(ISNUMBER(G155), $B172 * H155, "")</f>
        <v>2070.3933747412007</v>
      </c>
      <c r="J155" s="15">
        <v>489</v>
      </c>
      <c r="K155" s="32">
        <f t="shared" si="80"/>
        <v>1.2422360248447204E-2</v>
      </c>
      <c r="L155" s="18">
        <f>IF(ISNUMBER(J155), $B172 * K155, "")</f>
        <v>1242.2360248447203</v>
      </c>
      <c r="M155" s="31">
        <v>498</v>
      </c>
      <c r="N155" s="32">
        <f t="shared" si="81"/>
        <v>3.1055900621118012E-2</v>
      </c>
      <c r="O155" s="18">
        <f>IF(ISNUMBER(M155), $B172 * N155, "")</f>
        <v>3105.5900621118012</v>
      </c>
      <c r="Q155" s="241"/>
      <c r="R155" s="241"/>
      <c r="S155" s="241"/>
    </row>
    <row r="156" spans="1:19" ht="17.25" thickBot="1">
      <c r="A156" s="127" t="s">
        <v>144</v>
      </c>
      <c r="B156" s="128">
        <v>109</v>
      </c>
      <c r="C156" s="78">
        <v>-9.0909091000000008E-3</v>
      </c>
      <c r="D156" s="20">
        <v>113</v>
      </c>
      <c r="E156" s="21">
        <f t="shared" si="78"/>
        <v>3.669724770642202E-2</v>
      </c>
      <c r="F156" s="22">
        <f>IF(ISNUMBER(D156), $B172 * E156, "")</f>
        <v>3669.7247706422022</v>
      </c>
      <c r="G156" s="30">
        <v>115</v>
      </c>
      <c r="H156" s="21">
        <f t="shared" si="79"/>
        <v>5.5045871559633031E-2</v>
      </c>
      <c r="I156" s="105">
        <f>IF(ISNUMBER(G156), $B172 * H156, "")</f>
        <v>5504.5871559633033</v>
      </c>
      <c r="J156" s="20">
        <v>116</v>
      </c>
      <c r="K156" s="21">
        <f t="shared" si="80"/>
        <v>6.4220183486238536E-2</v>
      </c>
      <c r="L156" s="22">
        <f>IF(ISNUMBER(J156), $B172 * K156, "")</f>
        <v>6422.0183486238539</v>
      </c>
      <c r="M156" s="30">
        <v>117</v>
      </c>
      <c r="N156" s="21">
        <f t="shared" si="81"/>
        <v>7.3394495412844041E-2</v>
      </c>
      <c r="O156" s="22">
        <f>IF(ISNUMBER(M156), $B172 * N156, "")</f>
        <v>7339.4495412844044</v>
      </c>
      <c r="Q156" s="241"/>
      <c r="R156" s="241"/>
      <c r="S156" s="241"/>
    </row>
    <row r="157" spans="1:19" ht="17.25" thickBot="1">
      <c r="A157" s="125" t="s">
        <v>266</v>
      </c>
      <c r="B157" s="129">
        <v>289</v>
      </c>
      <c r="C157" s="80">
        <v>-1.02739726E-2</v>
      </c>
      <c r="D157" s="106">
        <v>310</v>
      </c>
      <c r="E157" s="107">
        <f>IF(ISNUMBER(D157), (D157 - $B157) / $B157, "")</f>
        <v>7.2664359861591699E-2</v>
      </c>
      <c r="F157" s="108">
        <f>IF(ISNUMBER(D157), $B172 * E157, "")</f>
        <v>7266.4359861591702</v>
      </c>
      <c r="G157" s="109">
        <v>309</v>
      </c>
      <c r="H157" s="107">
        <f>IF(ISNUMBER(G157), (G157 - $B157) / $B157, "")</f>
        <v>6.9204152249134954E-2</v>
      </c>
      <c r="I157" s="110">
        <f>IF(ISNUMBER(G157), $B172 * H157, "")</f>
        <v>6920.415224913495</v>
      </c>
      <c r="J157" s="106">
        <v>305</v>
      </c>
      <c r="K157" s="107">
        <f>IF(ISNUMBER(J157), (J157 - $B157) / $B157, "")</f>
        <v>5.536332179930796E-2</v>
      </c>
      <c r="L157" s="108">
        <f>IF(ISNUMBER(J157), $B172 * K157, "")</f>
        <v>5536.332179930796</v>
      </c>
      <c r="M157" s="109">
        <v>316</v>
      </c>
      <c r="N157" s="107">
        <f>IF(ISNUMBER(M157), (M157 - $B157) / $B157, "")</f>
        <v>9.3425605536332182E-2</v>
      </c>
      <c r="O157" s="108">
        <f>IF(ISNUMBER(M157), $B172 * N157, "")</f>
        <v>9342.5605536332187</v>
      </c>
      <c r="Q157" s="241"/>
      <c r="R157" s="241"/>
      <c r="S157" s="241"/>
    </row>
    <row r="158" spans="1:19" ht="17.25" thickBot="1">
      <c r="A158" s="125" t="s">
        <v>194</v>
      </c>
      <c r="B158" s="126">
        <v>143</v>
      </c>
      <c r="C158" s="77">
        <v>-1.3793103399999999E-2</v>
      </c>
      <c r="D158" s="15">
        <v>145</v>
      </c>
      <c r="E158" s="32">
        <f t="shared" ref="E158:E161" si="82">IF(ISNUMBER(D158), (D158 - $B158) / $B158, "")</f>
        <v>1.3986013986013986E-2</v>
      </c>
      <c r="F158" s="18">
        <f>IF(ISNUMBER(D158), $B172 * E158, "")</f>
        <v>1398.6013986013986</v>
      </c>
      <c r="G158" s="31">
        <v>147</v>
      </c>
      <c r="H158" s="32">
        <f t="shared" ref="H158:H161" si="83">IF(ISNUMBER(G158), (G158 - $B158) / $B158, "")</f>
        <v>2.7972027972027972E-2</v>
      </c>
      <c r="I158" s="101">
        <f>IF(ISNUMBER(G158), $B172 * H158, "")</f>
        <v>2797.2027972027972</v>
      </c>
      <c r="J158" s="15">
        <v>145</v>
      </c>
      <c r="K158" s="32">
        <f t="shared" ref="K158:K161" si="84">IF(ISNUMBER(J158), (J158 - $B158) / $B158, "")</f>
        <v>1.3986013986013986E-2</v>
      </c>
      <c r="L158" s="18">
        <f>IF(ISNUMBER(J158), $B172 * K158, "")</f>
        <v>1398.6013986013986</v>
      </c>
      <c r="M158" s="31">
        <v>148</v>
      </c>
      <c r="N158" s="32">
        <f t="shared" ref="N158:N161" si="85">IF(ISNUMBER(M158), (M158 - $B158) / $B158, "")</f>
        <v>3.4965034965034968E-2</v>
      </c>
      <c r="O158" s="18">
        <f>IF(ISNUMBER(M158), $B172 * N158, "")</f>
        <v>3496.5034965034965</v>
      </c>
      <c r="Q158" s="241"/>
      <c r="R158" s="241"/>
      <c r="S158" s="241"/>
    </row>
    <row r="159" spans="1:19" ht="17.25" thickBot="1">
      <c r="A159" s="125" t="s">
        <v>57</v>
      </c>
      <c r="B159" s="126">
        <v>207</v>
      </c>
      <c r="C159" s="77">
        <v>-1.42857143E-2</v>
      </c>
      <c r="D159" s="15">
        <v>221</v>
      </c>
      <c r="E159" s="32">
        <f t="shared" si="82"/>
        <v>6.7632850241545889E-2</v>
      </c>
      <c r="F159" s="18">
        <f>IF(ISNUMBER(D159), $B172 * E159, "")</f>
        <v>6763.2850241545884</v>
      </c>
      <c r="G159" s="31">
        <v>224</v>
      </c>
      <c r="H159" s="32">
        <f t="shared" si="83"/>
        <v>8.2125603864734303E-2</v>
      </c>
      <c r="I159" s="101">
        <f>IF(ISNUMBER(G159), $B172 * H159, "")</f>
        <v>8212.5603864734312</v>
      </c>
      <c r="J159" s="15">
        <v>221</v>
      </c>
      <c r="K159" s="32">
        <f t="shared" si="84"/>
        <v>6.7632850241545889E-2</v>
      </c>
      <c r="L159" s="18">
        <f>IF(ISNUMBER(J159), $B172 * K159, "")</f>
        <v>6763.2850241545884</v>
      </c>
      <c r="M159" s="31">
        <v>229</v>
      </c>
      <c r="N159" s="32">
        <f t="shared" si="85"/>
        <v>0.10628019323671498</v>
      </c>
      <c r="O159" s="18">
        <f>IF(ISNUMBER(M159), $B172 * N159, "")</f>
        <v>10628.019323671497</v>
      </c>
      <c r="Q159" s="241"/>
      <c r="R159" s="241"/>
      <c r="S159" s="241"/>
    </row>
    <row r="160" spans="1:19" ht="17.25" thickBot="1">
      <c r="A160" s="125" t="s">
        <v>236</v>
      </c>
      <c r="B160" s="126">
        <v>603</v>
      </c>
      <c r="C160" s="77">
        <v>-1.47058824E-2</v>
      </c>
      <c r="D160" s="15">
        <v>626</v>
      </c>
      <c r="E160" s="32">
        <f t="shared" si="82"/>
        <v>3.8142620232172471E-2</v>
      </c>
      <c r="F160" s="18">
        <f>IF(ISNUMBER(D160), $B172 * E160, "")</f>
        <v>3814.2620232172471</v>
      </c>
      <c r="G160" s="31">
        <v>631</v>
      </c>
      <c r="H160" s="32">
        <f t="shared" si="83"/>
        <v>4.6434494195688222E-2</v>
      </c>
      <c r="I160" s="101">
        <f>IF(ISNUMBER(G160), $B172 * H160, "")</f>
        <v>4643.4494195688221</v>
      </c>
      <c r="J160" s="15">
        <v>624</v>
      </c>
      <c r="K160" s="32">
        <f t="shared" si="84"/>
        <v>3.482587064676617E-2</v>
      </c>
      <c r="L160" s="18">
        <f>IF(ISNUMBER(J160), $B172 * K160, "")</f>
        <v>3482.587064676617</v>
      </c>
      <c r="M160" s="31">
        <v>644</v>
      </c>
      <c r="N160" s="32">
        <f t="shared" si="85"/>
        <v>6.7993366500829183E-2</v>
      </c>
      <c r="O160" s="18">
        <f>IF(ISNUMBER(M160), $B172 * N160, "")</f>
        <v>6799.3366500829179</v>
      </c>
      <c r="Q160" s="33"/>
      <c r="R160" s="33"/>
    </row>
    <row r="161" spans="1:19" ht="17.25" thickBot="1">
      <c r="A161" s="130" t="s">
        <v>206</v>
      </c>
      <c r="B161" s="131">
        <v>318</v>
      </c>
      <c r="C161" s="79">
        <v>-1.5479876199999999E-2</v>
      </c>
      <c r="D161" s="24">
        <v>353</v>
      </c>
      <c r="E161" s="25">
        <f t="shared" si="82"/>
        <v>0.11006289308176101</v>
      </c>
      <c r="F161" s="104">
        <f>IF(ISNUMBER(D161), $B172 * E161, "")</f>
        <v>11006.289308176101</v>
      </c>
      <c r="G161" s="102">
        <v>355</v>
      </c>
      <c r="H161" s="25">
        <f t="shared" si="83"/>
        <v>0.11635220125786164</v>
      </c>
      <c r="I161" s="103">
        <f>IF(ISNUMBER(G161), $B172 * H161, "")</f>
        <v>11635.220125786163</v>
      </c>
      <c r="J161" s="24">
        <v>351</v>
      </c>
      <c r="K161" s="25">
        <f t="shared" si="84"/>
        <v>0.10377358490566038</v>
      </c>
      <c r="L161" s="104">
        <f>IF(ISNUMBER(J161), $B172 * K161, "")</f>
        <v>10377.358490566039</v>
      </c>
      <c r="M161" s="102">
        <v>357</v>
      </c>
      <c r="N161" s="25">
        <f t="shared" si="85"/>
        <v>0.12264150943396226</v>
      </c>
      <c r="O161" s="104">
        <f>IF(ISNUMBER(M161), $B172 * N161, "")</f>
        <v>12264.150943396227</v>
      </c>
      <c r="Q161" s="250"/>
      <c r="R161" s="251"/>
      <c r="S161" s="252"/>
    </row>
    <row r="162" spans="1:19">
      <c r="A162" s="123" t="s">
        <v>164</v>
      </c>
      <c r="B162" s="124">
        <v>309</v>
      </c>
      <c r="C162" s="76">
        <v>-1.5923566900000002E-2</v>
      </c>
      <c r="D162" s="13">
        <v>320</v>
      </c>
      <c r="E162" s="14">
        <f>IF(ISNUMBER(D162), (D162 - $B162) / $B162, "")</f>
        <v>3.5598705501618123E-2</v>
      </c>
      <c r="F162" s="16">
        <f>IF(ISNUMBER(D162), $B172 * E162, "")</f>
        <v>3559.8705501618124</v>
      </c>
      <c r="G162" s="29">
        <v>323</v>
      </c>
      <c r="H162" s="14">
        <f>IF(ISNUMBER(G162), (G162 - $B162) / $B162, "")</f>
        <v>4.5307443365695796E-2</v>
      </c>
      <c r="I162" s="100">
        <f>IF(ISNUMBER(G162), $B172 * H162, "")</f>
        <v>4530.7443365695799</v>
      </c>
      <c r="J162" s="13">
        <v>323</v>
      </c>
      <c r="K162" s="14">
        <f>IF(ISNUMBER(J162), (J162 - $B162) / $B162, "")</f>
        <v>4.5307443365695796E-2</v>
      </c>
      <c r="L162" s="16">
        <f>IF(ISNUMBER(J162), $B172 * K162, "")</f>
        <v>4530.7443365695799</v>
      </c>
      <c r="M162" s="29">
        <v>328</v>
      </c>
      <c r="N162" s="14">
        <f>IF(ISNUMBER(M162), (M162 - $B162) / $B162, "")</f>
        <v>6.1488673139158574E-2</v>
      </c>
      <c r="O162" s="16">
        <f>IF(ISNUMBER(M162), $B172 * N162, "")</f>
        <v>6148.8673139158573</v>
      </c>
      <c r="Q162" s="253"/>
      <c r="R162" s="254"/>
      <c r="S162" s="255"/>
    </row>
    <row r="163" spans="1:19" ht="17.25" thickBot="1">
      <c r="A163" s="125" t="s">
        <v>184</v>
      </c>
      <c r="B163" s="126">
        <v>992</v>
      </c>
      <c r="C163" s="77">
        <v>-1.78217822E-2</v>
      </c>
      <c r="D163" s="15">
        <v>1000</v>
      </c>
      <c r="E163" s="32">
        <f t="shared" ref="E163:E166" si="86">IF(ISNUMBER(D163), (D163 - $B163) / $B163, "")</f>
        <v>8.0645161290322578E-3</v>
      </c>
      <c r="F163" s="18">
        <f>IF(ISNUMBER(D163), $B172 * E163, "")</f>
        <v>806.45161290322574</v>
      </c>
      <c r="G163" s="31">
        <v>1020</v>
      </c>
      <c r="H163" s="32">
        <f t="shared" ref="H163:H166" si="87">IF(ISNUMBER(G163), (G163 - $B163) / $B163, "")</f>
        <v>2.8225806451612902E-2</v>
      </c>
      <c r="I163" s="101">
        <f>IF(ISNUMBER(G163), $B172 * H163, "")</f>
        <v>2822.5806451612902</v>
      </c>
      <c r="J163" s="15">
        <v>1010</v>
      </c>
      <c r="K163" s="32">
        <f t="shared" ref="K163:K166" si="88">IF(ISNUMBER(J163), (J163 - $B163) / $B163, "")</f>
        <v>1.8145161290322582E-2</v>
      </c>
      <c r="L163" s="18">
        <f>IF(ISNUMBER(J163), $B172 * K163, "")</f>
        <v>1814.5161290322583</v>
      </c>
      <c r="M163" s="31">
        <v>1045</v>
      </c>
      <c r="N163" s="32">
        <f t="shared" ref="N163:N166" si="89">IF(ISNUMBER(M163), (M163 - $B163) / $B163, "")</f>
        <v>5.3427419354838711E-2</v>
      </c>
      <c r="O163" s="18">
        <f>IF(ISNUMBER(M163), $B172 * N163, "")</f>
        <v>5342.7419354838712</v>
      </c>
      <c r="Q163" s="256"/>
      <c r="R163" s="257"/>
      <c r="S163" s="258"/>
    </row>
    <row r="164" spans="1:19" ht="17.25" thickBot="1">
      <c r="A164" s="125" t="s">
        <v>238</v>
      </c>
      <c r="B164" s="126">
        <v>101</v>
      </c>
      <c r="C164" s="77">
        <v>-1.9417475699999999E-2</v>
      </c>
      <c r="D164" s="15">
        <v>106</v>
      </c>
      <c r="E164" s="32">
        <f t="shared" si="86"/>
        <v>4.9504950495049507E-2</v>
      </c>
      <c r="F164" s="18">
        <f>IF(ISNUMBER(D164), $B172 * E164, "")</f>
        <v>4950.4950495049507</v>
      </c>
      <c r="G164" s="31">
        <v>107</v>
      </c>
      <c r="H164" s="32">
        <f t="shared" si="87"/>
        <v>5.9405940594059403E-2</v>
      </c>
      <c r="I164" s="101">
        <f>IF(ISNUMBER(G164), $B172 * H164, "")</f>
        <v>5940.5940594059402</v>
      </c>
      <c r="J164" s="15">
        <v>107</v>
      </c>
      <c r="K164" s="32">
        <f t="shared" si="88"/>
        <v>5.9405940594059403E-2</v>
      </c>
      <c r="L164" s="18">
        <f>IF(ISNUMBER(J164), $B172 * K164, "")</f>
        <v>5940.5940594059402</v>
      </c>
      <c r="M164" s="31">
        <v>108</v>
      </c>
      <c r="N164" s="32">
        <f t="shared" si="89"/>
        <v>6.9306930693069313E-2</v>
      </c>
      <c r="O164" s="18">
        <f>IF(ISNUMBER(M164), $B172 * N164, "")</f>
        <v>6930.6930693069316</v>
      </c>
      <c r="Q164" s="241"/>
      <c r="R164" s="241"/>
      <c r="S164" s="241"/>
    </row>
    <row r="165" spans="1:19" ht="17.25" thickBot="1">
      <c r="A165" s="125" t="s">
        <v>228</v>
      </c>
      <c r="B165" s="126">
        <v>388</v>
      </c>
      <c r="C165" s="77">
        <v>-2.02020202E-2</v>
      </c>
      <c r="D165" s="15">
        <v>402</v>
      </c>
      <c r="E165" s="32">
        <f t="shared" si="86"/>
        <v>3.608247422680412E-2</v>
      </c>
      <c r="F165" s="18">
        <f>IF(ISNUMBER(D165), $B172 * E165, "")</f>
        <v>3608.247422680412</v>
      </c>
      <c r="G165" s="31">
        <v>401</v>
      </c>
      <c r="H165" s="32">
        <f t="shared" si="87"/>
        <v>3.3505154639175257E-2</v>
      </c>
      <c r="I165" s="101">
        <f>IF(ISNUMBER(G165), $B172 * H165, "")</f>
        <v>3350.5154639175257</v>
      </c>
      <c r="J165" s="15">
        <v>396</v>
      </c>
      <c r="K165" s="32">
        <f t="shared" si="88"/>
        <v>2.0618556701030927E-2</v>
      </c>
      <c r="L165" s="18">
        <f>IF(ISNUMBER(J165), $B172 * K165, "")</f>
        <v>2061.855670103093</v>
      </c>
      <c r="M165" s="31">
        <v>407</v>
      </c>
      <c r="N165" s="32">
        <f t="shared" si="89"/>
        <v>4.8969072164948453E-2</v>
      </c>
      <c r="O165" s="18">
        <f>IF(ISNUMBER(M165), $B172 * N165, "")</f>
        <v>4896.9072164948457</v>
      </c>
      <c r="Q165" s="236"/>
      <c r="R165" s="236"/>
      <c r="S165" s="236"/>
    </row>
    <row r="166" spans="1:19" ht="17.25" thickBot="1">
      <c r="A166" s="127" t="s">
        <v>110</v>
      </c>
      <c r="B166" s="128">
        <v>188</v>
      </c>
      <c r="C166" s="78">
        <v>-2.08333333E-2</v>
      </c>
      <c r="D166" s="20">
        <v>189</v>
      </c>
      <c r="E166" s="21">
        <f t="shared" si="86"/>
        <v>5.3191489361702126E-3</v>
      </c>
      <c r="F166" s="22">
        <f>IF(ISNUMBER(D166), $B172 * E166, "")</f>
        <v>531.91489361702122</v>
      </c>
      <c r="G166" s="30">
        <v>191</v>
      </c>
      <c r="H166" s="21">
        <f t="shared" si="87"/>
        <v>1.5957446808510637E-2</v>
      </c>
      <c r="I166" s="105">
        <f>IF(ISNUMBER(G166), $B172 * H166, "")</f>
        <v>1595.7446808510638</v>
      </c>
      <c r="J166" s="20">
        <v>189</v>
      </c>
      <c r="K166" s="21">
        <f t="shared" si="88"/>
        <v>5.3191489361702126E-3</v>
      </c>
      <c r="L166" s="22">
        <f>IF(ISNUMBER(J166), $B172 * K166, "")</f>
        <v>531.91489361702122</v>
      </c>
      <c r="M166" s="30">
        <v>192</v>
      </c>
      <c r="N166" s="21">
        <f t="shared" si="89"/>
        <v>2.1276595744680851E-2</v>
      </c>
      <c r="O166" s="22">
        <f>IF(ISNUMBER(M166), $B172 * N166, "")</f>
        <v>2127.6595744680849</v>
      </c>
      <c r="Q166" s="236"/>
      <c r="R166" s="236"/>
      <c r="S166" s="236"/>
    </row>
    <row r="167" spans="1:19" ht="17.25" thickBot="1">
      <c r="A167" s="125" t="s">
        <v>192</v>
      </c>
      <c r="B167" s="129">
        <v>226</v>
      </c>
      <c r="C167" s="80">
        <v>-2.1645021600000001E-2</v>
      </c>
      <c r="D167" s="106">
        <v>233</v>
      </c>
      <c r="E167" s="107">
        <f>IF(ISNUMBER(D167), (D167 - $B167) / $B167, "")</f>
        <v>3.0973451327433628E-2</v>
      </c>
      <c r="F167" s="108">
        <f>IF(ISNUMBER(D167), $B172 * E167, "")</f>
        <v>3097.3451327433627</v>
      </c>
      <c r="G167" s="109">
        <v>235</v>
      </c>
      <c r="H167" s="107">
        <f>IF(ISNUMBER(G167), (G167 - $B167) / $B167, "")</f>
        <v>3.9823008849557522E-2</v>
      </c>
      <c r="I167" s="110">
        <f>IF(ISNUMBER(G167), $B172 * H167, "")</f>
        <v>3982.3008849557523</v>
      </c>
      <c r="J167" s="106">
        <v>233</v>
      </c>
      <c r="K167" s="107">
        <f>IF(ISNUMBER(J167), (J167 - $B167) / $B167, "")</f>
        <v>3.0973451327433628E-2</v>
      </c>
      <c r="L167" s="108">
        <f>IF(ISNUMBER(J167), $B172 * K167, "")</f>
        <v>3097.3451327433627</v>
      </c>
      <c r="M167" s="109">
        <v>239</v>
      </c>
      <c r="N167" s="107">
        <f>IF(ISNUMBER(M167), (M167 - $B167) / $B167, "")</f>
        <v>5.7522123893805309E-2</v>
      </c>
      <c r="O167" s="108">
        <f>IF(ISNUMBER(M167), $B172 * N167, "")</f>
        <v>5752.212389380531</v>
      </c>
      <c r="Q167" s="241"/>
      <c r="R167" s="241"/>
      <c r="S167" s="241"/>
    </row>
    <row r="168" spans="1:19" ht="17.25" thickBot="1">
      <c r="A168" s="125" t="s">
        <v>232</v>
      </c>
      <c r="B168" s="126">
        <v>512</v>
      </c>
      <c r="C168" s="77">
        <v>-2.2900763399999999E-2</v>
      </c>
      <c r="D168" s="15">
        <v>528</v>
      </c>
      <c r="E168" s="32">
        <f t="shared" ref="E168:E171" si="90">IF(ISNUMBER(D168), (D168 - $B168) / $B168, "")</f>
        <v>3.125E-2</v>
      </c>
      <c r="F168" s="18">
        <f>IF(ISNUMBER(D168), $B172 * E168, "")</f>
        <v>3125</v>
      </c>
      <c r="G168" s="31">
        <v>528</v>
      </c>
      <c r="H168" s="32">
        <f t="shared" ref="H168:H171" si="91">IF(ISNUMBER(G168), (G168 - $B168) / $B168, "")</f>
        <v>3.125E-2</v>
      </c>
      <c r="I168" s="101">
        <f>IF(ISNUMBER(G168), $B172 * H168, "")</f>
        <v>3125</v>
      </c>
      <c r="J168" s="15">
        <v>522</v>
      </c>
      <c r="K168" s="32">
        <f t="shared" ref="K168:K171" si="92">IF(ISNUMBER(J168), (J168 - $B168) / $B168, "")</f>
        <v>1.953125E-2</v>
      </c>
      <c r="L168" s="18">
        <f>IF(ISNUMBER(J168), $B172 * K168, "")</f>
        <v>1953.125</v>
      </c>
      <c r="M168" s="31">
        <v>529</v>
      </c>
      <c r="N168" s="32">
        <f t="shared" ref="N168:N171" si="93">IF(ISNUMBER(M168), (M168 - $B168) / $B168, "")</f>
        <v>3.3203125E-2</v>
      </c>
      <c r="O168" s="18">
        <f>IF(ISNUMBER(M168), $B172 * N168, "")</f>
        <v>3320.3125</v>
      </c>
      <c r="Q168" s="241"/>
      <c r="R168" s="241"/>
      <c r="S168" s="241"/>
    </row>
    <row r="169" spans="1:19" ht="17.25" thickBot="1">
      <c r="A169" s="125" t="s">
        <v>218</v>
      </c>
      <c r="B169" s="126">
        <v>132</v>
      </c>
      <c r="C169" s="77">
        <v>-2.9411764699999999E-2</v>
      </c>
      <c r="D169" s="15">
        <v>135</v>
      </c>
      <c r="E169" s="32">
        <f t="shared" si="90"/>
        <v>2.2727272727272728E-2</v>
      </c>
      <c r="F169" s="18">
        <f>IF(ISNUMBER(D169), $B172 * E169, "")</f>
        <v>2272.727272727273</v>
      </c>
      <c r="G169" s="31">
        <v>136</v>
      </c>
      <c r="H169" s="32">
        <f t="shared" si="91"/>
        <v>3.0303030303030304E-2</v>
      </c>
      <c r="I169" s="101">
        <f>IF(ISNUMBER(G169), $B172 * H169, "")</f>
        <v>3030.3030303030305</v>
      </c>
      <c r="J169" s="15">
        <v>134</v>
      </c>
      <c r="K169" s="32">
        <f t="shared" si="92"/>
        <v>1.5151515151515152E-2</v>
      </c>
      <c r="L169" s="18">
        <f>IF(ISNUMBER(J169), $B172 * K169, "")</f>
        <v>1515.1515151515152</v>
      </c>
      <c r="M169" s="31">
        <v>137</v>
      </c>
      <c r="N169" s="32">
        <f t="shared" si="93"/>
        <v>3.787878787878788E-2</v>
      </c>
      <c r="O169" s="18">
        <f>IF(ISNUMBER(M169), $B172 * N169, "")</f>
        <v>3787.878787878788</v>
      </c>
      <c r="Q169" s="241"/>
      <c r="R169" s="241"/>
      <c r="S169" s="241"/>
    </row>
    <row r="170" spans="1:19">
      <c r="A170" s="125" t="s">
        <v>222</v>
      </c>
      <c r="B170" s="126">
        <v>150</v>
      </c>
      <c r="C170" s="77">
        <v>-3.2258064500000003E-2</v>
      </c>
      <c r="D170" s="15">
        <v>154</v>
      </c>
      <c r="E170" s="32">
        <f t="shared" si="90"/>
        <v>2.6666666666666668E-2</v>
      </c>
      <c r="F170" s="18">
        <f>IF(ISNUMBER(D170), $B172 * E170, "")</f>
        <v>2666.666666666667</v>
      </c>
      <c r="G170" s="31">
        <v>155</v>
      </c>
      <c r="H170" s="32">
        <f t="shared" si="91"/>
        <v>3.3333333333333333E-2</v>
      </c>
      <c r="I170" s="101">
        <f>IF(ISNUMBER(G170), $B172 * H170, "")</f>
        <v>3333.3333333333335</v>
      </c>
      <c r="J170" s="15">
        <v>152</v>
      </c>
      <c r="K170" s="32">
        <f t="shared" si="92"/>
        <v>1.3333333333333334E-2</v>
      </c>
      <c r="L170" s="18">
        <f>IF(ISNUMBER(J170), $B172 * K170, "")</f>
        <v>1333.3333333333335</v>
      </c>
      <c r="M170" s="31">
        <v>155</v>
      </c>
      <c r="N170" s="32">
        <f t="shared" si="93"/>
        <v>3.3333333333333333E-2</v>
      </c>
      <c r="O170" s="18">
        <f>IF(ISNUMBER(M170), $B172 * N170, "")</f>
        <v>3333.3333333333335</v>
      </c>
      <c r="Q170" s="263"/>
      <c r="R170" s="264"/>
      <c r="S170" s="265"/>
    </row>
    <row r="171" spans="1:19" ht="17.25" thickBot="1">
      <c r="A171" s="130" t="s">
        <v>166</v>
      </c>
      <c r="B171" s="131">
        <v>260</v>
      </c>
      <c r="C171" s="79">
        <v>-4.0590405900000001E-2</v>
      </c>
      <c r="D171" s="24">
        <v>263</v>
      </c>
      <c r="E171" s="25">
        <f t="shared" si="90"/>
        <v>1.1538461538461539E-2</v>
      </c>
      <c r="F171" s="104">
        <f>IF(ISNUMBER(D171), $B172 * E171, "")</f>
        <v>1153.8461538461538</v>
      </c>
      <c r="G171" s="102">
        <v>268</v>
      </c>
      <c r="H171" s="25">
        <f t="shared" si="91"/>
        <v>3.0769230769230771E-2</v>
      </c>
      <c r="I171" s="103">
        <f>IF(ISNUMBER(G171), $B172 * H171, "")</f>
        <v>3076.9230769230771</v>
      </c>
      <c r="J171" s="24">
        <v>265</v>
      </c>
      <c r="K171" s="25">
        <f t="shared" si="92"/>
        <v>1.9230769230769232E-2</v>
      </c>
      <c r="L171" s="104">
        <f>IF(ISNUMBER(J171), $B172 * K171, "")</f>
        <v>1923.0769230769231</v>
      </c>
      <c r="M171" s="102">
        <v>272</v>
      </c>
      <c r="N171" s="25">
        <f t="shared" si="93"/>
        <v>4.6153846153846156E-2</v>
      </c>
      <c r="O171" s="104">
        <f>IF(ISNUMBER(M171), $B172 * N171, "")</f>
        <v>4615.3846153846152</v>
      </c>
      <c r="Q171" s="266"/>
      <c r="R171" s="267"/>
      <c r="S171" s="268"/>
    </row>
    <row r="172" spans="1:19" ht="17.25" thickBot="1">
      <c r="A172" s="132" t="s">
        <v>270</v>
      </c>
      <c r="B172" s="274">
        <f>$B$37</f>
        <v>100000</v>
      </c>
      <c r="C172" s="275"/>
      <c r="D172" s="26" t="s">
        <v>271</v>
      </c>
      <c r="E172" s="27">
        <f>IF(COUNT(E152:E171), SUM(E152:E171) / COUNT(E152:E171), 0)</f>
        <v>3.520467036297685E-2</v>
      </c>
      <c r="F172" s="28">
        <f>SUM(F152:F171)</f>
        <v>70409.340725953705</v>
      </c>
      <c r="G172" s="26" t="s">
        <v>271</v>
      </c>
      <c r="H172" s="27">
        <f>IF(COUNT(H152:H171), SUM(H152:H171) / COUNT(H152:H171), 0)</f>
        <v>4.3819282338742452E-2</v>
      </c>
      <c r="I172" s="28">
        <f>SUM(I152:I171)</f>
        <v>87638.564677484901</v>
      </c>
      <c r="J172" s="26" t="s">
        <v>271</v>
      </c>
      <c r="K172" s="27">
        <f>IF(COUNT(K152:K171), SUM(K152:K171) / COUNT(K152:K171), 0)</f>
        <v>3.451581145629655E-2</v>
      </c>
      <c r="L172" s="28">
        <f>SUM(L152:L171)</f>
        <v>69031.622912593084</v>
      </c>
      <c r="M172" s="26" t="s">
        <v>271</v>
      </c>
      <c r="N172" s="27">
        <f>IF(COUNT(N152:N171), SUM(N152:N171) / COUNT(N152:N171), 0)</f>
        <v>5.9773837815439858E-2</v>
      </c>
      <c r="O172" s="28">
        <f>SUM(O152:O171)</f>
        <v>119547.67563087969</v>
      </c>
      <c r="Q172" s="269"/>
      <c r="R172" s="270"/>
      <c r="S172" s="27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36"/>
      <c r="R175" s="236"/>
      <c r="S175" s="236"/>
    </row>
    <row r="176" spans="1:19" ht="17.25" thickBot="1">
      <c r="A176" s="197" t="s">
        <v>267</v>
      </c>
      <c r="B176" s="215" t="s">
        <v>49</v>
      </c>
      <c r="C176" s="217"/>
      <c r="D176" s="215" t="s">
        <v>58</v>
      </c>
      <c r="E176" s="216"/>
      <c r="F176" s="217"/>
      <c r="G176" s="242">
        <f>_xlfn.IFNA(VLOOKUP(B176, 현재가테이블!$B$2:$D$200, 2, FALSE), "-")</f>
        <v>53976000</v>
      </c>
      <c r="H176" s="243"/>
      <c r="I176" s="244"/>
      <c r="J176" s="215" t="s">
        <v>59</v>
      </c>
      <c r="K176" s="216"/>
      <c r="L176" s="217"/>
      <c r="M176" s="245">
        <f>_xlfn.IFNA(VLOOKUP(B176, 현재가테이블!$B$2:$D$200, 3, FALSE), "-")</f>
        <v>-2.1216407400000001E-2</v>
      </c>
      <c r="N176" s="246"/>
      <c r="O176" s="247"/>
      <c r="Q176" s="236"/>
      <c r="R176" s="236"/>
      <c r="S176" s="236"/>
    </row>
    <row r="177" spans="1:19" ht="17.25" thickBot="1">
      <c r="A177" s="276" t="s">
        <v>55</v>
      </c>
      <c r="B177" s="278" t="str">
        <f>TEXT($G$1, "[$-ko-KR]yyyy-mm-dd(ddd) ") &amp; "오전 00:00"</f>
        <v>2021-08-11(수) 오전 00:00</v>
      </c>
      <c r="C177" s="279"/>
      <c r="D177" s="238" t="str">
        <f>TEXT($G$1, "[$-ko-KR]yyyy-mm-dd(ddd) ") &amp; "오후 14:00"</f>
        <v>2021-08-11(수) 오후 14:00</v>
      </c>
      <c r="E177" s="239"/>
      <c r="F177" s="240"/>
      <c r="G177" s="238" t="str">
        <f>TEXT($G$1, "[$-ko-KR]yyyy-mm-dd(ddd) ") &amp; "오후 19:00"</f>
        <v>2021-08-11(수) 오후 19:00</v>
      </c>
      <c r="H177" s="239"/>
      <c r="I177" s="240"/>
      <c r="J177" s="238" t="str">
        <f>TEXT($G$1, "[$-ko-KR]yyyy-mm-dd(ddd) ") &amp; "오후 21:00"</f>
        <v>2021-08-11(수) 오후 21:00</v>
      </c>
      <c r="K177" s="239"/>
      <c r="L177" s="240"/>
      <c r="M177" s="238" t="str">
        <f>TEXT($G$1+1, "[$-ko-KR]yyyy-mm-dd(ddd) ") &amp; "오전 00:00"</f>
        <v>2021-08-12(목) 오전 00:00</v>
      </c>
      <c r="N177" s="239"/>
      <c r="O177" s="240"/>
      <c r="Q177" s="236"/>
      <c r="R177" s="236"/>
      <c r="S177" s="236"/>
    </row>
    <row r="178" spans="1:19" ht="17.25" thickBot="1">
      <c r="A178" s="27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1"/>
      <c r="R178" s="241"/>
      <c r="S178" s="241"/>
    </row>
    <row r="179" spans="1:19" ht="17.25" thickBot="1">
      <c r="A179" s="123" t="s">
        <v>216</v>
      </c>
      <c r="B179" s="124">
        <v>10.5</v>
      </c>
      <c r="C179" s="76">
        <v>-1.8691588799999999E-2</v>
      </c>
      <c r="D179" s="13">
        <v>10.7</v>
      </c>
      <c r="E179" s="14">
        <f>IF(ISNUMBER(D179), (D179 - $B179) / $B179, "")</f>
        <v>1.904761904761898E-2</v>
      </c>
      <c r="F179" s="16">
        <f>IF(ISNUMBER(D179), $B199 * E179, "")</f>
        <v>1904.761904761898</v>
      </c>
      <c r="G179" s="29">
        <v>11</v>
      </c>
      <c r="H179" s="14">
        <f>IF(ISNUMBER(G179), (G179 - $B179) / $B179, "")</f>
        <v>4.7619047619047616E-2</v>
      </c>
      <c r="I179" s="100">
        <f>IF(ISNUMBER(G179), $B199 * H179, "")</f>
        <v>4761.9047619047615</v>
      </c>
      <c r="J179" s="13">
        <v>10.9</v>
      </c>
      <c r="K179" s="14">
        <f>IF(ISNUMBER(J179), (J179 - $B179) / $B179, "")</f>
        <v>3.8095238095238126E-2</v>
      </c>
      <c r="L179" s="16">
        <f>IF(ISNUMBER(J179), $B199 * K179, "")</f>
        <v>3809.5238095238128</v>
      </c>
      <c r="M179" s="29">
        <v>11.2</v>
      </c>
      <c r="N179" s="14">
        <f>IF(ISNUMBER(M179), (M179 - $B179) / $B179, "")</f>
        <v>6.6666666666666596E-2</v>
      </c>
      <c r="O179" s="16">
        <f>IF(ISNUMBER(M179), $B199 * N179, "")</f>
        <v>6666.6666666666597</v>
      </c>
      <c r="Q179" s="236"/>
      <c r="R179" s="236"/>
      <c r="S179" s="236"/>
    </row>
    <row r="180" spans="1:19" ht="17.25" thickBot="1">
      <c r="A180" s="125" t="s">
        <v>160</v>
      </c>
      <c r="B180" s="126">
        <v>1300</v>
      </c>
      <c r="C180" s="77">
        <v>-1.8867924500000001E-2</v>
      </c>
      <c r="D180" s="15">
        <v>1355</v>
      </c>
      <c r="E180" s="32">
        <f t="shared" ref="E180:E183" si="94">IF(ISNUMBER(D180), (D180 - $B180) / $B180, "")</f>
        <v>4.230769230769231E-2</v>
      </c>
      <c r="F180" s="18">
        <f>IF(ISNUMBER(D180), $B199 * E180, "")</f>
        <v>4230.7692307692314</v>
      </c>
      <c r="G180" s="31">
        <v>1380</v>
      </c>
      <c r="H180" s="32">
        <f t="shared" ref="H180:H183" si="95">IF(ISNUMBER(G180), (G180 - $B180) / $B180, "")</f>
        <v>6.1538461538461542E-2</v>
      </c>
      <c r="I180" s="101">
        <f>IF(ISNUMBER(G180), $B199 * H180, "")</f>
        <v>6153.8461538461543</v>
      </c>
      <c r="J180" s="15">
        <v>1380</v>
      </c>
      <c r="K180" s="32">
        <f t="shared" ref="K180:K183" si="96">IF(ISNUMBER(J180), (J180 - $B180) / $B180, "")</f>
        <v>6.1538461538461542E-2</v>
      </c>
      <c r="L180" s="18">
        <f>IF(ISNUMBER(J180), $B199 * K180, "")</f>
        <v>6153.8461538461543</v>
      </c>
      <c r="M180" s="31">
        <v>1410</v>
      </c>
      <c r="N180" s="32">
        <f t="shared" ref="N180:N183" si="97">IF(ISNUMBER(M180), (M180 - $B180) / $B180, "")</f>
        <v>8.461538461538462E-2</v>
      </c>
      <c r="O180" s="18">
        <f>IF(ISNUMBER(M180), $B199 * N180, "")</f>
        <v>8461.5384615384628</v>
      </c>
      <c r="Q180" s="236"/>
      <c r="R180" s="236"/>
      <c r="S180" s="236"/>
    </row>
    <row r="181" spans="1:19" ht="17.25" thickBot="1">
      <c r="A181" s="125" t="s">
        <v>238</v>
      </c>
      <c r="B181" s="126">
        <v>101</v>
      </c>
      <c r="C181" s="77">
        <v>-1.9417475699999999E-2</v>
      </c>
      <c r="D181" s="15">
        <v>106</v>
      </c>
      <c r="E181" s="32">
        <f t="shared" si="94"/>
        <v>4.9504950495049507E-2</v>
      </c>
      <c r="F181" s="18">
        <f>IF(ISNUMBER(D181), $B199 * E181, "")</f>
        <v>4950.4950495049507</v>
      </c>
      <c r="G181" s="31">
        <v>107</v>
      </c>
      <c r="H181" s="32">
        <f t="shared" si="95"/>
        <v>5.9405940594059403E-2</v>
      </c>
      <c r="I181" s="101">
        <f>IF(ISNUMBER(G181), $B199 * H181, "")</f>
        <v>5940.5940594059402</v>
      </c>
      <c r="J181" s="15">
        <v>107</v>
      </c>
      <c r="K181" s="32">
        <f t="shared" si="96"/>
        <v>5.9405940594059403E-2</v>
      </c>
      <c r="L181" s="18">
        <f>IF(ISNUMBER(J181), $B199 * K181, "")</f>
        <v>5940.5940594059402</v>
      </c>
      <c r="M181" s="31">
        <v>108</v>
      </c>
      <c r="N181" s="32">
        <f t="shared" si="97"/>
        <v>6.9306930693069313E-2</v>
      </c>
      <c r="O181" s="18">
        <f>IF(ISNUMBER(M181), $B199 * N181, "")</f>
        <v>6930.6930693069316</v>
      </c>
      <c r="Q181" s="241"/>
      <c r="R181" s="241"/>
      <c r="S181" s="241"/>
    </row>
    <row r="182" spans="1:19" ht="17.25" thickBot="1">
      <c r="A182" s="125" t="s">
        <v>228</v>
      </c>
      <c r="B182" s="126">
        <v>388</v>
      </c>
      <c r="C182" s="77">
        <v>-2.02020202E-2</v>
      </c>
      <c r="D182" s="15">
        <v>402</v>
      </c>
      <c r="E182" s="32">
        <f t="shared" si="94"/>
        <v>3.608247422680412E-2</v>
      </c>
      <c r="F182" s="18">
        <f>IF(ISNUMBER(D182), $B199 * E182, "")</f>
        <v>3608.247422680412</v>
      </c>
      <c r="G182" s="31">
        <v>401</v>
      </c>
      <c r="H182" s="32">
        <f t="shared" si="95"/>
        <v>3.3505154639175257E-2</v>
      </c>
      <c r="I182" s="101">
        <f>IF(ISNUMBER(G182), $B199 * H182, "")</f>
        <v>3350.5154639175257</v>
      </c>
      <c r="J182" s="15">
        <v>396</v>
      </c>
      <c r="K182" s="32">
        <f t="shared" si="96"/>
        <v>2.0618556701030927E-2</v>
      </c>
      <c r="L182" s="18">
        <f>IF(ISNUMBER(J182), $B199 * K182, "")</f>
        <v>2061.855670103093</v>
      </c>
      <c r="M182" s="31">
        <v>407</v>
      </c>
      <c r="N182" s="32">
        <f t="shared" si="97"/>
        <v>4.8969072164948453E-2</v>
      </c>
      <c r="O182" s="18">
        <f>IF(ISNUMBER(M182), $B199 * N182, "")</f>
        <v>4896.9072164948457</v>
      </c>
      <c r="Q182" s="241"/>
      <c r="R182" s="241"/>
      <c r="S182" s="241"/>
    </row>
    <row r="183" spans="1:19" ht="17.25" thickBot="1">
      <c r="A183" s="127" t="s">
        <v>244</v>
      </c>
      <c r="B183" s="128">
        <v>1410</v>
      </c>
      <c r="C183" s="78">
        <v>-2.08333333E-2</v>
      </c>
      <c r="D183" s="20">
        <v>1445</v>
      </c>
      <c r="E183" s="21">
        <f t="shared" si="94"/>
        <v>2.4822695035460994E-2</v>
      </c>
      <c r="F183" s="22">
        <f>IF(ISNUMBER(D183), $B199 * E183, "")</f>
        <v>2482.2695035460993</v>
      </c>
      <c r="G183" s="30">
        <v>1465</v>
      </c>
      <c r="H183" s="21">
        <f t="shared" si="95"/>
        <v>3.9007092198581561E-2</v>
      </c>
      <c r="I183" s="105">
        <f>IF(ISNUMBER(G183), $B199 * H183, "")</f>
        <v>3900.7092198581563</v>
      </c>
      <c r="J183" s="20">
        <v>1505</v>
      </c>
      <c r="K183" s="21">
        <f t="shared" si="96"/>
        <v>6.7375886524822695E-2</v>
      </c>
      <c r="L183" s="22">
        <f>IF(ISNUMBER(J183), $B199 * K183, "")</f>
        <v>6737.5886524822699</v>
      </c>
      <c r="M183" s="30">
        <v>1495</v>
      </c>
      <c r="N183" s="21">
        <f t="shared" si="97"/>
        <v>6.0283687943262408E-2</v>
      </c>
      <c r="O183" s="22">
        <f>IF(ISNUMBER(M183), $B199 * N183, "")</f>
        <v>6028.3687943262412</v>
      </c>
      <c r="Q183" s="241"/>
      <c r="R183" s="241"/>
      <c r="S183" s="241"/>
    </row>
    <row r="184" spans="1:19" ht="17.25" thickBot="1">
      <c r="A184" s="125" t="s">
        <v>110</v>
      </c>
      <c r="B184" s="129">
        <v>188</v>
      </c>
      <c r="C184" s="80">
        <v>-2.08333333E-2</v>
      </c>
      <c r="D184" s="106">
        <v>189</v>
      </c>
      <c r="E184" s="107">
        <f>IF(ISNUMBER(D184), (D184 - $B184) / $B184, "")</f>
        <v>5.3191489361702126E-3</v>
      </c>
      <c r="F184" s="108">
        <f>IF(ISNUMBER(D184), $B199 * E184, "")</f>
        <v>531.91489361702122</v>
      </c>
      <c r="G184" s="109">
        <v>191</v>
      </c>
      <c r="H184" s="107">
        <f>IF(ISNUMBER(G184), (G184 - $B184) / $B184, "")</f>
        <v>1.5957446808510637E-2</v>
      </c>
      <c r="I184" s="110">
        <f>IF(ISNUMBER(G184), $B199 * H184, "")</f>
        <v>1595.7446808510638</v>
      </c>
      <c r="J184" s="106">
        <v>189</v>
      </c>
      <c r="K184" s="107">
        <f>IF(ISNUMBER(J184), (J184 - $B184) / $B184, "")</f>
        <v>5.3191489361702126E-3</v>
      </c>
      <c r="L184" s="108">
        <f>IF(ISNUMBER(J184), $B199 * K184, "")</f>
        <v>531.91489361702122</v>
      </c>
      <c r="M184" s="109">
        <v>192</v>
      </c>
      <c r="N184" s="107">
        <f>IF(ISNUMBER(M184), (M184 - $B184) / $B184, "")</f>
        <v>2.1276595744680851E-2</v>
      </c>
      <c r="O184" s="108">
        <f>IF(ISNUMBER(M184), $B199 * N184, "")</f>
        <v>2127.6595744680849</v>
      </c>
      <c r="Q184" s="241"/>
      <c r="R184" s="241"/>
      <c r="S184" s="241"/>
    </row>
    <row r="185" spans="1:19" ht="17.25" thickBot="1">
      <c r="A185" s="125" t="s">
        <v>192</v>
      </c>
      <c r="B185" s="126">
        <v>226</v>
      </c>
      <c r="C185" s="77">
        <v>-2.1645021600000001E-2</v>
      </c>
      <c r="D185" s="15">
        <v>233</v>
      </c>
      <c r="E185" s="32">
        <f t="shared" ref="E185:E188" si="98">IF(ISNUMBER(D185), (D185 - $B185) / $B185, "")</f>
        <v>3.0973451327433628E-2</v>
      </c>
      <c r="F185" s="18">
        <f>IF(ISNUMBER(D185), $B199 * E185, "")</f>
        <v>3097.3451327433627</v>
      </c>
      <c r="G185" s="31">
        <v>235</v>
      </c>
      <c r="H185" s="32">
        <f t="shared" ref="H185:H188" si="99">IF(ISNUMBER(G185), (G185 - $B185) / $B185, "")</f>
        <v>3.9823008849557522E-2</v>
      </c>
      <c r="I185" s="101">
        <f>IF(ISNUMBER(G185), $B199 * H185, "")</f>
        <v>3982.3008849557523</v>
      </c>
      <c r="J185" s="15">
        <v>233</v>
      </c>
      <c r="K185" s="32">
        <f t="shared" ref="K185:K188" si="100">IF(ISNUMBER(J185), (J185 - $B185) / $B185, "")</f>
        <v>3.0973451327433628E-2</v>
      </c>
      <c r="L185" s="18">
        <f>IF(ISNUMBER(J185), $B199 * K185, "")</f>
        <v>3097.3451327433627</v>
      </c>
      <c r="M185" s="31">
        <v>239</v>
      </c>
      <c r="N185" s="32">
        <f t="shared" ref="N185:N188" si="101">IF(ISNUMBER(M185), (M185 - $B185) / $B185, "")</f>
        <v>5.7522123893805309E-2</v>
      </c>
      <c r="O185" s="18">
        <f>IF(ISNUMBER(M185), $B199 * N185, "")</f>
        <v>5752.212389380531</v>
      </c>
      <c r="Q185" s="241"/>
      <c r="R185" s="241"/>
      <c r="S185" s="241"/>
    </row>
    <row r="186" spans="1:19" ht="17.25" thickBot="1">
      <c r="A186" s="125" t="s">
        <v>232</v>
      </c>
      <c r="B186" s="126">
        <v>512</v>
      </c>
      <c r="C186" s="77">
        <v>-2.2900763399999999E-2</v>
      </c>
      <c r="D186" s="15">
        <v>528</v>
      </c>
      <c r="E186" s="32">
        <f t="shared" si="98"/>
        <v>3.125E-2</v>
      </c>
      <c r="F186" s="18">
        <f>IF(ISNUMBER(D186), $B199 * E186, "")</f>
        <v>3125</v>
      </c>
      <c r="G186" s="31">
        <v>528</v>
      </c>
      <c r="H186" s="32">
        <f t="shared" si="99"/>
        <v>3.125E-2</v>
      </c>
      <c r="I186" s="101">
        <f>IF(ISNUMBER(G186), $B199 * H186, "")</f>
        <v>3125</v>
      </c>
      <c r="J186" s="15">
        <v>522</v>
      </c>
      <c r="K186" s="32">
        <f t="shared" si="100"/>
        <v>1.953125E-2</v>
      </c>
      <c r="L186" s="18">
        <f>IF(ISNUMBER(J186), $B199 * K186, "")</f>
        <v>1953.125</v>
      </c>
      <c r="M186" s="31">
        <v>529</v>
      </c>
      <c r="N186" s="32">
        <f t="shared" si="101"/>
        <v>3.3203125E-2</v>
      </c>
      <c r="O186" s="18">
        <f>IF(ISNUMBER(M186), $B199 * N186, "")</f>
        <v>3320.3125</v>
      </c>
      <c r="Q186" s="241"/>
      <c r="R186" s="241"/>
      <c r="S186" s="241"/>
    </row>
    <row r="187" spans="1:19" ht="17.25" thickBot="1">
      <c r="A187" s="125" t="s">
        <v>150</v>
      </c>
      <c r="B187" s="126">
        <v>12.6</v>
      </c>
      <c r="C187" s="77">
        <v>-2.3255814E-2</v>
      </c>
      <c r="D187" s="15">
        <v>13</v>
      </c>
      <c r="E187" s="32">
        <f t="shared" si="98"/>
        <v>3.1746031746031772E-2</v>
      </c>
      <c r="F187" s="18">
        <f>IF(ISNUMBER(D187), $B199 * E187, "")</f>
        <v>3174.6031746031772</v>
      </c>
      <c r="G187" s="31">
        <v>13</v>
      </c>
      <c r="H187" s="32">
        <f t="shared" si="99"/>
        <v>3.1746031746031772E-2</v>
      </c>
      <c r="I187" s="101">
        <f>IF(ISNUMBER(G187), $B199 * H187, "")</f>
        <v>3174.6031746031772</v>
      </c>
      <c r="J187" s="15">
        <v>12.9</v>
      </c>
      <c r="K187" s="32">
        <f t="shared" si="100"/>
        <v>2.3809523809523867E-2</v>
      </c>
      <c r="L187" s="18">
        <f>IF(ISNUMBER(J187), $B199 * K187, "")</f>
        <v>2380.9523809523866</v>
      </c>
      <c r="M187" s="31">
        <v>13.3</v>
      </c>
      <c r="N187" s="32">
        <f t="shared" si="101"/>
        <v>5.5555555555555643E-2</v>
      </c>
      <c r="O187" s="18">
        <f>IF(ISNUMBER(M187), $B199 * N187, "")</f>
        <v>5555.5555555555638</v>
      </c>
      <c r="Q187" s="33"/>
      <c r="R187" s="33"/>
    </row>
    <row r="188" spans="1:19" ht="17.25" thickBot="1">
      <c r="A188" s="130" t="s">
        <v>108</v>
      </c>
      <c r="B188" s="131">
        <v>1255</v>
      </c>
      <c r="C188" s="79">
        <v>-2.3346303499999999E-2</v>
      </c>
      <c r="D188" s="24">
        <v>1315</v>
      </c>
      <c r="E188" s="25">
        <f t="shared" si="98"/>
        <v>4.7808764940239043E-2</v>
      </c>
      <c r="F188" s="104">
        <f>IF(ISNUMBER(D188), $B199 * E188, "")</f>
        <v>4780.8764940239043</v>
      </c>
      <c r="G188" s="102">
        <v>1365</v>
      </c>
      <c r="H188" s="25">
        <f t="shared" si="99"/>
        <v>8.7649402390438252E-2</v>
      </c>
      <c r="I188" s="103">
        <f>IF(ISNUMBER(G188), $B199 * H188, "")</f>
        <v>8764.9402390438245</v>
      </c>
      <c r="J188" s="24">
        <v>1340</v>
      </c>
      <c r="K188" s="25">
        <f t="shared" si="100"/>
        <v>6.7729083665338641E-2</v>
      </c>
      <c r="L188" s="104">
        <f>IF(ISNUMBER(J188), $B199 * K188, "")</f>
        <v>6772.908366533864</v>
      </c>
      <c r="M188" s="102">
        <v>1375</v>
      </c>
      <c r="N188" s="25">
        <f t="shared" si="101"/>
        <v>9.5617529880478086E-2</v>
      </c>
      <c r="O188" s="104">
        <f>IF(ISNUMBER(M188), $B199 * N188, "")</f>
        <v>9561.7529880478087</v>
      </c>
      <c r="Q188" s="250"/>
      <c r="R188" s="251"/>
      <c r="S188" s="252"/>
    </row>
    <row r="189" spans="1:19">
      <c r="A189" s="123" t="s">
        <v>88</v>
      </c>
      <c r="B189" s="124">
        <v>188050</v>
      </c>
      <c r="C189" s="76">
        <v>-2.3877498099999998E-2</v>
      </c>
      <c r="D189" s="13">
        <v>188250</v>
      </c>
      <c r="E189" s="14">
        <f>IF(ISNUMBER(D189), (D189 - $B189) / $B189, "")</f>
        <v>1.0635469290082426E-3</v>
      </c>
      <c r="F189" s="16">
        <f>IF(ISNUMBER(D189), $B199 * E189, "")</f>
        <v>106.35469290082426</v>
      </c>
      <c r="G189" s="29">
        <v>189900</v>
      </c>
      <c r="H189" s="14">
        <f>IF(ISNUMBER(G189), (G189 - $B189) / $B189, "")</f>
        <v>9.8378090933262437E-3</v>
      </c>
      <c r="I189" s="100">
        <f>IF(ISNUMBER(G189), $B199 * H189, "")</f>
        <v>983.78090933262433</v>
      </c>
      <c r="J189" s="13">
        <v>189100</v>
      </c>
      <c r="K189" s="14">
        <f>IF(ISNUMBER(J189), (J189 - $B189) / $B189, "")</f>
        <v>5.5836213772932734E-3</v>
      </c>
      <c r="L189" s="16">
        <f>IF(ISNUMBER(J189), $B199 * K189, "")</f>
        <v>558.36213772932729</v>
      </c>
      <c r="M189" s="29">
        <v>192650</v>
      </c>
      <c r="N189" s="14">
        <f>IF(ISNUMBER(M189), (M189 - $B189) / $B189, "")</f>
        <v>2.4461579367189578E-2</v>
      </c>
      <c r="O189" s="16">
        <f>IF(ISNUMBER(M189), $B199 * N189, "")</f>
        <v>2446.1579367189579</v>
      </c>
      <c r="Q189" s="253"/>
      <c r="R189" s="254"/>
      <c r="S189" s="255"/>
    </row>
    <row r="190" spans="1:19" ht="17.25" thickBot="1">
      <c r="A190" s="125" t="s">
        <v>180</v>
      </c>
      <c r="B190" s="126">
        <v>12010</v>
      </c>
      <c r="C190" s="77">
        <v>-2.4370430500000002E-2</v>
      </c>
      <c r="D190" s="15">
        <v>12410</v>
      </c>
      <c r="E190" s="32">
        <f t="shared" ref="E190:E193" si="102">IF(ISNUMBER(D190), (D190 - $B190) / $B190, "")</f>
        <v>3.330557868442964E-2</v>
      </c>
      <c r="F190" s="18">
        <f>IF(ISNUMBER(D190), $B199 * E190, "")</f>
        <v>3330.5578684429638</v>
      </c>
      <c r="G190" s="31">
        <v>12570</v>
      </c>
      <c r="H190" s="32">
        <f t="shared" ref="H190:H193" si="103">IF(ISNUMBER(G190), (G190 - $B190) / $B190, "")</f>
        <v>4.6627810158201499E-2</v>
      </c>
      <c r="I190" s="101">
        <f>IF(ISNUMBER(G190), $B199 * H190, "")</f>
        <v>4662.7810158201501</v>
      </c>
      <c r="J190" s="15">
        <v>12450</v>
      </c>
      <c r="K190" s="32">
        <f t="shared" ref="K190:K193" si="104">IF(ISNUMBER(J190), (J190 - $B190) / $B190, "")</f>
        <v>3.6636136552872609E-2</v>
      </c>
      <c r="L190" s="18">
        <f>IF(ISNUMBER(J190), $B199 * K190, "")</f>
        <v>3663.6136552872608</v>
      </c>
      <c r="M190" s="31">
        <v>12740</v>
      </c>
      <c r="N190" s="32">
        <f t="shared" ref="N190:N193" si="105">IF(ISNUMBER(M190), (M190 - $B190) / $B190, "")</f>
        <v>6.0782681099084093E-2</v>
      </c>
      <c r="O190" s="18">
        <f>IF(ISNUMBER(M190), $B199 * N190, "")</f>
        <v>6078.2681099084093</v>
      </c>
      <c r="Q190" s="256"/>
      <c r="R190" s="257"/>
      <c r="S190" s="258"/>
    </row>
    <row r="191" spans="1:19" ht="17.25" thickBot="1">
      <c r="A191" s="125" t="s">
        <v>63</v>
      </c>
      <c r="B191" s="126">
        <v>51950</v>
      </c>
      <c r="C191" s="77">
        <v>-2.4962462500000001E-2</v>
      </c>
      <c r="D191" s="15">
        <v>56340</v>
      </c>
      <c r="E191" s="32">
        <f t="shared" si="102"/>
        <v>8.450433108758422E-2</v>
      </c>
      <c r="F191" s="18">
        <f>IF(ISNUMBER(D191), $B199 * E191, "")</f>
        <v>8450.4331087584214</v>
      </c>
      <c r="G191" s="31">
        <v>55930</v>
      </c>
      <c r="H191" s="32">
        <f t="shared" si="103"/>
        <v>7.6612127045235803E-2</v>
      </c>
      <c r="I191" s="101">
        <f>IF(ISNUMBER(G191), $B199 * H191, "")</f>
        <v>7661.2127045235802</v>
      </c>
      <c r="J191" s="15">
        <v>55380</v>
      </c>
      <c r="K191" s="32">
        <f t="shared" si="104"/>
        <v>6.6025024061597687E-2</v>
      </c>
      <c r="L191" s="18">
        <f>IF(ISNUMBER(J191), $B199 * K191, "")</f>
        <v>6602.5024061597687</v>
      </c>
      <c r="M191" s="31">
        <v>57080</v>
      </c>
      <c r="N191" s="32">
        <f t="shared" si="105"/>
        <v>9.8748796920115497E-2</v>
      </c>
      <c r="O191" s="18">
        <f>IF(ISNUMBER(M191), $B199 * N191, "")</f>
        <v>9874.8796920115492</v>
      </c>
      <c r="Q191" s="241"/>
      <c r="R191" s="241"/>
      <c r="S191" s="241"/>
    </row>
    <row r="192" spans="1:19" ht="17.25" thickBot="1">
      <c r="A192" s="125" t="s">
        <v>106</v>
      </c>
      <c r="B192" s="126">
        <v>66180</v>
      </c>
      <c r="C192" s="77">
        <v>-2.5474893200000001E-2</v>
      </c>
      <c r="D192" s="15">
        <v>66710</v>
      </c>
      <c r="E192" s="32">
        <f t="shared" si="102"/>
        <v>8.0084617709277727E-3</v>
      </c>
      <c r="F192" s="18">
        <f>IF(ISNUMBER(D192), $B199 * E192, "")</f>
        <v>800.84617709277722</v>
      </c>
      <c r="G192" s="31">
        <v>67310</v>
      </c>
      <c r="H192" s="32">
        <f t="shared" si="103"/>
        <v>1.707464490782714E-2</v>
      </c>
      <c r="I192" s="101">
        <f>IF(ISNUMBER(G192), $B199 * H192, "")</f>
        <v>1707.4644907827139</v>
      </c>
      <c r="J192" s="15">
        <v>66660</v>
      </c>
      <c r="K192" s="32">
        <f t="shared" si="104"/>
        <v>7.2529465095194923E-3</v>
      </c>
      <c r="L192" s="18">
        <f>IF(ISNUMBER(J192), $B199 * K192, "")</f>
        <v>725.29465095194928</v>
      </c>
      <c r="M192" s="31">
        <v>67570</v>
      </c>
      <c r="N192" s="32">
        <f t="shared" si="105"/>
        <v>2.1003324267150198E-2</v>
      </c>
      <c r="O192" s="18">
        <f>IF(ISNUMBER(M192), $B199 * N192, "")</f>
        <v>2100.3324267150197</v>
      </c>
      <c r="Q192" s="236"/>
      <c r="R192" s="236"/>
      <c r="S192" s="236"/>
    </row>
    <row r="193" spans="1:19" ht="17.25" thickBot="1">
      <c r="A193" s="127" t="s">
        <v>142</v>
      </c>
      <c r="B193" s="128">
        <v>10370</v>
      </c>
      <c r="C193" s="78">
        <v>-2.6291079799999999E-2</v>
      </c>
      <c r="D193" s="20">
        <v>10630</v>
      </c>
      <c r="E193" s="21">
        <f t="shared" si="102"/>
        <v>2.5072324011571841E-2</v>
      </c>
      <c r="F193" s="22">
        <f>IF(ISNUMBER(D193), $B199 * E193, "")</f>
        <v>2507.2324011571841</v>
      </c>
      <c r="G193" s="30">
        <v>10650</v>
      </c>
      <c r="H193" s="21">
        <f t="shared" si="103"/>
        <v>2.7000964320154291E-2</v>
      </c>
      <c r="I193" s="105">
        <f>IF(ISNUMBER(G193), $B199 * H193, "")</f>
        <v>2700.0964320154289</v>
      </c>
      <c r="J193" s="20">
        <v>10600</v>
      </c>
      <c r="K193" s="21">
        <f t="shared" si="104"/>
        <v>2.2179363548698167E-2</v>
      </c>
      <c r="L193" s="22">
        <f>IF(ISNUMBER(J193), $B199 * K193, "")</f>
        <v>2217.9363548698166</v>
      </c>
      <c r="M193" s="30">
        <v>10820</v>
      </c>
      <c r="N193" s="21">
        <f t="shared" si="105"/>
        <v>4.3394406943105111E-2</v>
      </c>
      <c r="O193" s="22">
        <f>IF(ISNUMBER(M193), $B199 * N193, "")</f>
        <v>4339.4406943105114</v>
      </c>
      <c r="Q193" s="236"/>
      <c r="R193" s="236"/>
      <c r="S193" s="236"/>
    </row>
    <row r="194" spans="1:19" ht="17.25" thickBot="1">
      <c r="A194" s="125" t="s">
        <v>204</v>
      </c>
      <c r="B194" s="129">
        <v>13.8</v>
      </c>
      <c r="C194" s="80">
        <v>-2.8169014100000001E-2</v>
      </c>
      <c r="D194" s="106">
        <v>14.2</v>
      </c>
      <c r="E194" s="107">
        <f>IF(ISNUMBER(D194), (D194 - $B194) / $B194, "")</f>
        <v>2.8985507246376708E-2</v>
      </c>
      <c r="F194" s="108">
        <f>IF(ISNUMBER(D194), $B199 * E194, "")</f>
        <v>2898.550724637671</v>
      </c>
      <c r="G194" s="109">
        <v>14.2</v>
      </c>
      <c r="H194" s="107">
        <f>IF(ISNUMBER(G194), (G194 - $B194) / $B194, "")</f>
        <v>2.8985507246376708E-2</v>
      </c>
      <c r="I194" s="110">
        <f>IF(ISNUMBER(G194), $B199 * H194, "")</f>
        <v>2898.550724637671</v>
      </c>
      <c r="J194" s="106">
        <v>14.2</v>
      </c>
      <c r="K194" s="107">
        <f>IF(ISNUMBER(J194), (J194 - $B194) / $B194, "")</f>
        <v>2.8985507246376708E-2</v>
      </c>
      <c r="L194" s="108">
        <f>IF(ISNUMBER(J194), $B199 * K194, "")</f>
        <v>2898.550724637671</v>
      </c>
      <c r="M194" s="109">
        <v>14.6</v>
      </c>
      <c r="N194" s="107">
        <f>IF(ISNUMBER(M194), (M194 - $B194) / $B194, "")</f>
        <v>5.7971014492753541E-2</v>
      </c>
      <c r="O194" s="108">
        <f>IF(ISNUMBER(M194), $B199 * N194, "")</f>
        <v>5797.1014492753538</v>
      </c>
      <c r="Q194" s="241"/>
      <c r="R194" s="241"/>
      <c r="S194" s="241"/>
    </row>
    <row r="195" spans="1:19" ht="17.25" thickBot="1">
      <c r="A195" s="125" t="s">
        <v>208</v>
      </c>
      <c r="B195" s="126">
        <v>13.3</v>
      </c>
      <c r="C195" s="77">
        <v>-2.9197080300000001E-2</v>
      </c>
      <c r="D195" s="15">
        <v>13.5</v>
      </c>
      <c r="E195" s="32">
        <f t="shared" ref="E195:E198" si="106">IF(ISNUMBER(D195), (D195 - $B195) / $B195, "")</f>
        <v>1.5037593984962351E-2</v>
      </c>
      <c r="F195" s="18">
        <f>IF(ISNUMBER(D195), $B199 * E195, "")</f>
        <v>1503.7593984962352</v>
      </c>
      <c r="G195" s="31">
        <v>13.7</v>
      </c>
      <c r="H195" s="32">
        <f t="shared" ref="H195:H198" si="107">IF(ISNUMBER(G195), (G195 - $B195) / $B195, "")</f>
        <v>3.0075187969924703E-2</v>
      </c>
      <c r="I195" s="101">
        <f>IF(ISNUMBER(G195), $B199 * H195, "")</f>
        <v>3007.5187969924705</v>
      </c>
      <c r="J195" s="15">
        <v>13.6</v>
      </c>
      <c r="K195" s="32">
        <f t="shared" ref="K195:K198" si="108">IF(ISNUMBER(J195), (J195 - $B195) / $B195, "")</f>
        <v>2.2556390977443528E-2</v>
      </c>
      <c r="L195" s="18">
        <f>IF(ISNUMBER(J195), $B199 * K195, "")</f>
        <v>2255.639097744353</v>
      </c>
      <c r="M195" s="31">
        <v>14.2</v>
      </c>
      <c r="N195" s="32">
        <f t="shared" ref="N195:N198" si="109">IF(ISNUMBER(M195), (M195 - $B195) / $B195, "")</f>
        <v>6.7669172932330712E-2</v>
      </c>
      <c r="O195" s="18">
        <f>IF(ISNUMBER(M195), $B199 * N195, "")</f>
        <v>6766.9172932330712</v>
      </c>
      <c r="Q195" s="241"/>
      <c r="R195" s="241"/>
      <c r="S195" s="241"/>
    </row>
    <row r="196" spans="1:19" ht="17.25" thickBot="1">
      <c r="A196" s="125" t="s">
        <v>218</v>
      </c>
      <c r="B196" s="126">
        <v>132</v>
      </c>
      <c r="C196" s="77">
        <v>-2.9411764699999999E-2</v>
      </c>
      <c r="D196" s="15">
        <v>135</v>
      </c>
      <c r="E196" s="32">
        <f t="shared" si="106"/>
        <v>2.2727272727272728E-2</v>
      </c>
      <c r="F196" s="18">
        <f>IF(ISNUMBER(D196), $B199 * E196, "")</f>
        <v>2272.727272727273</v>
      </c>
      <c r="G196" s="31">
        <v>136</v>
      </c>
      <c r="H196" s="32">
        <f t="shared" si="107"/>
        <v>3.0303030303030304E-2</v>
      </c>
      <c r="I196" s="101">
        <f>IF(ISNUMBER(G196), $B199 * H196, "")</f>
        <v>3030.3030303030305</v>
      </c>
      <c r="J196" s="15">
        <v>134</v>
      </c>
      <c r="K196" s="32">
        <f t="shared" si="108"/>
        <v>1.5151515151515152E-2</v>
      </c>
      <c r="L196" s="18">
        <f>IF(ISNUMBER(J196), $B199 * K196, "")</f>
        <v>1515.1515151515152</v>
      </c>
      <c r="M196" s="31">
        <v>137</v>
      </c>
      <c r="N196" s="32">
        <f t="shared" si="109"/>
        <v>3.787878787878788E-2</v>
      </c>
      <c r="O196" s="18">
        <f>IF(ISNUMBER(M196), $B199 * N196, "")</f>
        <v>3787.878787878788</v>
      </c>
      <c r="Q196" s="241"/>
      <c r="R196" s="241"/>
      <c r="S196" s="241"/>
    </row>
    <row r="197" spans="1:19">
      <c r="A197" s="125" t="s">
        <v>222</v>
      </c>
      <c r="B197" s="126">
        <v>150</v>
      </c>
      <c r="C197" s="77">
        <v>-3.2258064500000003E-2</v>
      </c>
      <c r="D197" s="15">
        <v>154</v>
      </c>
      <c r="E197" s="32">
        <f t="shared" si="106"/>
        <v>2.6666666666666668E-2</v>
      </c>
      <c r="F197" s="18">
        <f>IF(ISNUMBER(D197), $B199 * E197, "")</f>
        <v>2666.666666666667</v>
      </c>
      <c r="G197" s="31">
        <v>155</v>
      </c>
      <c r="H197" s="32">
        <f t="shared" si="107"/>
        <v>3.3333333333333333E-2</v>
      </c>
      <c r="I197" s="101">
        <f>IF(ISNUMBER(G197), $B199 * H197, "")</f>
        <v>3333.3333333333335</v>
      </c>
      <c r="J197" s="15">
        <v>152</v>
      </c>
      <c r="K197" s="32">
        <f t="shared" si="108"/>
        <v>1.3333333333333334E-2</v>
      </c>
      <c r="L197" s="18">
        <f>IF(ISNUMBER(J197), $B199 * K197, "")</f>
        <v>1333.3333333333335</v>
      </c>
      <c r="M197" s="31">
        <v>155</v>
      </c>
      <c r="N197" s="32">
        <f t="shared" si="109"/>
        <v>3.3333333333333333E-2</v>
      </c>
      <c r="O197" s="18">
        <f>IF(ISNUMBER(M197), $B199 * N197, "")</f>
        <v>3333.3333333333335</v>
      </c>
      <c r="Q197" s="263"/>
      <c r="R197" s="264"/>
      <c r="S197" s="265"/>
    </row>
    <row r="198" spans="1:19" ht="17.25" thickBot="1">
      <c r="A198" s="130" t="s">
        <v>166</v>
      </c>
      <c r="B198" s="131">
        <v>260</v>
      </c>
      <c r="C198" s="79">
        <v>-4.0590405900000001E-2</v>
      </c>
      <c r="D198" s="24">
        <v>263</v>
      </c>
      <c r="E198" s="25">
        <f t="shared" si="106"/>
        <v>1.1538461538461539E-2</v>
      </c>
      <c r="F198" s="104">
        <f>IF(ISNUMBER(D198), $B199 * E198, "")</f>
        <v>1153.8461538461538</v>
      </c>
      <c r="G198" s="102">
        <v>268</v>
      </c>
      <c r="H198" s="25">
        <f t="shared" si="107"/>
        <v>3.0769230769230771E-2</v>
      </c>
      <c r="I198" s="103">
        <f>IF(ISNUMBER(G198), $B199 * H198, "")</f>
        <v>3076.9230769230771</v>
      </c>
      <c r="J198" s="24">
        <v>265</v>
      </c>
      <c r="K198" s="25">
        <f t="shared" si="108"/>
        <v>1.9230769230769232E-2</v>
      </c>
      <c r="L198" s="104">
        <f>IF(ISNUMBER(J198), $B199 * K198, "")</f>
        <v>1923.0769230769231</v>
      </c>
      <c r="M198" s="102">
        <v>272</v>
      </c>
      <c r="N198" s="25">
        <f t="shared" si="109"/>
        <v>4.6153846153846156E-2</v>
      </c>
      <c r="O198" s="104">
        <f>IF(ISNUMBER(M198), $B199 * N198, "")</f>
        <v>4615.3846153846152</v>
      </c>
      <c r="Q198" s="266"/>
      <c r="R198" s="267"/>
      <c r="S198" s="268"/>
    </row>
    <row r="199" spans="1:19" ht="17.25" thickBot="1">
      <c r="A199" s="132" t="s">
        <v>270</v>
      </c>
      <c r="B199" s="274">
        <f>$B$37</f>
        <v>100000</v>
      </c>
      <c r="C199" s="275"/>
      <c r="D199" s="26" t="s">
        <v>271</v>
      </c>
      <c r="E199" s="27">
        <f>IF(COUNT(E179:E198), SUM(E179:E198) / COUNT(E179:E198), 0)</f>
        <v>2.878862863548811E-2</v>
      </c>
      <c r="F199" s="28">
        <f>SUM(F179:F198)</f>
        <v>57577.257270976224</v>
      </c>
      <c r="G199" s="26" t="s">
        <v>271</v>
      </c>
      <c r="H199" s="27">
        <f>IF(COUNT(H179:H198), SUM(H179:H198) / COUNT(H179:H198), 0)</f>
        <v>3.8906061576525222E-2</v>
      </c>
      <c r="I199" s="28">
        <f>SUM(I179:I198)</f>
        <v>77812.12315305043</v>
      </c>
      <c r="J199" s="26" t="s">
        <v>271</v>
      </c>
      <c r="K199" s="27">
        <f>IF(COUNT(K179:K198), SUM(K179:K198) / COUNT(K179:K198), 0)</f>
        <v>3.1566557459074919E-2</v>
      </c>
      <c r="L199" s="28">
        <f>SUM(L179:L198)</f>
        <v>63133.114918149819</v>
      </c>
      <c r="M199" s="26" t="s">
        <v>271</v>
      </c>
      <c r="N199" s="27">
        <f>IF(COUNT(N179:N198), SUM(N179:N198) / COUNT(N179:N198), 0)</f>
        <v>5.4220680777277389E-2</v>
      </c>
      <c r="O199" s="28">
        <f>SUM(O179:O198)</f>
        <v>108441.36155455472</v>
      </c>
      <c r="Q199" s="269"/>
      <c r="R199" s="270"/>
      <c r="S199" s="27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50" priority="21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49" priority="22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48" priority="21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47" priority="21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46" priority="21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45" priority="21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44" priority="21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43" priority="21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42" priority="21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41" priority="21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40" priority="199">
      <formula>AND($N17 &gt; 0, ISNUMBER($N17))</formula>
    </cfRule>
    <cfRule type="expression" dxfId="739" priority="200">
      <formula>AND($N17 = 0 * ISNUMBER($N17))</formula>
    </cfRule>
    <cfRule type="expression" dxfId="738" priority="201">
      <formula>AND($N17 &lt; 0, ISNUMBER($N17))</formula>
    </cfRule>
  </conditionalFormatting>
  <conditionalFormatting sqref="A17:F36">
    <cfRule type="expression" dxfId="737" priority="208">
      <formula>AND($E17 &gt; 0, ISNUMBER($E17))</formula>
    </cfRule>
    <cfRule type="expression" dxfId="736" priority="209">
      <formula>AND($E17 = 0 * ISNUMBER($E17))</formula>
    </cfRule>
    <cfRule type="expression" dxfId="735" priority="210">
      <formula>AND($E17 &lt; 0, ISNUMBER($E17))</formula>
    </cfRule>
  </conditionalFormatting>
  <conditionalFormatting sqref="A17:C36 G17:I36">
    <cfRule type="expression" dxfId="734" priority="205">
      <formula>AND($H17 &gt; 0, ISNUMBER($H17))</formula>
    </cfRule>
    <cfRule type="expression" dxfId="733" priority="206">
      <formula>AND($H17 = 0 * ISNUMBER($H17))</formula>
    </cfRule>
    <cfRule type="expression" dxfId="732" priority="207">
      <formula>AND($H17 &lt; 0, ISNUMBER($H17))</formula>
    </cfRule>
  </conditionalFormatting>
  <conditionalFormatting sqref="A17:C36 J17:L36">
    <cfRule type="expression" dxfId="731" priority="202">
      <formula>AND($K17 &gt; 0, ISNUMBER($K17))</formula>
    </cfRule>
    <cfRule type="expression" dxfId="730" priority="203">
      <formula>AND($K17 = 0 * ISNUMBER($K17))</formula>
    </cfRule>
    <cfRule type="expression" dxfId="729" priority="204">
      <formula>AND($K17 &lt; 0, ISNUMBER($K17))</formula>
    </cfRule>
  </conditionalFormatting>
  <conditionalFormatting sqref="D15:F16 E37:F37">
    <cfRule type="expression" dxfId="728" priority="196">
      <formula>$E$37 &gt; 0</formula>
    </cfRule>
    <cfRule type="expression" dxfId="727" priority="197">
      <formula>$E$37 = 0</formula>
    </cfRule>
    <cfRule type="expression" dxfId="726" priority="198">
      <formula>$E$37 &lt; 0</formula>
    </cfRule>
  </conditionalFormatting>
  <conditionalFormatting sqref="G15:I16 H37:I37">
    <cfRule type="expression" dxfId="725" priority="193">
      <formula>$H$37 &gt; 0</formula>
    </cfRule>
    <cfRule type="expression" dxfId="724" priority="194">
      <formula>$H$37 = 0</formula>
    </cfRule>
    <cfRule type="expression" dxfId="723" priority="195">
      <formula>$H$37 &lt; 0</formula>
    </cfRule>
  </conditionalFormatting>
  <conditionalFormatting sqref="J15:L16 K37:L37">
    <cfRule type="expression" dxfId="722" priority="190">
      <formula>$K$37 &gt; 0</formula>
    </cfRule>
    <cfRule type="expression" dxfId="721" priority="191">
      <formula>$K$37 = 0</formula>
    </cfRule>
    <cfRule type="expression" dxfId="720" priority="192">
      <formula>$K$37 &lt; 0</formula>
    </cfRule>
  </conditionalFormatting>
  <conditionalFormatting sqref="M15:O16 N37:O37">
    <cfRule type="expression" dxfId="719" priority="187">
      <formula>$N$37 &gt; 0</formula>
    </cfRule>
    <cfRule type="expression" dxfId="718" priority="188">
      <formula>$N$37 = 0</formula>
    </cfRule>
    <cfRule type="expression" dxfId="717" priority="189">
      <formula>$N$37 &lt; 0</formula>
    </cfRule>
  </conditionalFormatting>
  <conditionalFormatting sqref="A44:C63 M44:O63">
    <cfRule type="expression" dxfId="716" priority="175">
      <formula>AND($N44 &gt; 0, ISNUMBER($N44))</formula>
    </cfRule>
    <cfRule type="expression" dxfId="715" priority="176">
      <formula>AND($N44 = 0 * ISNUMBER($N44))</formula>
    </cfRule>
    <cfRule type="expression" dxfId="714" priority="177">
      <formula>AND($N44 &lt; 0, ISNUMBER($N44))</formula>
    </cfRule>
  </conditionalFormatting>
  <conditionalFormatting sqref="A44:F63">
    <cfRule type="expression" dxfId="713" priority="184">
      <formula>AND($E44 &gt; 0, ISNUMBER($E44))</formula>
    </cfRule>
    <cfRule type="expression" dxfId="712" priority="185">
      <formula>AND($E44 = 0 * ISNUMBER($E44))</formula>
    </cfRule>
    <cfRule type="expression" dxfId="711" priority="186">
      <formula>AND($E44 &lt; 0, ISNUMBER($E44))</formula>
    </cfRule>
  </conditionalFormatting>
  <conditionalFormatting sqref="A44:C63 G44:I63">
    <cfRule type="expression" dxfId="710" priority="181">
      <formula>AND($H44 &gt; 0, ISNUMBER($H44))</formula>
    </cfRule>
    <cfRule type="expression" dxfId="709" priority="182">
      <formula>AND($H44 = 0 * ISNUMBER($H44))</formula>
    </cfRule>
    <cfRule type="expression" dxfId="708" priority="183">
      <formula>AND($H44 &lt; 0, ISNUMBER($H44))</formula>
    </cfRule>
  </conditionalFormatting>
  <conditionalFormatting sqref="A44:C63 J44:L63">
    <cfRule type="expression" dxfId="707" priority="178">
      <formula>AND($K44 &gt; 0, ISNUMBER($K44))</formula>
    </cfRule>
    <cfRule type="expression" dxfId="706" priority="179">
      <formula>AND($K44 = 0 * ISNUMBER($K44))</formula>
    </cfRule>
    <cfRule type="expression" dxfId="705" priority="180">
      <formula>AND($K44 &lt; 0, ISNUMBER($K44))</formula>
    </cfRule>
  </conditionalFormatting>
  <conditionalFormatting sqref="D42:F43 E64:F64">
    <cfRule type="expression" dxfId="704" priority="172">
      <formula>$E$64 &gt; 0</formula>
    </cfRule>
    <cfRule type="expression" dxfId="703" priority="173">
      <formula>$E$64 = 0</formula>
    </cfRule>
    <cfRule type="expression" dxfId="702" priority="174">
      <formula>$E$64 &lt; 0</formula>
    </cfRule>
  </conditionalFormatting>
  <conditionalFormatting sqref="G42:I43 H64:I64">
    <cfRule type="expression" dxfId="701" priority="169">
      <formula>$H$64 &gt; 0</formula>
    </cfRule>
    <cfRule type="expression" dxfId="700" priority="170">
      <formula>$H$64 = 0</formula>
    </cfRule>
    <cfRule type="expression" dxfId="699" priority="171">
      <formula>$H$64 &lt; 0</formula>
    </cfRule>
  </conditionalFormatting>
  <conditionalFormatting sqref="J42:L43 K64:L64">
    <cfRule type="expression" dxfId="698" priority="166">
      <formula>$K$64 &gt; 0</formula>
    </cfRule>
    <cfRule type="expression" dxfId="697" priority="167">
      <formula>$K$64 = 0</formula>
    </cfRule>
    <cfRule type="expression" dxfId="696" priority="168">
      <formula>$K$64 &lt; 0</formula>
    </cfRule>
  </conditionalFormatting>
  <conditionalFormatting sqref="M42:O43 N64:O64">
    <cfRule type="expression" dxfId="695" priority="163">
      <formula>$N$64 &gt; 0</formula>
    </cfRule>
    <cfRule type="expression" dxfId="694" priority="164">
      <formula>$N$64 = 0</formula>
    </cfRule>
    <cfRule type="expression" dxfId="693" priority="165">
      <formula>$N$64 &lt; 0</formula>
    </cfRule>
  </conditionalFormatting>
  <conditionalFormatting sqref="A71:C90 M71:O90">
    <cfRule type="expression" dxfId="692" priority="151">
      <formula>AND($N71 &gt; 0, ISNUMBER($N71))</formula>
    </cfRule>
    <cfRule type="expression" dxfId="691" priority="152">
      <formula>AND($N71 = 0 * ISNUMBER($N71))</formula>
    </cfRule>
    <cfRule type="expression" dxfId="690" priority="153">
      <formula>AND($N71 &lt; 0, ISNUMBER($N71))</formula>
    </cfRule>
  </conditionalFormatting>
  <conditionalFormatting sqref="A71:F90">
    <cfRule type="expression" dxfId="689" priority="160">
      <formula>AND($E71 &gt; 0, ISNUMBER($E71))</formula>
    </cfRule>
    <cfRule type="expression" dxfId="688" priority="161">
      <formula>AND($E71 = 0 * ISNUMBER($E71))</formula>
    </cfRule>
    <cfRule type="expression" dxfId="687" priority="162">
      <formula>AND($E71 &lt; 0, ISNUMBER($E71))</formula>
    </cfRule>
  </conditionalFormatting>
  <conditionalFormatting sqref="A71:C90 G71:I78 G81:I81 H79:I80 G83:I84 H82:I82 G86:I86 H85:I85 G90:I90 H87:I89">
    <cfRule type="expression" dxfId="686" priority="157">
      <formula>AND($H71 &gt; 0, ISNUMBER($H71))</formula>
    </cfRule>
    <cfRule type="expression" dxfId="685" priority="158">
      <formula>AND($H71 = 0 * ISNUMBER($H71))</formula>
    </cfRule>
    <cfRule type="expression" dxfId="684" priority="159">
      <formula>AND($H71 &lt; 0, ISNUMBER($H71))</formula>
    </cfRule>
  </conditionalFormatting>
  <conditionalFormatting sqref="A71:C90 J71:L90">
    <cfRule type="expression" dxfId="683" priority="154">
      <formula>AND($K71 &gt; 0, ISNUMBER($K71))</formula>
    </cfRule>
    <cfRule type="expression" dxfId="682" priority="155">
      <formula>AND($K71 = 0 * ISNUMBER($K71))</formula>
    </cfRule>
    <cfRule type="expression" dxfId="681" priority="156">
      <formula>AND($K71 &lt; 0, ISNUMBER($K71))</formula>
    </cfRule>
  </conditionalFormatting>
  <conditionalFormatting sqref="D69:F70 E91:F91">
    <cfRule type="expression" dxfId="680" priority="148">
      <formula>$E$91 &gt; 0</formula>
    </cfRule>
    <cfRule type="expression" dxfId="679" priority="149">
      <formula>$E$91 = 0</formula>
    </cfRule>
    <cfRule type="expression" dxfId="678" priority="150">
      <formula>$E$91 &lt; 0</formula>
    </cfRule>
  </conditionalFormatting>
  <conditionalFormatting sqref="G69:I70 H91:I91">
    <cfRule type="expression" dxfId="677" priority="145">
      <formula>$H$91 &gt; 0</formula>
    </cfRule>
    <cfRule type="expression" dxfId="676" priority="146">
      <formula>$H$91 = 0</formula>
    </cfRule>
    <cfRule type="expression" dxfId="675" priority="147">
      <formula>$H$91 &lt; 0</formula>
    </cfRule>
  </conditionalFormatting>
  <conditionalFormatting sqref="J69:L70 K91:L91">
    <cfRule type="expression" dxfId="674" priority="142">
      <formula>$K$91 &gt; 0</formula>
    </cfRule>
    <cfRule type="expression" dxfId="673" priority="143">
      <formula>$K$91 = 0</formula>
    </cfRule>
    <cfRule type="expression" dxfId="672" priority="144">
      <formula>$K$91 &lt; 0</formula>
    </cfRule>
  </conditionalFormatting>
  <conditionalFormatting sqref="M69:O70 N91:O91">
    <cfRule type="expression" dxfId="671" priority="139">
      <formula>$N$91 &gt; 0</formula>
    </cfRule>
    <cfRule type="expression" dxfId="670" priority="140">
      <formula>$N$91 = 0</formula>
    </cfRule>
    <cfRule type="expression" dxfId="669" priority="141">
      <formula>$N$91 &lt; 0</formula>
    </cfRule>
  </conditionalFormatting>
  <conditionalFormatting sqref="A98:C117 M98:O117">
    <cfRule type="expression" dxfId="668" priority="127">
      <formula>AND($N98 &gt; 0, ISNUMBER($N98))</formula>
    </cfRule>
    <cfRule type="expression" dxfId="667" priority="128">
      <formula>AND($N98 = 0 * ISNUMBER($N98))</formula>
    </cfRule>
    <cfRule type="expression" dxfId="666" priority="129">
      <formula>AND($N98 &lt; 0, ISNUMBER($N98))</formula>
    </cfRule>
  </conditionalFormatting>
  <conditionalFormatting sqref="A98:F117">
    <cfRule type="expression" dxfId="665" priority="136">
      <formula>AND($E98 &gt; 0, ISNUMBER($E98))</formula>
    </cfRule>
    <cfRule type="expression" dxfId="664" priority="137">
      <formula>AND($E98 = 0 * ISNUMBER($E98))</formula>
    </cfRule>
    <cfRule type="expression" dxfId="663" priority="138">
      <formula>AND($E98 &lt; 0, ISNUMBER($E98))</formula>
    </cfRule>
  </conditionalFormatting>
  <conditionalFormatting sqref="A98:C117 G99:I102 H98:I98 G106:I111 G114:I115 H112:I113 G117:I117 H116:I116 H103:I105">
    <cfRule type="expression" dxfId="662" priority="133">
      <formula>AND($H98 &gt; 0, ISNUMBER($H98))</formula>
    </cfRule>
    <cfRule type="expression" dxfId="661" priority="134">
      <formula>AND($H98 = 0 * ISNUMBER($H98))</formula>
    </cfRule>
    <cfRule type="expression" dxfId="660" priority="135">
      <formula>AND($H98 &lt; 0, ISNUMBER($H98))</formula>
    </cfRule>
  </conditionalFormatting>
  <conditionalFormatting sqref="A98:C117 J98:L117">
    <cfRule type="expression" dxfId="659" priority="130">
      <formula>AND($K98 &gt; 0, ISNUMBER($K98))</formula>
    </cfRule>
    <cfRule type="expression" dxfId="658" priority="131">
      <formula>AND($K98 = 0 * ISNUMBER($K98))</formula>
    </cfRule>
    <cfRule type="expression" dxfId="657" priority="132">
      <formula>AND($K98 &lt; 0, ISNUMBER($K98))</formula>
    </cfRule>
  </conditionalFormatting>
  <conditionalFormatting sqref="D96:F97 E118:F118">
    <cfRule type="expression" dxfId="656" priority="124">
      <formula>$E$118 &gt; 0</formula>
    </cfRule>
    <cfRule type="expression" dxfId="655" priority="125">
      <formula>$E$118 = 0</formula>
    </cfRule>
    <cfRule type="expression" dxfId="654" priority="126">
      <formula>$E$118 &lt; 0</formula>
    </cfRule>
  </conditionalFormatting>
  <conditionalFormatting sqref="G96:I97 H118:I118">
    <cfRule type="expression" dxfId="653" priority="121">
      <formula>$H$118 &gt; 0</formula>
    </cfRule>
    <cfRule type="expression" dxfId="652" priority="122">
      <formula>$H$118 = 0</formula>
    </cfRule>
    <cfRule type="expression" dxfId="651" priority="123">
      <formula>$H$118 &lt; 0</formula>
    </cfRule>
  </conditionalFormatting>
  <conditionalFormatting sqref="J96:L97 K118:L118">
    <cfRule type="expression" dxfId="650" priority="118">
      <formula>$K$118 &gt; 0</formula>
    </cfRule>
    <cfRule type="expression" dxfId="649" priority="119">
      <formula>$K$118 = 0</formula>
    </cfRule>
    <cfRule type="expression" dxfId="648" priority="120">
      <formula>$K$118 &lt; 0</formula>
    </cfRule>
  </conditionalFormatting>
  <conditionalFormatting sqref="M96:O97 N118:O118">
    <cfRule type="expression" dxfId="647" priority="115">
      <formula>$N$118 &gt; 0</formula>
    </cfRule>
    <cfRule type="expression" dxfId="646" priority="116">
      <formula>$N$118 = 0</formula>
    </cfRule>
    <cfRule type="expression" dxfId="645" priority="117">
      <formula>$N$118 &lt; 0</formula>
    </cfRule>
  </conditionalFormatting>
  <conditionalFormatting sqref="A125:C144 M125:O144">
    <cfRule type="expression" dxfId="644" priority="103">
      <formula>AND($N125 &gt; 0, ISNUMBER($N125))</formula>
    </cfRule>
    <cfRule type="expression" dxfId="643" priority="104">
      <formula>AND($N125 = 0 * ISNUMBER($N125))</formula>
    </cfRule>
    <cfRule type="expression" dxfId="642" priority="105">
      <formula>AND($N125 &lt; 0, ISNUMBER($N125))</formula>
    </cfRule>
  </conditionalFormatting>
  <conditionalFormatting sqref="A125:F144">
    <cfRule type="expression" dxfId="641" priority="112">
      <formula>AND($E125 &gt; 0, ISNUMBER($E125))</formula>
    </cfRule>
    <cfRule type="expression" dxfId="640" priority="113">
      <formula>AND($E125 = 0 * ISNUMBER($E125))</formula>
    </cfRule>
    <cfRule type="expression" dxfId="639" priority="114">
      <formula>AND($E125 &lt; 0, ISNUMBER($E125))</formula>
    </cfRule>
  </conditionalFormatting>
  <conditionalFormatting sqref="A125:C144 G125:I144">
    <cfRule type="expression" dxfId="638" priority="109">
      <formula>AND($H125 &gt; 0, ISNUMBER($H125))</formula>
    </cfRule>
    <cfRule type="expression" dxfId="637" priority="110">
      <formula>AND($H125 = 0 * ISNUMBER($H125))</formula>
    </cfRule>
    <cfRule type="expression" dxfId="636" priority="111">
      <formula>AND($H125 &lt; 0, ISNUMBER($H125))</formula>
    </cfRule>
  </conditionalFormatting>
  <conditionalFormatting sqref="A125:C144 J125:L144">
    <cfRule type="expression" dxfId="635" priority="106">
      <formula>AND($K125 &gt; 0, ISNUMBER($K125))</formula>
    </cfRule>
    <cfRule type="expression" dxfId="634" priority="107">
      <formula>AND($K125 = 0 * ISNUMBER($K125))</formula>
    </cfRule>
    <cfRule type="expression" dxfId="633" priority="108">
      <formula>AND($K125 &lt; 0, ISNUMBER($K125))</formula>
    </cfRule>
  </conditionalFormatting>
  <conditionalFormatting sqref="D123:F124 E145:F145">
    <cfRule type="expression" dxfId="632" priority="100">
      <formula>$E$145 &gt; 0</formula>
    </cfRule>
    <cfRule type="expression" dxfId="631" priority="101">
      <formula>$E$145 = 0</formula>
    </cfRule>
    <cfRule type="expression" dxfId="630" priority="102">
      <formula>$E$145 &lt; 0</formula>
    </cfRule>
  </conditionalFormatting>
  <conditionalFormatting sqref="G123:I124 H145:I145">
    <cfRule type="expression" dxfId="629" priority="97">
      <formula>$H$145 &gt; 0</formula>
    </cfRule>
    <cfRule type="expression" dxfId="628" priority="98">
      <formula>$H$145 = 0</formula>
    </cfRule>
    <cfRule type="expression" dxfId="627" priority="99">
      <formula>$H$145 &lt; 0</formula>
    </cfRule>
  </conditionalFormatting>
  <conditionalFormatting sqref="J123:L124 K145:L145">
    <cfRule type="expression" dxfId="626" priority="94">
      <formula>$K$145 &gt; 0</formula>
    </cfRule>
    <cfRule type="expression" dxfId="625" priority="95">
      <formula>$K$145 = 0</formula>
    </cfRule>
    <cfRule type="expression" dxfId="624" priority="96">
      <formula>$K$145 &lt; 0</formula>
    </cfRule>
  </conditionalFormatting>
  <conditionalFormatting sqref="M123:O124 N145:O145">
    <cfRule type="expression" dxfId="623" priority="91">
      <formula>$N$145 &gt; 0</formula>
    </cfRule>
    <cfRule type="expression" dxfId="622" priority="92">
      <formula>$N$145 = 0</formula>
    </cfRule>
    <cfRule type="expression" dxfId="621" priority="93">
      <formula>$N$145 &lt; 0</formula>
    </cfRule>
  </conditionalFormatting>
  <conditionalFormatting sqref="A152:C171 M152:O171">
    <cfRule type="expression" dxfId="620" priority="79">
      <formula>AND($N152 &gt; 0, ISNUMBER($N152))</formula>
    </cfRule>
    <cfRule type="expression" dxfId="619" priority="80">
      <formula>AND($N152 = 0 * ISNUMBER($N152))</formula>
    </cfRule>
    <cfRule type="expression" dxfId="618" priority="81">
      <formula>AND($N152 &lt; 0, ISNUMBER($N152))</formula>
    </cfRule>
  </conditionalFormatting>
  <conditionalFormatting sqref="A152:F171">
    <cfRule type="expression" dxfId="617" priority="88">
      <formula>AND($E152 &gt; 0, ISNUMBER($E152))</formula>
    </cfRule>
    <cfRule type="expression" dxfId="616" priority="89">
      <formula>AND($E152 = 0 * ISNUMBER($E152))</formula>
    </cfRule>
    <cfRule type="expression" dxfId="615" priority="90">
      <formula>AND($E152 &lt; 0, ISNUMBER($E152))</formula>
    </cfRule>
  </conditionalFormatting>
  <conditionalFormatting sqref="A152:C171 G152:I171">
    <cfRule type="expression" dxfId="614" priority="85">
      <formula>AND($H152 &gt; 0, ISNUMBER($H152))</formula>
    </cfRule>
    <cfRule type="expression" dxfId="613" priority="86">
      <formula>AND($H152 = 0 * ISNUMBER($H152))</formula>
    </cfRule>
    <cfRule type="expression" dxfId="612" priority="87">
      <formula>AND($H152 &lt; 0, ISNUMBER($H152))</formula>
    </cfRule>
  </conditionalFormatting>
  <conditionalFormatting sqref="A152:C171 J152:L171">
    <cfRule type="expression" dxfId="611" priority="82">
      <formula>AND($K152 &gt; 0, ISNUMBER($K152))</formula>
    </cfRule>
    <cfRule type="expression" dxfId="610" priority="83">
      <formula>AND($K152 = 0 * ISNUMBER($K152))</formula>
    </cfRule>
    <cfRule type="expression" dxfId="609" priority="84">
      <formula>AND($K152 &lt; 0, ISNUMBER($K152))</formula>
    </cfRule>
  </conditionalFormatting>
  <conditionalFormatting sqref="D150:F151 E172:F172">
    <cfRule type="expression" dxfId="608" priority="76">
      <formula>$E$172 &gt; 0</formula>
    </cfRule>
    <cfRule type="expression" dxfId="607" priority="77">
      <formula>$E$172 = 0</formula>
    </cfRule>
    <cfRule type="expression" dxfId="606" priority="78">
      <formula>$E$172 &lt; 0</formula>
    </cfRule>
  </conditionalFormatting>
  <conditionalFormatting sqref="G150:I151 H172:I172">
    <cfRule type="expression" dxfId="605" priority="73">
      <formula>$H$172 &gt; 0</formula>
    </cfRule>
    <cfRule type="expression" dxfId="604" priority="74">
      <formula>$H$172 = 0</formula>
    </cfRule>
    <cfRule type="expression" dxfId="603" priority="75">
      <formula>$H$172 &lt; 0</formula>
    </cfRule>
  </conditionalFormatting>
  <conditionalFormatting sqref="J150:L151 K172:L172">
    <cfRule type="expression" dxfId="602" priority="70">
      <formula>$K$172 &gt; 0</formula>
    </cfRule>
    <cfRule type="expression" dxfId="601" priority="71">
      <formula>$K$172 = 0</formula>
    </cfRule>
    <cfRule type="expression" dxfId="600" priority="72">
      <formula>$K$172 &lt; 0</formula>
    </cfRule>
  </conditionalFormatting>
  <conditionalFormatting sqref="M150:O151 N172:O172">
    <cfRule type="expression" dxfId="599" priority="67">
      <formula>$N$172 &gt; 0</formula>
    </cfRule>
    <cfRule type="expression" dxfId="598" priority="68">
      <formula>$N$172 = 0</formula>
    </cfRule>
    <cfRule type="expression" dxfId="597" priority="69">
      <formula>$N$172 &lt; 0</formula>
    </cfRule>
  </conditionalFormatting>
  <conditionalFormatting sqref="A179:C198 M179:O198">
    <cfRule type="expression" dxfId="596" priority="55">
      <formula>AND($N179 &gt; 0, ISNUMBER($N179))</formula>
    </cfRule>
    <cfRule type="expression" dxfId="595" priority="56">
      <formula>AND($N179 = 0 * ISNUMBER($N179))</formula>
    </cfRule>
    <cfRule type="expression" dxfId="594" priority="57">
      <formula>AND($N179 &lt; 0, ISNUMBER($N179))</formula>
    </cfRule>
  </conditionalFormatting>
  <conditionalFormatting sqref="A179:F198">
    <cfRule type="expression" dxfId="593" priority="64">
      <formula>AND($E179 &gt; 0, ISNUMBER($E179))</formula>
    </cfRule>
    <cfRule type="expression" dxfId="592" priority="65">
      <formula>AND($E179 = 0 * ISNUMBER($E179))</formula>
    </cfRule>
    <cfRule type="expression" dxfId="591" priority="66">
      <formula>AND($E179 &lt; 0, ISNUMBER($E179))</formula>
    </cfRule>
  </conditionalFormatting>
  <conditionalFormatting sqref="A179:C198 G179:I198">
    <cfRule type="expression" dxfId="590" priority="61">
      <formula>AND($H179 &gt; 0, ISNUMBER($H179))</formula>
    </cfRule>
    <cfRule type="expression" dxfId="589" priority="62">
      <formula>AND($H179 = 0 * ISNUMBER($H179))</formula>
    </cfRule>
    <cfRule type="expression" dxfId="588" priority="63">
      <formula>AND($H179 &lt; 0, ISNUMBER($H179))</formula>
    </cfRule>
  </conditionalFormatting>
  <conditionalFormatting sqref="A179:C198 J179:L198">
    <cfRule type="expression" dxfId="587" priority="58">
      <formula>AND($K179 &gt; 0, ISNUMBER($K179))</formula>
    </cfRule>
    <cfRule type="expression" dxfId="586" priority="59">
      <formula>AND($K179 = 0 * ISNUMBER($K179))</formula>
    </cfRule>
    <cfRule type="expression" dxfId="585" priority="60">
      <formula>AND($K179 &lt; 0, ISNUMBER($K179))</formula>
    </cfRule>
  </conditionalFormatting>
  <conditionalFormatting sqref="D177:F178 E199:F199">
    <cfRule type="expression" dxfId="584" priority="52">
      <formula>$E$199 &gt; 0</formula>
    </cfRule>
    <cfRule type="expression" dxfId="583" priority="53">
      <formula>$E$199 = 0</formula>
    </cfRule>
    <cfRule type="expression" dxfId="582" priority="54">
      <formula>$E$199 &lt; 0</formula>
    </cfRule>
  </conditionalFormatting>
  <conditionalFormatting sqref="G177:I178 H199:I199">
    <cfRule type="expression" dxfId="581" priority="49">
      <formula>$H$199 &gt; 0</formula>
    </cfRule>
    <cfRule type="expression" dxfId="580" priority="50">
      <formula>$H$199 = 0</formula>
    </cfRule>
    <cfRule type="expression" dxfId="579" priority="51">
      <formula>$H$199 &lt; 0</formula>
    </cfRule>
  </conditionalFormatting>
  <conditionalFormatting sqref="J177:L178 K199:L199">
    <cfRule type="expression" dxfId="578" priority="46">
      <formula>$K$199 &gt; 0</formula>
    </cfRule>
    <cfRule type="expression" dxfId="577" priority="47">
      <formula>$K$199 = 0</formula>
    </cfRule>
    <cfRule type="expression" dxfId="576" priority="48">
      <formula>$K$199 &lt; 0</formula>
    </cfRule>
  </conditionalFormatting>
  <conditionalFormatting sqref="M177:O178 N199:O199">
    <cfRule type="expression" dxfId="575" priority="43">
      <formula>$N$199 &gt; 0</formula>
    </cfRule>
    <cfRule type="expression" dxfId="574" priority="44">
      <formula>$N$199 = 0</formula>
    </cfRule>
    <cfRule type="expression" dxfId="573" priority="45">
      <formula>$N$199 &lt; 0</formula>
    </cfRule>
  </conditionalFormatting>
  <conditionalFormatting sqref="G79">
    <cfRule type="expression" dxfId="572" priority="40">
      <formula>AND($H79 &gt; 0, ISNUMBER($H79))</formula>
    </cfRule>
    <cfRule type="expression" dxfId="571" priority="41">
      <formula>AND($H79 = 0 * ISNUMBER($H79))</formula>
    </cfRule>
    <cfRule type="expression" dxfId="570" priority="42">
      <formula>AND($H79 &lt; 0, ISNUMBER($H79))</formula>
    </cfRule>
  </conditionalFormatting>
  <conditionalFormatting sqref="G80">
    <cfRule type="expression" dxfId="569" priority="37">
      <formula>AND($H80 &gt; 0, ISNUMBER($H80))</formula>
    </cfRule>
    <cfRule type="expression" dxfId="568" priority="38">
      <formula>AND($H80 = 0 * ISNUMBER($H80))</formula>
    </cfRule>
    <cfRule type="expression" dxfId="567" priority="39">
      <formula>AND($H80 &lt; 0, ISNUMBER($H80))</formula>
    </cfRule>
  </conditionalFormatting>
  <conditionalFormatting sqref="G82">
    <cfRule type="expression" dxfId="566" priority="34">
      <formula>AND($H82 &gt; 0, ISNUMBER($H82))</formula>
    </cfRule>
    <cfRule type="expression" dxfId="565" priority="35">
      <formula>AND($H82 = 0 * ISNUMBER($H82))</formula>
    </cfRule>
    <cfRule type="expression" dxfId="564" priority="36">
      <formula>AND($H82 &lt; 0, ISNUMBER($H82))</formula>
    </cfRule>
  </conditionalFormatting>
  <conditionalFormatting sqref="G85">
    <cfRule type="expression" dxfId="563" priority="31">
      <formula>AND($H85 &gt; 0, ISNUMBER($H85))</formula>
    </cfRule>
    <cfRule type="expression" dxfId="562" priority="32">
      <formula>AND($H85 = 0 * ISNUMBER($H85))</formula>
    </cfRule>
    <cfRule type="expression" dxfId="561" priority="33">
      <formula>AND($H85 &lt; 0, ISNUMBER($H85))</formula>
    </cfRule>
  </conditionalFormatting>
  <conditionalFormatting sqref="G87">
    <cfRule type="expression" dxfId="560" priority="28">
      <formula>AND($H87 &gt; 0, ISNUMBER($H87))</formula>
    </cfRule>
    <cfRule type="expression" dxfId="559" priority="29">
      <formula>AND($H87 = 0 * ISNUMBER($H87))</formula>
    </cfRule>
    <cfRule type="expression" dxfId="558" priority="30">
      <formula>AND($H87 &lt; 0, ISNUMBER($H87))</formula>
    </cfRule>
  </conditionalFormatting>
  <conditionalFormatting sqref="G88">
    <cfRule type="expression" dxfId="557" priority="25">
      <formula>AND($H88 &gt; 0, ISNUMBER($H88))</formula>
    </cfRule>
    <cfRule type="expression" dxfId="556" priority="26">
      <formula>AND($H88 = 0 * ISNUMBER($H88))</formula>
    </cfRule>
    <cfRule type="expression" dxfId="555" priority="27">
      <formula>AND($H88 &lt; 0, ISNUMBER($H88))</formula>
    </cfRule>
  </conditionalFormatting>
  <conditionalFormatting sqref="G89">
    <cfRule type="expression" dxfId="554" priority="22">
      <formula>AND($H89 &gt; 0, ISNUMBER($H89))</formula>
    </cfRule>
    <cfRule type="expression" dxfId="553" priority="23">
      <formula>AND($H89 = 0 * ISNUMBER($H89))</formula>
    </cfRule>
    <cfRule type="expression" dxfId="552" priority="24">
      <formula>AND($H89 &lt; 0, ISNUMBER($H89))</formula>
    </cfRule>
  </conditionalFormatting>
  <conditionalFormatting sqref="G98">
    <cfRule type="expression" dxfId="551" priority="19">
      <formula>AND($H98 &gt; 0, ISNUMBER($H98))</formula>
    </cfRule>
    <cfRule type="expression" dxfId="550" priority="20">
      <formula>AND($H98 = 0 * ISNUMBER($H98))</formula>
    </cfRule>
    <cfRule type="expression" dxfId="549" priority="21">
      <formula>AND($H98 &lt; 0, ISNUMBER($H98))</formula>
    </cfRule>
  </conditionalFormatting>
  <conditionalFormatting sqref="G103:G104">
    <cfRule type="expression" dxfId="548" priority="16">
      <formula>AND($H103 &gt; 0, ISNUMBER($H103))</formula>
    </cfRule>
    <cfRule type="expression" dxfId="547" priority="17">
      <formula>AND($H103 = 0 * ISNUMBER($H103))</formula>
    </cfRule>
    <cfRule type="expression" dxfId="546" priority="18">
      <formula>AND($H103 &lt; 0, ISNUMBER($H103))</formula>
    </cfRule>
  </conditionalFormatting>
  <conditionalFormatting sqref="G105">
    <cfRule type="expression" dxfId="545" priority="10">
      <formula>AND($H105 &gt; 0, ISNUMBER($H105))</formula>
    </cfRule>
    <cfRule type="expression" dxfId="544" priority="11">
      <formula>AND($H105 = 0 * ISNUMBER($H105))</formula>
    </cfRule>
    <cfRule type="expression" dxfId="543" priority="12">
      <formula>AND($H105 &lt; 0, ISNUMBER($H105))</formula>
    </cfRule>
  </conditionalFormatting>
  <conditionalFormatting sqref="G112">
    <cfRule type="expression" dxfId="542" priority="7">
      <formula>AND($H112 &gt; 0, ISNUMBER($H112))</formula>
    </cfRule>
    <cfRule type="expression" dxfId="541" priority="8">
      <formula>AND($H112 = 0 * ISNUMBER($H112))</formula>
    </cfRule>
    <cfRule type="expression" dxfId="540" priority="9">
      <formula>AND($H112 &lt; 0, ISNUMBER($H112))</formula>
    </cfRule>
  </conditionalFormatting>
  <conditionalFormatting sqref="G113">
    <cfRule type="expression" dxfId="539" priority="4">
      <formula>AND($H113 &gt; 0, ISNUMBER($H113))</formula>
    </cfRule>
    <cfRule type="expression" dxfId="538" priority="5">
      <formula>AND($H113 = 0 * ISNUMBER($H113))</formula>
    </cfRule>
    <cfRule type="expression" dxfId="537" priority="6">
      <formula>AND($H113 &lt; 0, ISNUMBER($H113))</formula>
    </cfRule>
  </conditionalFormatting>
  <conditionalFormatting sqref="G116">
    <cfRule type="expression" dxfId="536" priority="1">
      <formula>AND($H116 &gt; 0, ISNUMBER($H116))</formula>
    </cfRule>
    <cfRule type="expression" dxfId="535" priority="2">
      <formula>AND($H116 = 0 * ISNUMBER($H116))</formula>
    </cfRule>
    <cfRule type="expression" dxfId="534" priority="3">
      <formula>AND($H116 &lt; 0, ISNUMBER($H116))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19539-2CCE-44F8-AC63-D69F38779FC1}">
  <sheetPr codeName="Sheet1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18">
        <v>44420</v>
      </c>
      <c r="H1" s="219"/>
      <c r="I1" s="220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24" t="s">
        <v>46</v>
      </c>
      <c r="H2" s="225"/>
      <c r="I2" s="226"/>
      <c r="J2" s="1" t="s">
        <v>3</v>
      </c>
      <c r="K2" s="221" t="s">
        <v>320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27" t="s">
        <v>328</v>
      </c>
      <c r="C3" s="228"/>
      <c r="D3" s="228"/>
      <c r="E3" s="228"/>
      <c r="F3" s="229"/>
      <c r="G3" s="23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-98,224 KRW (-4.91%)</v>
      </c>
      <c r="H3" s="231"/>
      <c r="I3" s="232"/>
      <c r="J3" s="4" t="s">
        <v>7</v>
      </c>
      <c r="K3" s="227" t="s">
        <v>321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7" t="s">
        <v>16</v>
      </c>
      <c r="C4" s="228"/>
      <c r="D4" s="228"/>
      <c r="E4" s="228"/>
      <c r="F4" s="229"/>
      <c r="G4" s="224" t="s">
        <v>44</v>
      </c>
      <c r="H4" s="225"/>
      <c r="I4" s="226"/>
      <c r="J4" s="4" t="s">
        <v>11</v>
      </c>
      <c r="K4" s="227" t="s">
        <v>322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7" t="s">
        <v>319</v>
      </c>
      <c r="C5" s="228"/>
      <c r="D5" s="228"/>
      <c r="E5" s="228"/>
      <c r="F5" s="229"/>
      <c r="G5" s="23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-40,601 KRW (-2.26%)</v>
      </c>
      <c r="H5" s="231"/>
      <c r="I5" s="232"/>
      <c r="J5" s="4" t="s">
        <v>15</v>
      </c>
      <c r="K5" s="227" t="s">
        <v>323</v>
      </c>
      <c r="L5" s="228"/>
      <c r="M5" s="228"/>
      <c r="N5" s="228"/>
      <c r="O5" s="229"/>
    </row>
    <row r="6" spans="1:19">
      <c r="A6" s="118" t="s">
        <v>18</v>
      </c>
      <c r="B6" s="227"/>
      <c r="C6" s="228"/>
      <c r="D6" s="228"/>
      <c r="E6" s="228"/>
      <c r="F6" s="229"/>
      <c r="G6" s="224" t="s">
        <v>45</v>
      </c>
      <c r="H6" s="225"/>
      <c r="I6" s="226"/>
      <c r="J6" s="4" t="s">
        <v>18</v>
      </c>
      <c r="K6" s="227" t="s">
        <v>324</v>
      </c>
      <c r="L6" s="228"/>
      <c r="M6" s="228"/>
      <c r="N6" s="228"/>
      <c r="O6" s="229"/>
    </row>
    <row r="7" spans="1:19" ht="17.25" thickBot="1">
      <c r="A7" s="118" t="s">
        <v>21</v>
      </c>
      <c r="B7" s="227"/>
      <c r="C7" s="228"/>
      <c r="D7" s="228"/>
      <c r="E7" s="228"/>
      <c r="F7" s="229"/>
      <c r="G7" s="23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-112,197 KRW (-5.61%)</v>
      </c>
      <c r="H7" s="231"/>
      <c r="I7" s="232"/>
      <c r="J7" s="4" t="s">
        <v>21</v>
      </c>
      <c r="K7" s="227" t="s">
        <v>325</v>
      </c>
      <c r="L7" s="228"/>
      <c r="M7" s="228"/>
      <c r="N7" s="228"/>
      <c r="O7" s="229"/>
    </row>
    <row r="8" spans="1:19" ht="17.25" thickBot="1">
      <c r="A8" s="118" t="s">
        <v>24</v>
      </c>
      <c r="B8" s="227"/>
      <c r="C8" s="228"/>
      <c r="D8" s="228"/>
      <c r="E8" s="228"/>
      <c r="F8" s="229"/>
      <c r="G8" s="224" t="s">
        <v>255</v>
      </c>
      <c r="H8" s="225"/>
      <c r="I8" s="226"/>
      <c r="J8" s="4" t="s">
        <v>24</v>
      </c>
      <c r="K8" s="227"/>
      <c r="L8" s="228"/>
      <c r="M8" s="228"/>
      <c r="N8" s="228"/>
      <c r="O8" s="229"/>
      <c r="Q8" s="215" t="s">
        <v>27</v>
      </c>
      <c r="R8" s="217"/>
    </row>
    <row r="9" spans="1:19" ht="17.25" thickBot="1">
      <c r="A9" s="118" t="s">
        <v>28</v>
      </c>
      <c r="B9" s="227"/>
      <c r="C9" s="228"/>
      <c r="D9" s="228"/>
      <c r="E9" s="228"/>
      <c r="F9" s="229"/>
      <c r="G9" s="23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-86,064 KRW (-4.30%)</v>
      </c>
      <c r="H9" s="231"/>
      <c r="I9" s="232"/>
      <c r="J9" s="4" t="s">
        <v>28</v>
      </c>
      <c r="K9" s="227"/>
      <c r="L9" s="228"/>
      <c r="M9" s="228"/>
      <c r="N9" s="228"/>
      <c r="O9" s="229"/>
      <c r="Q9" s="2" t="s">
        <v>29</v>
      </c>
      <c r="R9" s="6">
        <v>10</v>
      </c>
    </row>
    <row r="10" spans="1:19">
      <c r="A10" s="118" t="s">
        <v>30</v>
      </c>
      <c r="B10" s="227"/>
      <c r="C10" s="228"/>
      <c r="D10" s="228"/>
      <c r="E10" s="228"/>
      <c r="F10" s="229"/>
      <c r="G10" s="224" t="s">
        <v>47</v>
      </c>
      <c r="H10" s="225"/>
      <c r="I10" s="226"/>
      <c r="J10" s="4" t="s">
        <v>30</v>
      </c>
      <c r="K10" s="227" t="s">
        <v>326</v>
      </c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1"/>
      <c r="I11" s="232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36"/>
      <c r="R13" s="236"/>
      <c r="S13" s="236"/>
    </row>
    <row r="14" spans="1:19" ht="17.25" customHeight="1" thickBot="1">
      <c r="A14" s="201" t="s">
        <v>35</v>
      </c>
      <c r="B14" s="215" t="s">
        <v>36</v>
      </c>
      <c r="C14" s="217"/>
      <c r="D14" s="215" t="s">
        <v>37</v>
      </c>
      <c r="E14" s="216"/>
      <c r="F14" s="217"/>
      <c r="G14" s="242">
        <f>_xlfn.IFNA(VLOOKUP(B14, 현재가테이블!$B$2:$D$200, 2, FALSE), "-")</f>
        <v>53976000</v>
      </c>
      <c r="H14" s="243"/>
      <c r="I14" s="244"/>
      <c r="J14" s="215" t="s">
        <v>38</v>
      </c>
      <c r="K14" s="216"/>
      <c r="L14" s="217"/>
      <c r="M14" s="245">
        <f>_xlfn.IFNA(VLOOKUP(B14, 현재가테이블!$B$2:$D$200, 3, FALSE), "-")</f>
        <v>-2.1216407400000001E-2</v>
      </c>
      <c r="N14" s="246"/>
      <c r="O14" s="247"/>
      <c r="Q14" s="236"/>
      <c r="R14" s="236"/>
      <c r="S14" s="236"/>
    </row>
    <row r="15" spans="1:19" ht="17.25" customHeight="1" thickBot="1">
      <c r="A15" s="280" t="s">
        <v>39</v>
      </c>
      <c r="B15" s="281" t="str">
        <f>TEXT($G$1, "[$-ko-KR]yyyy-mm-dd(ddd) ") &amp; "오전 00:00"</f>
        <v>2021-08-12(목) 오전 00:00</v>
      </c>
      <c r="C15" s="282"/>
      <c r="D15" s="238" t="str">
        <f>TEXT($G$1, "[$-ko-KR]yyyy-mm-dd(ddd) ") &amp; "오후 14:00"</f>
        <v>2021-08-12(목) 오후 14:00</v>
      </c>
      <c r="E15" s="239"/>
      <c r="F15" s="240"/>
      <c r="G15" s="238" t="str">
        <f>TEXT($G$1, "[$-ko-KR]yyyy-mm-dd(ddd) ") &amp; "오후 19:00"</f>
        <v>2021-08-12(목) 오후 19:00</v>
      </c>
      <c r="H15" s="239"/>
      <c r="I15" s="240"/>
      <c r="J15" s="238" t="str">
        <f>TEXT($G$1, "[$-ko-KR]yyyy-mm-dd(ddd) ") &amp; "오후 21:00"</f>
        <v>2021-08-12(목) 오후 21:00</v>
      </c>
      <c r="K15" s="239"/>
      <c r="L15" s="240"/>
      <c r="M15" s="238" t="str">
        <f>TEXT($G$1+1, "[$-ko-KR]yyyy-mm-dd(ddd) ") &amp; "오전 00:00"</f>
        <v>2021-08-13(금) 오전 00:00</v>
      </c>
      <c r="N15" s="239"/>
      <c r="O15" s="240"/>
      <c r="Q15" s="236"/>
      <c r="R15" s="236"/>
      <c r="S15" s="236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1"/>
      <c r="R16" s="241"/>
      <c r="S16" s="24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6"/>
      <c r="R17" s="236"/>
      <c r="S17" s="23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6"/>
      <c r="R18" s="236"/>
      <c r="S18" s="23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1"/>
      <c r="R19" s="241"/>
      <c r="S19" s="24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1"/>
      <c r="R20" s="241"/>
      <c r="S20" s="24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1"/>
      <c r="R21" s="241"/>
      <c r="S21" s="24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1"/>
      <c r="R22" s="241"/>
      <c r="S22" s="24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1"/>
      <c r="R23" s="241"/>
      <c r="S23" s="24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1"/>
      <c r="R24" s="241"/>
      <c r="S24" s="24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0"/>
      <c r="R26" s="251"/>
      <c r="S26" s="25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3"/>
      <c r="R27" s="254"/>
      <c r="S27" s="25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6"/>
      <c r="R28" s="257"/>
      <c r="S28" s="25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1"/>
      <c r="R29" s="241"/>
      <c r="S29" s="24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6"/>
      <c r="R30" s="236"/>
      <c r="S30" s="23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6"/>
      <c r="R31" s="236"/>
      <c r="S31" s="23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1"/>
      <c r="R32" s="241"/>
      <c r="S32" s="24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1"/>
      <c r="R33" s="241"/>
      <c r="S33" s="24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1"/>
      <c r="R34" s="241"/>
      <c r="S34" s="24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3"/>
      <c r="R35" s="264"/>
      <c r="S35" s="26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6"/>
      <c r="R36" s="267"/>
      <c r="S36" s="268"/>
    </row>
    <row r="37" spans="1:19" ht="17.25" customHeight="1" thickBot="1">
      <c r="A37" s="132" t="s">
        <v>42</v>
      </c>
      <c r="B37" s="274">
        <v>100000</v>
      </c>
      <c r="C37" s="27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9"/>
      <c r="R37" s="270"/>
      <c r="S37" s="27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36"/>
      <c r="R40" s="236"/>
      <c r="S40" s="236"/>
    </row>
    <row r="41" spans="1:19" ht="17.25" customHeight="1" thickBot="1">
      <c r="A41" s="201" t="s">
        <v>267</v>
      </c>
      <c r="B41" s="215" t="s">
        <v>49</v>
      </c>
      <c r="C41" s="217"/>
      <c r="D41" s="215" t="s">
        <v>58</v>
      </c>
      <c r="E41" s="216"/>
      <c r="F41" s="217"/>
      <c r="G41" s="242">
        <f>_xlfn.IFNA(VLOOKUP(B41, 현재가테이블!$B$2:$D$200, 2, FALSE), "-")</f>
        <v>53976000</v>
      </c>
      <c r="H41" s="243"/>
      <c r="I41" s="244"/>
      <c r="J41" s="215" t="s">
        <v>59</v>
      </c>
      <c r="K41" s="216"/>
      <c r="L41" s="217"/>
      <c r="M41" s="245">
        <f>_xlfn.IFNA(VLOOKUP(B41, 현재가테이블!$B$2:$D$200, 3, FALSE), "-")</f>
        <v>-2.1216407400000001E-2</v>
      </c>
      <c r="N41" s="246"/>
      <c r="O41" s="247"/>
      <c r="Q41" s="236"/>
      <c r="R41" s="236"/>
      <c r="S41" s="236"/>
    </row>
    <row r="42" spans="1:19" ht="17.25" customHeight="1" thickBot="1">
      <c r="A42" s="276" t="s">
        <v>55</v>
      </c>
      <c r="B42" s="278" t="str">
        <f>TEXT($G$1, "[$-ko-KR]yyyy-mm-dd(ddd) ") &amp; "오전 00:00"</f>
        <v>2021-08-12(목) 오전 00:00</v>
      </c>
      <c r="C42" s="279"/>
      <c r="D42" s="238" t="str">
        <f>TEXT($G$1, "[$-ko-KR]yyyy-mm-dd(ddd) ") &amp; "오후 14:00"</f>
        <v>2021-08-12(목) 오후 14:00</v>
      </c>
      <c r="E42" s="239"/>
      <c r="F42" s="240"/>
      <c r="G42" s="238" t="str">
        <f>TEXT($G$1, "[$-ko-KR]yyyy-mm-dd(ddd) ") &amp; "오후 19:00"</f>
        <v>2021-08-12(목) 오후 19:00</v>
      </c>
      <c r="H42" s="239"/>
      <c r="I42" s="240"/>
      <c r="J42" s="238" t="str">
        <f>TEXT($G$1, "[$-ko-KR]yyyy-mm-dd(ddd) ") &amp; "오후 21:00"</f>
        <v>2021-08-12(목) 오후 21:00</v>
      </c>
      <c r="K42" s="239"/>
      <c r="L42" s="240"/>
      <c r="M42" s="238" t="str">
        <f>TEXT($G$1+1, "[$-ko-KR]yyyy-mm-dd(ddd) ") &amp; "오전 00:00"</f>
        <v>2021-08-13(금) 오전 00:00</v>
      </c>
      <c r="N42" s="239"/>
      <c r="O42" s="240"/>
      <c r="Q42" s="236"/>
      <c r="R42" s="236"/>
      <c r="S42" s="236"/>
    </row>
    <row r="43" spans="1:19" ht="17.25" customHeight="1" thickBot="1">
      <c r="A43" s="27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1"/>
      <c r="R43" s="241"/>
      <c r="S43" s="241"/>
    </row>
    <row r="44" spans="1:19" ht="17.25" customHeight="1" thickBot="1">
      <c r="A44" s="123" t="s">
        <v>98</v>
      </c>
      <c r="B44" s="124">
        <v>5.26</v>
      </c>
      <c r="C44" s="76">
        <v>0.17937219730000001</v>
      </c>
      <c r="D44" s="13">
        <v>5.44</v>
      </c>
      <c r="E44" s="14">
        <f>IF(ISNUMBER(D44), (D44 - $B44) / $B44, "")</f>
        <v>3.4220532319391754E-2</v>
      </c>
      <c r="F44" s="16">
        <f>IF(ISNUMBER(D44), $B64 * E44, "")</f>
        <v>3422.0532319391755</v>
      </c>
      <c r="G44" s="29">
        <v>5.32</v>
      </c>
      <c r="H44" s="14">
        <f>IF(ISNUMBER(G44), (G44 - $B44) / $B44, "")</f>
        <v>1.1406844106463974E-2</v>
      </c>
      <c r="I44" s="100">
        <f>IF(ISNUMBER(G44), $B64 * H44, "")</f>
        <v>1140.6844106463975</v>
      </c>
      <c r="J44" s="13">
        <v>5.26</v>
      </c>
      <c r="K44" s="14">
        <f>IF(ISNUMBER(J44), (J44 - $B44) / $B44, "")</f>
        <v>0</v>
      </c>
      <c r="L44" s="16">
        <f>IF(ISNUMBER(J44), $B64 * K44, "")</f>
        <v>0</v>
      </c>
      <c r="M44" s="29">
        <v>5.2</v>
      </c>
      <c r="N44" s="14">
        <f>IF(ISNUMBER(M44), (M44 - $B44) / $B44, "")</f>
        <v>-1.1406844106463804E-2</v>
      </c>
      <c r="O44" s="16">
        <f>IF(ISNUMBER(M44), $B64 * N44, "")</f>
        <v>-1140.6844106463805</v>
      </c>
      <c r="Q44" s="236"/>
      <c r="R44" s="236"/>
      <c r="S44" s="236"/>
    </row>
    <row r="45" spans="1:19" ht="17.25" customHeight="1" thickBot="1">
      <c r="A45" s="125" t="s">
        <v>152</v>
      </c>
      <c r="B45" s="126">
        <v>97.1</v>
      </c>
      <c r="C45" s="77">
        <v>0.1330221704</v>
      </c>
      <c r="D45" s="15">
        <v>101</v>
      </c>
      <c r="E45" s="32">
        <f t="shared" ref="E45:E48" si="14">IF(ISNUMBER(D45), (D45 - $B45) / $B45, "")</f>
        <v>4.0164778578784817E-2</v>
      </c>
      <c r="F45" s="18">
        <f>IF(ISNUMBER(D45), $B64 * E45, "")</f>
        <v>4016.4778578784817</v>
      </c>
      <c r="G45" s="31">
        <v>99</v>
      </c>
      <c r="H45" s="32">
        <f t="shared" ref="H45:H48" si="15">IF(ISNUMBER(G45), (G45 - $B45) / $B45, "")</f>
        <v>1.9567456230690072E-2</v>
      </c>
      <c r="I45" s="101">
        <f>IF(ISNUMBER(G45), $B64 * H45, "")</f>
        <v>1956.7456230690073</v>
      </c>
      <c r="J45" s="15">
        <v>98</v>
      </c>
      <c r="K45" s="32">
        <f t="shared" ref="K45:K48" si="16">IF(ISNUMBER(J45), (J45 - $B45) / $B45, "")</f>
        <v>9.2687950566426956E-3</v>
      </c>
      <c r="L45" s="18">
        <f>IF(ISNUMBER(J45), $B64 * K45, "")</f>
        <v>926.87950566426957</v>
      </c>
      <c r="M45" s="31">
        <v>96.4</v>
      </c>
      <c r="N45" s="32">
        <f t="shared" ref="N45:N48" si="17">IF(ISNUMBER(M45), (M45 - $B45) / $B45, "")</f>
        <v>-7.2090628218330448E-3</v>
      </c>
      <c r="O45" s="18">
        <f>IF(ISNUMBER(M45), $B64 * N45, "")</f>
        <v>-720.90628218330448</v>
      </c>
      <c r="Q45" s="236"/>
      <c r="R45" s="236"/>
      <c r="S45" s="236"/>
    </row>
    <row r="46" spans="1:19" ht="17.25" customHeight="1" thickBot="1">
      <c r="A46" s="125" t="s">
        <v>148</v>
      </c>
      <c r="B46" s="126">
        <v>21.6</v>
      </c>
      <c r="C46" s="77">
        <v>9.0909090900000003E-2</v>
      </c>
      <c r="D46" s="15">
        <v>21.3</v>
      </c>
      <c r="E46" s="32">
        <f t="shared" si="14"/>
        <v>-1.3888888888888921E-2</v>
      </c>
      <c r="F46" s="18">
        <f>IF(ISNUMBER(D46), $B64 * E46, "")</f>
        <v>-1388.8888888888921</v>
      </c>
      <c r="G46" s="31">
        <v>20.7</v>
      </c>
      <c r="H46" s="32">
        <f t="shared" si="15"/>
        <v>-4.1666666666666761E-2</v>
      </c>
      <c r="I46" s="101">
        <f>IF(ISNUMBER(G46), $B64 * H46, "")</f>
        <v>-4166.6666666666761</v>
      </c>
      <c r="J46" s="15">
        <v>20.5</v>
      </c>
      <c r="K46" s="32">
        <f t="shared" si="16"/>
        <v>-5.0925925925925986E-2</v>
      </c>
      <c r="L46" s="18">
        <f>IF(ISNUMBER(J46), $B64 * K46, "")</f>
        <v>-5092.5925925925985</v>
      </c>
      <c r="M46" s="31">
        <v>20.3</v>
      </c>
      <c r="N46" s="32">
        <f t="shared" si="17"/>
        <v>-6.0185185185185217E-2</v>
      </c>
      <c r="O46" s="18">
        <f>IF(ISNUMBER(M46), $B64 * N46, "")</f>
        <v>-6018.5185185185219</v>
      </c>
      <c r="Q46" s="241"/>
      <c r="R46" s="241"/>
      <c r="S46" s="241"/>
    </row>
    <row r="47" spans="1:19" ht="17.25" customHeight="1" thickBot="1">
      <c r="A47" s="125" t="s">
        <v>250</v>
      </c>
      <c r="B47" s="126">
        <v>77.5</v>
      </c>
      <c r="C47" s="77">
        <v>8.5434173700000005E-2</v>
      </c>
      <c r="D47" s="15">
        <v>80.599999999999994</v>
      </c>
      <c r="E47" s="32">
        <f t="shared" si="14"/>
        <v>3.9999999999999925E-2</v>
      </c>
      <c r="F47" s="18">
        <f>IF(ISNUMBER(D47), $B64 * E47, "")</f>
        <v>3999.9999999999923</v>
      </c>
      <c r="G47" s="31">
        <v>79.2</v>
      </c>
      <c r="H47" s="32">
        <f t="shared" si="15"/>
        <v>2.1935483870967779E-2</v>
      </c>
      <c r="I47" s="101">
        <f>IF(ISNUMBER(G47), $B64 * H47, "")</f>
        <v>2193.5483870967778</v>
      </c>
      <c r="J47" s="15">
        <v>77.8</v>
      </c>
      <c r="K47" s="32">
        <f t="shared" si="16"/>
        <v>3.870967741935447E-3</v>
      </c>
      <c r="L47" s="18">
        <f>IF(ISNUMBER(J47), $B64 * K47, "")</f>
        <v>387.09677419354472</v>
      </c>
      <c r="M47" s="31">
        <v>75.400000000000006</v>
      </c>
      <c r="N47" s="32">
        <f t="shared" si="17"/>
        <v>-2.7096774193548313E-2</v>
      </c>
      <c r="O47" s="18">
        <f>IF(ISNUMBER(M47), $B64 * N47, "")</f>
        <v>-2709.6774193548313</v>
      </c>
      <c r="Q47" s="241"/>
      <c r="R47" s="241"/>
      <c r="S47" s="241"/>
    </row>
    <row r="48" spans="1:19" ht="17.25" customHeight="1" thickBot="1">
      <c r="A48" s="127" t="s">
        <v>202</v>
      </c>
      <c r="B48" s="128">
        <v>96.6</v>
      </c>
      <c r="C48" s="78">
        <v>5.8050383400000002E-2</v>
      </c>
      <c r="D48" s="20">
        <v>101</v>
      </c>
      <c r="E48" s="21">
        <f t="shared" si="14"/>
        <v>4.5548654244306479E-2</v>
      </c>
      <c r="F48" s="22">
        <f>IF(ISNUMBER(D48), $B64 * E48, "")</f>
        <v>4554.8654244306481</v>
      </c>
      <c r="G48" s="30">
        <v>98.2</v>
      </c>
      <c r="H48" s="21">
        <f t="shared" si="15"/>
        <v>1.6563146997929695E-2</v>
      </c>
      <c r="I48" s="105">
        <f>IF(ISNUMBER(G48), $B64 * H48, "")</f>
        <v>1656.3146997929693</v>
      </c>
      <c r="J48" s="20">
        <v>97.2</v>
      </c>
      <c r="K48" s="21">
        <f t="shared" si="16"/>
        <v>6.2111801242236914E-3</v>
      </c>
      <c r="L48" s="22">
        <f>IF(ISNUMBER(J48), $B64 * K48, "")</f>
        <v>621.11801242236913</v>
      </c>
      <c r="M48" s="30">
        <v>95.9</v>
      </c>
      <c r="N48" s="21">
        <f t="shared" si="17"/>
        <v>-7.2463768115940859E-3</v>
      </c>
      <c r="O48" s="22">
        <f>IF(ISNUMBER(M48), $B64 * N48, "")</f>
        <v>-724.63768115940854</v>
      </c>
      <c r="Q48" s="241"/>
      <c r="R48" s="241"/>
      <c r="S48" s="241"/>
    </row>
    <row r="49" spans="1:19" ht="17.25" customHeight="1" thickBot="1">
      <c r="A49" s="125" t="s">
        <v>65</v>
      </c>
      <c r="B49" s="129">
        <v>35.6</v>
      </c>
      <c r="C49" s="80">
        <v>5.6379822000000003E-2</v>
      </c>
      <c r="D49" s="106">
        <v>35.799999999999997</v>
      </c>
      <c r="E49" s="107">
        <f>IF(ISNUMBER(D49), (D49 - $B49) / $B49, "")</f>
        <v>5.6179775280897678E-3</v>
      </c>
      <c r="F49" s="108">
        <f>IF(ISNUMBER(D49), $B64 * E49, "")</f>
        <v>561.79775280897672</v>
      </c>
      <c r="G49" s="109">
        <v>35</v>
      </c>
      <c r="H49" s="107">
        <f>IF(ISNUMBER(G49), (G49 - $B49) / $B49, "")</f>
        <v>-1.6853932584269701E-2</v>
      </c>
      <c r="I49" s="110">
        <f>IF(ISNUMBER(G49), $B64 * H49, "")</f>
        <v>-1685.3932584269701</v>
      </c>
      <c r="J49" s="106">
        <v>34.5</v>
      </c>
      <c r="K49" s="107">
        <f>IF(ISNUMBER(J49), (J49 - $B49) / $B49, "")</f>
        <v>-3.0898876404494419E-2</v>
      </c>
      <c r="L49" s="108">
        <f>IF(ISNUMBER(J49), $B64 * K49, "")</f>
        <v>-3089.8876404494417</v>
      </c>
      <c r="M49" s="109">
        <v>34.1</v>
      </c>
      <c r="N49" s="107">
        <f>IF(ISNUMBER(M49), (M49 - $B49) / $B49, "")</f>
        <v>-4.2134831460674156E-2</v>
      </c>
      <c r="O49" s="108">
        <f>IF(ISNUMBER(M49), $B64 * N49, "")</f>
        <v>-4213.4831460674159</v>
      </c>
      <c r="Q49" s="241"/>
      <c r="R49" s="241"/>
      <c r="S49" s="241"/>
    </row>
    <row r="50" spans="1:19" ht="17.25" customHeight="1" thickBot="1">
      <c r="A50" s="125" t="s">
        <v>122</v>
      </c>
      <c r="B50" s="126">
        <v>32.700000000000003</v>
      </c>
      <c r="C50" s="77">
        <v>5.4838709700000002E-2</v>
      </c>
      <c r="D50" s="15">
        <v>34.4</v>
      </c>
      <c r="E50" s="32">
        <f t="shared" ref="E50:E53" si="18">IF(ISNUMBER(D50), (D50 - $B50) / $B50, "")</f>
        <v>5.1987767584097726E-2</v>
      </c>
      <c r="F50" s="18">
        <f>IF(ISNUMBER(D50), $B64 * E50, "")</f>
        <v>5198.7767584097728</v>
      </c>
      <c r="G50" s="31">
        <v>33.6</v>
      </c>
      <c r="H50" s="32">
        <f t="shared" ref="H50:H53" si="19">IF(ISNUMBER(G50), (G50 - $B50) / $B50, "")</f>
        <v>2.7522935779816467E-2</v>
      </c>
      <c r="I50" s="101">
        <f>IF(ISNUMBER(G50), $B64 * H50, "")</f>
        <v>2752.2935779816466</v>
      </c>
      <c r="J50" s="15">
        <v>33.1</v>
      </c>
      <c r="K50" s="32">
        <f t="shared" ref="K50:K53" si="20">IF(ISNUMBER(J50), (J50 - $B50) / $B50, "")</f>
        <v>1.2232415902140628E-2</v>
      </c>
      <c r="L50" s="18">
        <f>IF(ISNUMBER(J50), $B64 * K50, "")</f>
        <v>1223.2415902140629</v>
      </c>
      <c r="M50" s="31">
        <v>32.6</v>
      </c>
      <c r="N50" s="32">
        <f t="shared" ref="N50:N53" si="21">IF(ISNUMBER(M50), (M50 - $B50) / $B50, "")</f>
        <v>-3.0581039755352116E-3</v>
      </c>
      <c r="O50" s="18">
        <f>IF(ISNUMBER(M50), $B64 * N50, "")</f>
        <v>-305.81039755352117</v>
      </c>
      <c r="Q50" s="241"/>
      <c r="R50" s="241"/>
      <c r="S50" s="241"/>
    </row>
    <row r="51" spans="1:19" ht="17.25" customHeight="1" thickBot="1">
      <c r="A51" s="125" t="s">
        <v>208</v>
      </c>
      <c r="B51" s="126">
        <v>14.2</v>
      </c>
      <c r="C51" s="77">
        <v>5.1851851900000002E-2</v>
      </c>
      <c r="D51" s="15">
        <v>14.5</v>
      </c>
      <c r="E51" s="32">
        <f t="shared" si="18"/>
        <v>2.1126760563380333E-2</v>
      </c>
      <c r="F51" s="18">
        <f>IF(ISNUMBER(D51), $B64 * E51, "")</f>
        <v>2112.6760563380335</v>
      </c>
      <c r="G51" s="31">
        <v>14.4</v>
      </c>
      <c r="H51" s="32">
        <f t="shared" si="19"/>
        <v>1.4084507042253596E-2</v>
      </c>
      <c r="I51" s="101">
        <f>IF(ISNUMBER(G51), $B64 * H51, "")</f>
        <v>1408.4507042253597</v>
      </c>
      <c r="J51" s="15">
        <v>14.1</v>
      </c>
      <c r="K51" s="32">
        <f t="shared" si="20"/>
        <v>-7.0422535211267356E-3</v>
      </c>
      <c r="L51" s="18">
        <f>IF(ISNUMBER(J51), $B64 * K51, "")</f>
        <v>-704.22535211267359</v>
      </c>
      <c r="M51" s="31">
        <v>13.8</v>
      </c>
      <c r="N51" s="32">
        <f t="shared" si="21"/>
        <v>-2.8169014084506942E-2</v>
      </c>
      <c r="O51" s="18">
        <f>IF(ISNUMBER(M51), $B64 * N51, "")</f>
        <v>-2816.9014084506944</v>
      </c>
      <c r="Q51" s="241"/>
      <c r="R51" s="241"/>
      <c r="S51" s="241"/>
    </row>
    <row r="52" spans="1:19" ht="17.25" customHeight="1" thickBot="1">
      <c r="A52" s="125" t="s">
        <v>188</v>
      </c>
      <c r="B52" s="126">
        <v>13.2</v>
      </c>
      <c r="C52" s="77">
        <v>4.7619047599999999E-2</v>
      </c>
      <c r="D52" s="15">
        <v>13.1</v>
      </c>
      <c r="E52" s="32">
        <f t="shared" si="18"/>
        <v>-7.5757575757575491E-3</v>
      </c>
      <c r="F52" s="18">
        <f>IF(ISNUMBER(D52), $B64 * E52, "")</f>
        <v>-757.57575757575489</v>
      </c>
      <c r="G52" s="31">
        <v>13</v>
      </c>
      <c r="H52" s="32">
        <f t="shared" si="19"/>
        <v>-1.5151515151515098E-2</v>
      </c>
      <c r="I52" s="101">
        <f>IF(ISNUMBER(G52), $B64 * H52, "")</f>
        <v>-1515.1515151515098</v>
      </c>
      <c r="J52" s="15">
        <v>12.7</v>
      </c>
      <c r="K52" s="32">
        <f t="shared" si="20"/>
        <v>-3.787878787878788E-2</v>
      </c>
      <c r="L52" s="18">
        <f>IF(ISNUMBER(J52), $B64 * K52, "")</f>
        <v>-3787.878787878788</v>
      </c>
      <c r="M52" s="31">
        <v>12.6</v>
      </c>
      <c r="N52" s="32">
        <f t="shared" si="21"/>
        <v>-4.5454545454545428E-2</v>
      </c>
      <c r="O52" s="18">
        <f>IF(ISNUMBER(M52), $B64 * N52, "")</f>
        <v>-4545.4545454545432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4.6728972000000001E-2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</v>
      </c>
      <c r="H53" s="25">
        <f t="shared" si="19"/>
        <v>-1.7857142857142794E-2</v>
      </c>
      <c r="I53" s="103">
        <f>IF(ISNUMBER(G53), $B64 * H53, "")</f>
        <v>-1785.7142857142794</v>
      </c>
      <c r="J53" s="24">
        <v>10.8</v>
      </c>
      <c r="K53" s="25">
        <f t="shared" si="20"/>
        <v>-3.5714285714285587E-2</v>
      </c>
      <c r="L53" s="104">
        <f>IF(ISNUMBER(J53), $B64 * K53, "")</f>
        <v>-3571.4285714285588</v>
      </c>
      <c r="M53" s="102">
        <v>10.6</v>
      </c>
      <c r="N53" s="25">
        <f t="shared" si="21"/>
        <v>-5.3571428571428541E-2</v>
      </c>
      <c r="O53" s="104">
        <f>IF(ISNUMBER(M53), $B64 * N53, "")</f>
        <v>-5357.1428571428542</v>
      </c>
      <c r="Q53" s="250"/>
      <c r="R53" s="251"/>
      <c r="S53" s="252"/>
    </row>
    <row r="54" spans="1:19" ht="17.25" customHeight="1">
      <c r="A54" s="123" t="s">
        <v>234</v>
      </c>
      <c r="B54" s="124">
        <v>73.8</v>
      </c>
      <c r="C54" s="76">
        <v>3.7974683500000002E-2</v>
      </c>
      <c r="D54" s="13">
        <v>75.900000000000006</v>
      </c>
      <c r="E54" s="14">
        <f>IF(ISNUMBER(D54), (D54 - $B54) / $B54, "")</f>
        <v>2.8455284552845645E-2</v>
      </c>
      <c r="F54" s="16">
        <f>IF(ISNUMBER(D54), $B64 * E54, "")</f>
        <v>2845.5284552845646</v>
      </c>
      <c r="G54" s="29">
        <v>73.8</v>
      </c>
      <c r="H54" s="14">
        <f>IF(ISNUMBER(G54), (G54 - $B54) / $B54, "")</f>
        <v>0</v>
      </c>
      <c r="I54" s="100">
        <f>IF(ISNUMBER(G54), $B64 * H54, "")</f>
        <v>0</v>
      </c>
      <c r="J54" s="13">
        <v>72.5</v>
      </c>
      <c r="K54" s="14">
        <f>IF(ISNUMBER(J54), (J54 - $B54) / $B54, "")</f>
        <v>-1.7615176151761478E-2</v>
      </c>
      <c r="L54" s="16">
        <f>IF(ISNUMBER(J54), $B64 * K54, "")</f>
        <v>-1761.5176151761477</v>
      </c>
      <c r="M54" s="29">
        <v>70.900000000000006</v>
      </c>
      <c r="N54" s="14">
        <f>IF(ISNUMBER(M54), (M54 - $B54) / $B54, "")</f>
        <v>-3.9295392953929427E-2</v>
      </c>
      <c r="O54" s="16">
        <f>IF(ISNUMBER(M54), $B64 * N54, "")</f>
        <v>-3929.5392953929427</v>
      </c>
      <c r="Q54" s="253"/>
      <c r="R54" s="254"/>
      <c r="S54" s="255"/>
    </row>
    <row r="55" spans="1:19" ht="17.25" customHeight="1" thickBot="1">
      <c r="A55" s="125" t="s">
        <v>204</v>
      </c>
      <c r="B55" s="126">
        <v>14.6</v>
      </c>
      <c r="C55" s="77">
        <v>3.5460992900000002E-2</v>
      </c>
      <c r="D55" s="15">
        <v>15.3</v>
      </c>
      <c r="E55" s="32">
        <f t="shared" ref="E55:E58" si="22">IF(ISNUMBER(D55), (D55 - $B55) / $B55, "")</f>
        <v>4.7945205479452128E-2</v>
      </c>
      <c r="F55" s="18">
        <f>IF(ISNUMBER(D55), $B64 * E55, "")</f>
        <v>4794.5205479452125</v>
      </c>
      <c r="G55" s="31">
        <v>14.7</v>
      </c>
      <c r="H55" s="32">
        <f t="shared" ref="H55:H58" si="23">IF(ISNUMBER(G55), (G55 - $B55) / $B55, "")</f>
        <v>6.8493150684931269E-3</v>
      </c>
      <c r="I55" s="101">
        <f>IF(ISNUMBER(G55), $B64 * H55, "")</f>
        <v>684.93150684931265</v>
      </c>
      <c r="J55" s="15">
        <v>14.2</v>
      </c>
      <c r="K55" s="32">
        <f t="shared" ref="K55:K58" si="24">IF(ISNUMBER(J55), (J55 - $B55) / $B55, "")</f>
        <v>-2.7397260273972629E-2</v>
      </c>
      <c r="L55" s="18">
        <f>IF(ISNUMBER(J55), $B64 * K55, "")</f>
        <v>-2739.7260273972629</v>
      </c>
      <c r="M55" s="31">
        <v>14.3</v>
      </c>
      <c r="N55" s="32">
        <f t="shared" ref="N55:N58" si="25">IF(ISNUMBER(M55), (M55 - $B55) / $B55, "")</f>
        <v>-2.0547945205479378E-2</v>
      </c>
      <c r="O55" s="18">
        <f>IF(ISNUMBER(M55), $B64 * N55, "")</f>
        <v>-2054.7945205479377</v>
      </c>
      <c r="Q55" s="256"/>
      <c r="R55" s="257"/>
      <c r="S55" s="258"/>
    </row>
    <row r="56" spans="1:19" ht="17.25" customHeight="1" thickBot="1">
      <c r="A56" s="125" t="s">
        <v>72</v>
      </c>
      <c r="B56" s="126">
        <v>23.5</v>
      </c>
      <c r="C56" s="77">
        <v>3.5242290699999998E-2</v>
      </c>
      <c r="D56" s="15">
        <v>24.6</v>
      </c>
      <c r="E56" s="32">
        <f t="shared" si="22"/>
        <v>4.6808510638297933E-2</v>
      </c>
      <c r="F56" s="18">
        <f>IF(ISNUMBER(D56), $B64 * E56, "")</f>
        <v>4680.851063829793</v>
      </c>
      <c r="G56" s="31">
        <v>23.7</v>
      </c>
      <c r="H56" s="32">
        <f t="shared" si="23"/>
        <v>8.5106382978723093E-3</v>
      </c>
      <c r="I56" s="101">
        <f>IF(ISNUMBER(G56), $B64 * H56, "")</f>
        <v>851.06382978723093</v>
      </c>
      <c r="J56" s="15">
        <v>23.2</v>
      </c>
      <c r="K56" s="32">
        <f t="shared" si="24"/>
        <v>-1.2765957446808541E-2</v>
      </c>
      <c r="L56" s="18">
        <f>IF(ISNUMBER(J56), $B64 * K56, "")</f>
        <v>-1276.5957446808541</v>
      </c>
      <c r="M56" s="31">
        <v>23</v>
      </c>
      <c r="N56" s="32">
        <f t="shared" si="25"/>
        <v>-2.1276595744680851E-2</v>
      </c>
      <c r="O56" s="18">
        <f>IF(ISNUMBER(M56), $B64 * N56, "")</f>
        <v>-2127.6595744680849</v>
      </c>
      <c r="Q56" s="241"/>
      <c r="R56" s="241"/>
      <c r="S56" s="241"/>
    </row>
    <row r="57" spans="1:19" ht="17.25" customHeight="1" thickBot="1">
      <c r="A57" s="125" t="s">
        <v>190</v>
      </c>
      <c r="B57" s="126">
        <v>18</v>
      </c>
      <c r="C57" s="77">
        <v>3.4482758600000003E-2</v>
      </c>
      <c r="D57" s="15">
        <v>19</v>
      </c>
      <c r="E57" s="32">
        <f t="shared" si="22"/>
        <v>5.5555555555555552E-2</v>
      </c>
      <c r="F57" s="18">
        <f>IF(ISNUMBER(D57), $B64 * E57, "")</f>
        <v>5555.5555555555557</v>
      </c>
      <c r="G57" s="31">
        <v>18.899999999999999</v>
      </c>
      <c r="H57" s="32">
        <f t="shared" si="23"/>
        <v>4.999999999999992E-2</v>
      </c>
      <c r="I57" s="101">
        <f>IF(ISNUMBER(G57), $B64 * H57, "")</f>
        <v>4999.9999999999918</v>
      </c>
      <c r="J57" s="15">
        <v>18.399999999999999</v>
      </c>
      <c r="K57" s="32">
        <f t="shared" si="24"/>
        <v>2.2222222222222143E-2</v>
      </c>
      <c r="L57" s="18">
        <f>IF(ISNUMBER(J57), $B64 * K57, "")</f>
        <v>2222.2222222222144</v>
      </c>
      <c r="M57" s="31">
        <v>18.5</v>
      </c>
      <c r="N57" s="32">
        <f t="shared" si="25"/>
        <v>2.7777777777777776E-2</v>
      </c>
      <c r="O57" s="18">
        <f>IF(ISNUMBER(M57), $B64 * N57, "")</f>
        <v>2777.7777777777778</v>
      </c>
      <c r="Q57" s="236"/>
      <c r="R57" s="236"/>
      <c r="S57" s="236"/>
    </row>
    <row r="58" spans="1:19" ht="17.25" customHeight="1" thickBot="1">
      <c r="A58" s="127" t="s">
        <v>150</v>
      </c>
      <c r="B58" s="128">
        <v>13.3</v>
      </c>
      <c r="C58" s="78">
        <v>3.1007751900000002E-2</v>
      </c>
      <c r="D58" s="20">
        <v>13.4</v>
      </c>
      <c r="E58" s="21">
        <f t="shared" si="22"/>
        <v>7.5187969924811757E-3</v>
      </c>
      <c r="F58" s="22">
        <f>IF(ISNUMBER(D58), $B64 * E58, "")</f>
        <v>751.87969924811762</v>
      </c>
      <c r="G58" s="30">
        <v>13</v>
      </c>
      <c r="H58" s="21">
        <f t="shared" si="23"/>
        <v>-2.255639097744366E-2</v>
      </c>
      <c r="I58" s="105">
        <f>IF(ISNUMBER(G58), $B64 * H58, "")</f>
        <v>-2255.6390977443662</v>
      </c>
      <c r="J58" s="20">
        <v>12.8</v>
      </c>
      <c r="K58" s="21">
        <f t="shared" si="24"/>
        <v>-3.7593984962406013E-2</v>
      </c>
      <c r="L58" s="22">
        <f>IF(ISNUMBER(J58), $B64 * K58, "")</f>
        <v>-3759.3984962406012</v>
      </c>
      <c r="M58" s="30">
        <v>12.7</v>
      </c>
      <c r="N58" s="21">
        <f t="shared" si="25"/>
        <v>-4.511278195488732E-2</v>
      </c>
      <c r="O58" s="22">
        <f>IF(ISNUMBER(M58), $B64 * N58, "")</f>
        <v>-4511.2781954887323</v>
      </c>
      <c r="Q58" s="236"/>
      <c r="R58" s="236"/>
      <c r="S58" s="236"/>
    </row>
    <row r="59" spans="1:19" ht="17.25" customHeight="1" thickBot="1">
      <c r="A59" s="125" t="s">
        <v>178</v>
      </c>
      <c r="B59" s="129">
        <v>17.3</v>
      </c>
      <c r="C59" s="80">
        <v>2.9761904799999999E-2</v>
      </c>
      <c r="D59" s="106">
        <v>17.399999999999999</v>
      </c>
      <c r="E59" s="107">
        <f>IF(ISNUMBER(D59), (D59 - $B59) / $B59, "")</f>
        <v>5.7803468208091251E-3</v>
      </c>
      <c r="F59" s="108">
        <f>IF(ISNUMBER(D59), $B64 * E59, "")</f>
        <v>578.03468208091249</v>
      </c>
      <c r="G59" s="109">
        <v>16.899999999999999</v>
      </c>
      <c r="H59" s="107">
        <f>IF(ISNUMBER(G59), (G59 - $B59) / $B59, "")</f>
        <v>-2.3121387283237118E-2</v>
      </c>
      <c r="I59" s="110">
        <f>IF(ISNUMBER(G59), $B64 * H59, "")</f>
        <v>-2312.1387283237118</v>
      </c>
      <c r="J59" s="106">
        <v>16.7</v>
      </c>
      <c r="K59" s="107">
        <f>IF(ISNUMBER(J59), (J59 - $B59) / $B59, "")</f>
        <v>-3.4682080924855571E-2</v>
      </c>
      <c r="L59" s="108">
        <f>IF(ISNUMBER(J59), $B64 * K59, "")</f>
        <v>-3468.2080924855572</v>
      </c>
      <c r="M59" s="109">
        <v>16.3</v>
      </c>
      <c r="N59" s="107">
        <f>IF(ISNUMBER(M59), (M59 - $B59) / $B59, "")</f>
        <v>-5.7803468208092484E-2</v>
      </c>
      <c r="O59" s="108">
        <f>IF(ISNUMBER(M59), $B64 * N59, "")</f>
        <v>-5780.3468208092481</v>
      </c>
      <c r="Q59" s="241"/>
      <c r="R59" s="241"/>
      <c r="S59" s="241"/>
    </row>
    <row r="60" spans="1:19" ht="17.25" customHeight="1" thickBot="1">
      <c r="A60" s="125" t="s">
        <v>210</v>
      </c>
      <c r="B60" s="126">
        <v>12.3</v>
      </c>
      <c r="C60" s="77">
        <v>2.5000000000000001E-2</v>
      </c>
      <c r="D60" s="15">
        <v>12.5</v>
      </c>
      <c r="E60" s="32">
        <f t="shared" ref="E60:E63" si="26">IF(ISNUMBER(D60), (D60 - $B60) / $B60, "")</f>
        <v>1.6260162601625959E-2</v>
      </c>
      <c r="F60" s="18">
        <f>IF(ISNUMBER(D60), $B64 * E60, "")</f>
        <v>1626.0162601625959</v>
      </c>
      <c r="G60" s="31">
        <v>12.2</v>
      </c>
      <c r="H60" s="32">
        <f t="shared" ref="H60:H63" si="27">IF(ISNUMBER(G60), (G60 - $B60) / $B60, "")</f>
        <v>-8.1300813008131235E-3</v>
      </c>
      <c r="I60" s="101">
        <f>IF(ISNUMBER(G60), $B64 * H60, "")</f>
        <v>-813.0081300813124</v>
      </c>
      <c r="J60" s="15">
        <v>12.2</v>
      </c>
      <c r="K60" s="32">
        <f t="shared" ref="K60:K63" si="28">IF(ISNUMBER(J60), (J60 - $B60) / $B60, "")</f>
        <v>-8.1300813008131235E-3</v>
      </c>
      <c r="L60" s="18">
        <f>IF(ISNUMBER(J60), $B64 * K60, "")</f>
        <v>-813.0081300813124</v>
      </c>
      <c r="M60" s="31">
        <v>12</v>
      </c>
      <c r="N60" s="32">
        <f t="shared" ref="N60:N63" si="29">IF(ISNUMBER(M60), (M60 - $B60) / $B60, "")</f>
        <v>-2.4390243902439081E-2</v>
      </c>
      <c r="O60" s="18">
        <f>IF(ISNUMBER(M60), $B64 * N60, "")</f>
        <v>-2439.0243902439079</v>
      </c>
      <c r="Q60" s="241"/>
      <c r="R60" s="241"/>
      <c r="S60" s="241"/>
    </row>
    <row r="61" spans="1:19" ht="17.25" customHeight="1" thickBot="1">
      <c r="A61" s="125" t="s">
        <v>240</v>
      </c>
      <c r="B61" s="126">
        <v>69.8</v>
      </c>
      <c r="C61" s="77">
        <v>2.1961932699999999E-2</v>
      </c>
      <c r="D61" s="15">
        <v>77.3</v>
      </c>
      <c r="E61" s="32">
        <f t="shared" si="26"/>
        <v>0.10744985673352436</v>
      </c>
      <c r="F61" s="18">
        <f>IF(ISNUMBER(D61), $B64 * E61, "")</f>
        <v>10744.985673352436</v>
      </c>
      <c r="G61" s="31">
        <v>76</v>
      </c>
      <c r="H61" s="32">
        <f t="shared" si="27"/>
        <v>8.8825214899713512E-2</v>
      </c>
      <c r="I61" s="101">
        <f>IF(ISNUMBER(G61), $B64 * H61, "")</f>
        <v>8882.5214899713519</v>
      </c>
      <c r="J61" s="15">
        <v>75</v>
      </c>
      <c r="K61" s="32">
        <f t="shared" si="28"/>
        <v>7.4498567335243598E-2</v>
      </c>
      <c r="L61" s="18">
        <f>IF(ISNUMBER(J61), $B64 * K61, "")</f>
        <v>7449.8567335243597</v>
      </c>
      <c r="M61" s="31">
        <v>74</v>
      </c>
      <c r="N61" s="32">
        <f t="shared" si="29"/>
        <v>6.0171919770773685E-2</v>
      </c>
      <c r="O61" s="18">
        <f>IF(ISNUMBER(M61), $B64 * N61, "")</f>
        <v>6017.1919770773684</v>
      </c>
      <c r="Q61" s="241"/>
      <c r="R61" s="241"/>
      <c r="S61" s="24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63"/>
      <c r="R62" s="264"/>
      <c r="S62" s="26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6"/>
      <c r="R63" s="267"/>
      <c r="S63" s="268"/>
    </row>
    <row r="64" spans="1:19" ht="17.25" customHeight="1" thickBot="1">
      <c r="A64" s="132" t="s">
        <v>270</v>
      </c>
      <c r="B64" s="274">
        <f>$B$37</f>
        <v>100000</v>
      </c>
      <c r="C64" s="275"/>
      <c r="D64" s="26" t="s">
        <v>271</v>
      </c>
      <c r="E64" s="27">
        <f>IF(COUNT(E44:E63), SUM(E44:E63) / COUNT(E44:E63), 0)</f>
        <v>3.0105784175364875E-2</v>
      </c>
      <c r="F64" s="28">
        <f>SUM(F44:F63)</f>
        <v>54190.411515656771</v>
      </c>
      <c r="G64" s="26" t="s">
        <v>271</v>
      </c>
      <c r="H64" s="27">
        <f>IF(COUNT(H44:H63), SUM(H44:H63) / COUNT(H44:H63), 0)</f>
        <v>6.6626903040617885E-3</v>
      </c>
      <c r="I64" s="28">
        <f>SUM(I44:I63)</f>
        <v>11992.842547311218</v>
      </c>
      <c r="J64" s="26" t="s">
        <v>271</v>
      </c>
      <c r="K64" s="27">
        <f>IF(COUNT(K44:K63), SUM(K44:K63) / COUNT(K44:K63), 0)</f>
        <v>-9.5744734512683196E-3</v>
      </c>
      <c r="L64" s="28">
        <f>SUM(L44:L63)</f>
        <v>-17234.052212282972</v>
      </c>
      <c r="M64" s="26" t="s">
        <v>271</v>
      </c>
      <c r="N64" s="27">
        <f>IF(COUNT(N44:N63), SUM(N44:N63) / COUNT(N44:N63), 0)</f>
        <v>-2.2556049838126216E-2</v>
      </c>
      <c r="O64" s="28">
        <f>SUM(O44:O63)</f>
        <v>-40600.889708627183</v>
      </c>
      <c r="Q64" s="269"/>
      <c r="R64" s="270"/>
      <c r="S64" s="27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36"/>
      <c r="R67" s="236"/>
      <c r="S67" s="236"/>
    </row>
    <row r="68" spans="1:19" ht="17.25" thickBot="1">
      <c r="A68" s="201" t="s">
        <v>267</v>
      </c>
      <c r="B68" s="215" t="s">
        <v>49</v>
      </c>
      <c r="C68" s="217"/>
      <c r="D68" s="215" t="s">
        <v>58</v>
      </c>
      <c r="E68" s="216"/>
      <c r="F68" s="217"/>
      <c r="G68" s="242">
        <f>_xlfn.IFNA(VLOOKUP(B68, 현재가테이블!$B$2:$D$200, 2, FALSE), "-")</f>
        <v>53976000</v>
      </c>
      <c r="H68" s="243"/>
      <c r="I68" s="244"/>
      <c r="J68" s="215" t="s">
        <v>59</v>
      </c>
      <c r="K68" s="216"/>
      <c r="L68" s="217"/>
      <c r="M68" s="245">
        <f>_xlfn.IFNA(VLOOKUP(B68, 현재가테이블!$B$2:$D$200, 3, FALSE), "-")</f>
        <v>-2.1216407400000001E-2</v>
      </c>
      <c r="N68" s="246"/>
      <c r="O68" s="247"/>
      <c r="Q68" s="236"/>
      <c r="R68" s="236"/>
      <c r="S68" s="236"/>
    </row>
    <row r="69" spans="1:19" ht="17.25" thickBot="1">
      <c r="A69" s="276" t="s">
        <v>55</v>
      </c>
      <c r="B69" s="278" t="str">
        <f>TEXT($G$1, "[$-ko-KR]yyyy-mm-dd(ddd) ") &amp; "오전 00:00"</f>
        <v>2021-08-12(목) 오전 00:00</v>
      </c>
      <c r="C69" s="279"/>
      <c r="D69" s="238" t="str">
        <f>TEXT($G$1, "[$-ko-KR]yyyy-mm-dd(ddd) ") &amp; "오후 14:00"</f>
        <v>2021-08-12(목) 오후 14:00</v>
      </c>
      <c r="E69" s="239"/>
      <c r="F69" s="240"/>
      <c r="G69" s="238" t="str">
        <f>TEXT($G$1, "[$-ko-KR]yyyy-mm-dd(ddd) ") &amp; "오후 19:00"</f>
        <v>2021-08-12(목) 오후 19:00</v>
      </c>
      <c r="H69" s="239"/>
      <c r="I69" s="240"/>
      <c r="J69" s="238" t="str">
        <f>TEXT($G$1, "[$-ko-KR]yyyy-mm-dd(ddd) ") &amp; "오후 21:00"</f>
        <v>2021-08-12(목) 오후 21:00</v>
      </c>
      <c r="K69" s="239"/>
      <c r="L69" s="240"/>
      <c r="M69" s="238" t="str">
        <f>TEXT($G$1+1, "[$-ko-KR]yyyy-mm-dd(ddd) ") &amp; "오전 00:00"</f>
        <v>2021-08-13(금) 오전 00:00</v>
      </c>
      <c r="N69" s="239"/>
      <c r="O69" s="240"/>
      <c r="Q69" s="236"/>
      <c r="R69" s="236"/>
      <c r="S69" s="236"/>
    </row>
    <row r="70" spans="1:19" ht="17.25" thickBot="1">
      <c r="A70" s="27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1"/>
      <c r="R70" s="241"/>
      <c r="S70" s="241"/>
    </row>
    <row r="71" spans="1:19" ht="17.25" thickBot="1">
      <c r="A71" s="123" t="s">
        <v>162</v>
      </c>
      <c r="B71" s="124">
        <v>117</v>
      </c>
      <c r="C71" s="76">
        <v>0.14705882349999999</v>
      </c>
      <c r="D71" s="13">
        <v>111</v>
      </c>
      <c r="E71" s="14">
        <f>IF(ISNUMBER(D71), (D71 - $B71) / $B71, "")</f>
        <v>-5.128205128205128E-2</v>
      </c>
      <c r="F71" s="16">
        <f>IF(ISNUMBER(D71), $B91 * E71, "")</f>
        <v>-5128.2051282051279</v>
      </c>
      <c r="G71" s="29">
        <v>107</v>
      </c>
      <c r="H71" s="14">
        <f>IF(ISNUMBER(G71), (G71 - $B71) / $B71, "")</f>
        <v>-8.5470085470085472E-2</v>
      </c>
      <c r="I71" s="100">
        <f>IF(ISNUMBER(G71), $B91 * H71, "")</f>
        <v>-8547.0085470085469</v>
      </c>
      <c r="J71" s="13">
        <v>105</v>
      </c>
      <c r="K71" s="14">
        <f>IF(ISNUMBER(J71), (J71 - $B71) / $B71, "")</f>
        <v>-0.10256410256410256</v>
      </c>
      <c r="L71" s="16">
        <f>IF(ISNUMBER(J71), $B91 * K71, "")</f>
        <v>-10256.410256410256</v>
      </c>
      <c r="M71" s="29">
        <v>105</v>
      </c>
      <c r="N71" s="14">
        <f>IF(ISNUMBER(M71), (M71 - $B71) / $B71, "")</f>
        <v>-0.10256410256410256</v>
      </c>
      <c r="O71" s="16">
        <f>IF(ISNUMBER(M71), $B91 * N71, "")</f>
        <v>-10256.410256410256</v>
      </c>
      <c r="Q71" s="236"/>
      <c r="R71" s="236"/>
      <c r="S71" s="236"/>
    </row>
    <row r="72" spans="1:19" ht="17.25" thickBot="1">
      <c r="A72" s="125" t="s">
        <v>124</v>
      </c>
      <c r="B72" s="126">
        <v>393</v>
      </c>
      <c r="C72" s="77">
        <v>9.7765363100000002E-2</v>
      </c>
      <c r="D72" s="15">
        <v>378</v>
      </c>
      <c r="E72" s="32">
        <f t="shared" ref="E72:E75" si="30">IF(ISNUMBER(D72), (D72 - $B72) / $B72, "")</f>
        <v>-3.8167938931297711E-2</v>
      </c>
      <c r="F72" s="18">
        <f>IF(ISNUMBER(D72), $B91 * E72, "")</f>
        <v>-3816.7938931297713</v>
      </c>
      <c r="G72" s="31">
        <v>367</v>
      </c>
      <c r="H72" s="32">
        <f t="shared" ref="H72:H75" si="31">IF(ISNUMBER(G72), (G72 - $B72) / $B72, "")</f>
        <v>-6.6157760814249358E-2</v>
      </c>
      <c r="I72" s="101">
        <f>IF(ISNUMBER(G72), $B91 * H72, "")</f>
        <v>-6615.7760814249359</v>
      </c>
      <c r="J72" s="15">
        <v>361</v>
      </c>
      <c r="K72" s="32">
        <f t="shared" ref="K72:K75" si="32">IF(ISNUMBER(J72), (J72 - $B72) / $B72, "")</f>
        <v>-8.1424936386768454E-2</v>
      </c>
      <c r="L72" s="18">
        <f>IF(ISNUMBER(J72), $B91 * K72, "")</f>
        <v>-8142.493638676845</v>
      </c>
      <c r="M72" s="31">
        <v>356</v>
      </c>
      <c r="N72" s="32">
        <f t="shared" ref="N72:N75" si="33">IF(ISNUMBER(M72), (M72 - $B72) / $B72, "")</f>
        <v>-9.4147582697201013E-2</v>
      </c>
      <c r="O72" s="18">
        <f>IF(ISNUMBER(M72), $B91 * N72, "")</f>
        <v>-9414.7582697201015</v>
      </c>
      <c r="Q72" s="236"/>
      <c r="R72" s="236"/>
      <c r="S72" s="236"/>
    </row>
    <row r="73" spans="1:19" ht="17.25" thickBot="1">
      <c r="A73" s="125" t="s">
        <v>128</v>
      </c>
      <c r="B73" s="126">
        <v>133</v>
      </c>
      <c r="C73" s="77">
        <v>9.0163934400000006E-2</v>
      </c>
      <c r="D73" s="15">
        <v>132</v>
      </c>
      <c r="E73" s="32">
        <f t="shared" si="30"/>
        <v>-7.5187969924812026E-3</v>
      </c>
      <c r="F73" s="18">
        <f>IF(ISNUMBER(D73), $B91 * E73, "")</f>
        <v>-751.87969924812023</v>
      </c>
      <c r="G73" s="31">
        <v>129</v>
      </c>
      <c r="H73" s="32">
        <f t="shared" si="31"/>
        <v>-3.007518796992481E-2</v>
      </c>
      <c r="I73" s="101">
        <f>IF(ISNUMBER(G73), $B91 * H73, "")</f>
        <v>-3007.5187969924809</v>
      </c>
      <c r="J73" s="15">
        <v>126</v>
      </c>
      <c r="K73" s="32">
        <f t="shared" si="32"/>
        <v>-5.2631578947368418E-2</v>
      </c>
      <c r="L73" s="18">
        <f>IF(ISNUMBER(J73), $B91 * K73, "")</f>
        <v>-5263.1578947368416</v>
      </c>
      <c r="M73" s="31">
        <v>124</v>
      </c>
      <c r="N73" s="32">
        <f t="shared" si="33"/>
        <v>-6.7669172932330823E-2</v>
      </c>
      <c r="O73" s="18">
        <f>IF(ISNUMBER(M73), $B91 * N73, "")</f>
        <v>-6766.9172932330821</v>
      </c>
      <c r="Q73" s="241"/>
      <c r="R73" s="241"/>
      <c r="S73" s="241"/>
    </row>
    <row r="74" spans="1:19" ht="17.25" thickBot="1">
      <c r="A74" s="125" t="s">
        <v>130</v>
      </c>
      <c r="B74" s="126">
        <v>113</v>
      </c>
      <c r="C74" s="77">
        <v>7.6190476199999996E-2</v>
      </c>
      <c r="D74" s="15">
        <v>112</v>
      </c>
      <c r="E74" s="32">
        <f t="shared" si="30"/>
        <v>-8.8495575221238937E-3</v>
      </c>
      <c r="F74" s="18">
        <f>IF(ISNUMBER(D74), $B91 * E74, "")</f>
        <v>-884.95575221238937</v>
      </c>
      <c r="G74" s="31">
        <v>108</v>
      </c>
      <c r="H74" s="32">
        <f t="shared" si="31"/>
        <v>-4.4247787610619468E-2</v>
      </c>
      <c r="I74" s="101">
        <f>IF(ISNUMBER(G74), $B91 * H74, "")</f>
        <v>-4424.7787610619471</v>
      </c>
      <c r="J74" s="15">
        <v>106</v>
      </c>
      <c r="K74" s="32">
        <f t="shared" si="32"/>
        <v>-6.1946902654867256E-2</v>
      </c>
      <c r="L74" s="18">
        <f>IF(ISNUMBER(J74), $B91 * K74, "")</f>
        <v>-6194.6902654867254</v>
      </c>
      <c r="M74" s="31">
        <v>106</v>
      </c>
      <c r="N74" s="32">
        <f t="shared" si="33"/>
        <v>-6.1946902654867256E-2</v>
      </c>
      <c r="O74" s="18">
        <f>IF(ISNUMBER(M74), $B91 * N74, "")</f>
        <v>-6194.6902654867254</v>
      </c>
      <c r="Q74" s="241"/>
      <c r="R74" s="241"/>
      <c r="S74" s="241"/>
    </row>
    <row r="75" spans="1:19" ht="17.25" thickBot="1">
      <c r="A75" s="127" t="s">
        <v>266</v>
      </c>
      <c r="B75" s="128">
        <v>316</v>
      </c>
      <c r="C75" s="78">
        <v>7.1186440700000006E-2</v>
      </c>
      <c r="D75" s="20">
        <v>325</v>
      </c>
      <c r="E75" s="21">
        <f t="shared" si="30"/>
        <v>2.8481012658227847E-2</v>
      </c>
      <c r="F75" s="22">
        <f>IF(ISNUMBER(D75), $B91 * E75, "")</f>
        <v>2848.1012658227846</v>
      </c>
      <c r="G75" s="30">
        <v>312</v>
      </c>
      <c r="H75" s="21">
        <f t="shared" si="31"/>
        <v>-1.2658227848101266E-2</v>
      </c>
      <c r="I75" s="105">
        <f>IF(ISNUMBER(G75), $B91 * H75, "")</f>
        <v>-1265.8227848101264</v>
      </c>
      <c r="J75" s="20">
        <v>310</v>
      </c>
      <c r="K75" s="21">
        <f t="shared" si="32"/>
        <v>-1.8987341772151899E-2</v>
      </c>
      <c r="L75" s="22">
        <f>IF(ISNUMBER(J75), $B91 * K75, "")</f>
        <v>-1898.7341772151899</v>
      </c>
      <c r="M75" s="30">
        <v>306</v>
      </c>
      <c r="N75" s="21">
        <f t="shared" si="33"/>
        <v>-3.1645569620253167E-2</v>
      </c>
      <c r="O75" s="22">
        <f>IF(ISNUMBER(M75), $B91 * N75, "")</f>
        <v>-3164.5569620253168</v>
      </c>
      <c r="Q75" s="241"/>
      <c r="R75" s="241"/>
      <c r="S75" s="241"/>
    </row>
    <row r="76" spans="1:19" ht="17.25" thickBot="1">
      <c r="A76" s="125" t="s">
        <v>51</v>
      </c>
      <c r="B76" s="129">
        <v>381</v>
      </c>
      <c r="C76" s="80">
        <v>7.0224719099999999E-2</v>
      </c>
      <c r="D76" s="106">
        <v>396</v>
      </c>
      <c r="E76" s="107">
        <f>IF(ISNUMBER(D76), (D76 - $B76) / $B76, "")</f>
        <v>3.937007874015748E-2</v>
      </c>
      <c r="F76" s="108">
        <f>IF(ISNUMBER(D76), $B91 * E76, "")</f>
        <v>3937.0078740157478</v>
      </c>
      <c r="G76" s="109">
        <v>386</v>
      </c>
      <c r="H76" s="107">
        <f>IF(ISNUMBER(G76), (G76 - $B76) / $B76, "")</f>
        <v>1.3123359580052493E-2</v>
      </c>
      <c r="I76" s="110">
        <f>IF(ISNUMBER(G76), $B91 * H76, "")</f>
        <v>1312.3359580052493</v>
      </c>
      <c r="J76" s="106">
        <v>379</v>
      </c>
      <c r="K76" s="107">
        <f>IF(ISNUMBER(J76), (J76 - $B76) / $B76, "")</f>
        <v>-5.2493438320209973E-3</v>
      </c>
      <c r="L76" s="108">
        <f>IF(ISNUMBER(J76), $B91 * K76, "")</f>
        <v>-524.93438320209975</v>
      </c>
      <c r="M76" s="109">
        <v>379</v>
      </c>
      <c r="N76" s="107">
        <f>IF(ISNUMBER(M76), (M76 - $B76) / $B76, "")</f>
        <v>-5.2493438320209973E-3</v>
      </c>
      <c r="O76" s="108">
        <f>IF(ISNUMBER(M76), $B91 * N76, "")</f>
        <v>-524.93438320209975</v>
      </c>
      <c r="Q76" s="241"/>
      <c r="R76" s="241"/>
      <c r="S76" s="241"/>
    </row>
    <row r="77" spans="1:19" ht="17.25" thickBot="1">
      <c r="A77" s="125" t="s">
        <v>144</v>
      </c>
      <c r="B77" s="126">
        <v>117</v>
      </c>
      <c r="C77" s="77">
        <v>6.3636363599999995E-2</v>
      </c>
      <c r="D77" s="15">
        <v>114</v>
      </c>
      <c r="E77" s="32">
        <f t="shared" ref="E77:E80" si="34">IF(ISNUMBER(D77), (D77 - $B77) / $B77, "")</f>
        <v>-2.564102564102564E-2</v>
      </c>
      <c r="F77" s="18">
        <f>IF(ISNUMBER(D77), $B91 * E77, "")</f>
        <v>-2564.102564102564</v>
      </c>
      <c r="G77" s="31">
        <v>113</v>
      </c>
      <c r="H77" s="32">
        <f t="shared" ref="H77:H80" si="35">IF(ISNUMBER(G77), (G77 - $B77) / $B77, "")</f>
        <v>-3.4188034188034191E-2</v>
      </c>
      <c r="I77" s="101">
        <f>IF(ISNUMBER(G77), $B91 * H77, "")</f>
        <v>-3418.8034188034189</v>
      </c>
      <c r="J77" s="15">
        <v>110</v>
      </c>
      <c r="K77" s="32">
        <f t="shared" ref="K77:K80" si="36">IF(ISNUMBER(J77), (J77 - $B77) / $B77, "")</f>
        <v>-5.9829059829059832E-2</v>
      </c>
      <c r="L77" s="18">
        <f>IF(ISNUMBER(J77), $B91 * K77, "")</f>
        <v>-5982.9059829059834</v>
      </c>
      <c r="M77" s="31">
        <v>110</v>
      </c>
      <c r="N77" s="32">
        <f t="shared" ref="N77:N80" si="37">IF(ISNUMBER(M77), (M77 - $B77) / $B77, "")</f>
        <v>-5.9829059829059832E-2</v>
      </c>
      <c r="O77" s="18">
        <f>IF(ISNUMBER(M77), $B91 * N77, "")</f>
        <v>-5982.9059829059834</v>
      </c>
      <c r="Q77" s="241"/>
      <c r="R77" s="241"/>
      <c r="S77" s="241"/>
    </row>
    <row r="78" spans="1:19" ht="17.25" thickBot="1">
      <c r="A78" s="125" t="s">
        <v>57</v>
      </c>
      <c r="B78" s="126">
        <v>229</v>
      </c>
      <c r="C78" s="77">
        <v>5.5299539199999997E-2</v>
      </c>
      <c r="D78" s="15">
        <v>229</v>
      </c>
      <c r="E78" s="32">
        <f t="shared" si="34"/>
        <v>0</v>
      </c>
      <c r="F78" s="18">
        <f>IF(ISNUMBER(D78), $B91 * E78, "")</f>
        <v>0</v>
      </c>
      <c r="G78" s="31">
        <v>222</v>
      </c>
      <c r="H78" s="32">
        <f t="shared" si="35"/>
        <v>-3.0567685589519649E-2</v>
      </c>
      <c r="I78" s="101">
        <f>IF(ISNUMBER(G78), $B91 * H78, "")</f>
        <v>-3056.7685589519651</v>
      </c>
      <c r="J78" s="15">
        <v>220</v>
      </c>
      <c r="K78" s="32">
        <f t="shared" si="36"/>
        <v>-3.9301310043668124E-2</v>
      </c>
      <c r="L78" s="18">
        <f>IF(ISNUMBER(J78), $B91 * K78, "")</f>
        <v>-3930.1310043668122</v>
      </c>
      <c r="M78" s="31">
        <v>217</v>
      </c>
      <c r="N78" s="32">
        <f t="shared" si="37"/>
        <v>-5.2401746724890827E-2</v>
      </c>
      <c r="O78" s="18">
        <f>IF(ISNUMBER(M78), $B91 * N78, "")</f>
        <v>-5240.1746724890827</v>
      </c>
      <c r="Q78" s="241"/>
      <c r="R78" s="241"/>
      <c r="S78" s="241"/>
    </row>
    <row r="79" spans="1:19" ht="17.25" thickBot="1">
      <c r="A79" s="125" t="s">
        <v>132</v>
      </c>
      <c r="B79" s="126">
        <v>119</v>
      </c>
      <c r="C79" s="77">
        <v>5.3097345099999999E-2</v>
      </c>
      <c r="D79" s="15">
        <v>119</v>
      </c>
      <c r="E79" s="32">
        <f t="shared" si="34"/>
        <v>0</v>
      </c>
      <c r="F79" s="18">
        <f>IF(ISNUMBER(D79), $B91 * E79, "")</f>
        <v>0</v>
      </c>
      <c r="G79" s="31">
        <v>118</v>
      </c>
      <c r="H79" s="32">
        <f t="shared" si="35"/>
        <v>-8.4033613445378148E-3</v>
      </c>
      <c r="I79" s="101">
        <f>IF(ISNUMBER(G79), $B91 * H79, "")</f>
        <v>-840.33613445378148</v>
      </c>
      <c r="J79" s="15">
        <v>119</v>
      </c>
      <c r="K79" s="32">
        <f t="shared" si="36"/>
        <v>0</v>
      </c>
      <c r="L79" s="18">
        <f>IF(ISNUMBER(J79), $B91 * K79, "")</f>
        <v>0</v>
      </c>
      <c r="M79" s="31">
        <v>114</v>
      </c>
      <c r="N79" s="32">
        <f t="shared" si="37"/>
        <v>-4.2016806722689079E-2</v>
      </c>
      <c r="O79" s="18">
        <f>IF(ISNUMBER(M79), $B91 * N79, "")</f>
        <v>-4201.680672268908</v>
      </c>
      <c r="Q79" s="33"/>
      <c r="R79" s="33"/>
    </row>
    <row r="80" spans="1:19" ht="17.25" thickBot="1">
      <c r="A80" s="130" t="s">
        <v>118</v>
      </c>
      <c r="B80" s="131">
        <v>171</v>
      </c>
      <c r="C80" s="79">
        <v>4.9079754599999997E-2</v>
      </c>
      <c r="D80" s="24">
        <v>169</v>
      </c>
      <c r="E80" s="25">
        <f t="shared" si="34"/>
        <v>-1.1695906432748537E-2</v>
      </c>
      <c r="F80" s="104">
        <f>IF(ISNUMBER(D80), $B91 * E80, "")</f>
        <v>-1169.5906432748538</v>
      </c>
      <c r="G80" s="102">
        <v>166</v>
      </c>
      <c r="H80" s="25">
        <f t="shared" si="35"/>
        <v>-2.9239766081871343E-2</v>
      </c>
      <c r="I80" s="103">
        <f>IF(ISNUMBER(G80), $B91 * H80, "")</f>
        <v>-2923.9766081871344</v>
      </c>
      <c r="J80" s="24">
        <v>166</v>
      </c>
      <c r="K80" s="25">
        <f t="shared" si="36"/>
        <v>-2.9239766081871343E-2</v>
      </c>
      <c r="L80" s="104">
        <f>IF(ISNUMBER(J80), $B91 * K80, "")</f>
        <v>-2923.9766081871344</v>
      </c>
      <c r="M80" s="102">
        <v>162</v>
      </c>
      <c r="N80" s="25">
        <f t="shared" si="37"/>
        <v>-5.2631578947368418E-2</v>
      </c>
      <c r="O80" s="104">
        <f>IF(ISNUMBER(M80), $B91 * N80, "")</f>
        <v>-5263.1578947368416</v>
      </c>
      <c r="Q80" s="250"/>
      <c r="R80" s="251"/>
      <c r="S80" s="252"/>
    </row>
    <row r="81" spans="1:19">
      <c r="A81" s="123" t="s">
        <v>138</v>
      </c>
      <c r="B81" s="124">
        <v>405</v>
      </c>
      <c r="C81" s="76">
        <v>4.6511627899999998E-2</v>
      </c>
      <c r="D81" s="13">
        <v>395</v>
      </c>
      <c r="E81" s="14">
        <f>IF(ISNUMBER(D81), (D81 - $B81) / $B81, "")</f>
        <v>-2.4691358024691357E-2</v>
      </c>
      <c r="F81" s="16">
        <f>IF(ISNUMBER(D81), $B91 * E81, "")</f>
        <v>-2469.1358024691358</v>
      </c>
      <c r="G81" s="29">
        <v>385</v>
      </c>
      <c r="H81" s="14">
        <f>IF(ISNUMBER(G81), (G81 - $B81) / $B81, "")</f>
        <v>-4.9382716049382713E-2</v>
      </c>
      <c r="I81" s="100">
        <f>IF(ISNUMBER(G81), $B91 * H81, "")</f>
        <v>-4938.2716049382716</v>
      </c>
      <c r="J81" s="13">
        <v>381</v>
      </c>
      <c r="K81" s="14">
        <f>IF(ISNUMBER(J81), (J81 - $B81) / $B81, "")</f>
        <v>-5.9259259259259262E-2</v>
      </c>
      <c r="L81" s="16">
        <f>IF(ISNUMBER(J81), $B91 * K81, "")</f>
        <v>-5925.9259259259261</v>
      </c>
      <c r="M81" s="29">
        <v>378</v>
      </c>
      <c r="N81" s="14">
        <f>IF(ISNUMBER(M81), (M81 - $B81) / $B81, "")</f>
        <v>-6.6666666666666666E-2</v>
      </c>
      <c r="O81" s="16">
        <f>IF(ISNUMBER(M81), $B91 * N81, "")</f>
        <v>-6666.666666666667</v>
      </c>
      <c r="Q81" s="253"/>
      <c r="R81" s="254"/>
      <c r="S81" s="255"/>
    </row>
    <row r="82" spans="1:19" ht="17.25" thickBot="1">
      <c r="A82" s="125" t="s">
        <v>236</v>
      </c>
      <c r="B82" s="126">
        <v>644</v>
      </c>
      <c r="C82" s="77">
        <v>4.5454545499999999E-2</v>
      </c>
      <c r="D82" s="15">
        <v>640</v>
      </c>
      <c r="E82" s="32">
        <f t="shared" ref="E82:E85" si="38">IF(ISNUMBER(D82), (D82 - $B82) / $B82, "")</f>
        <v>-6.2111801242236021E-3</v>
      </c>
      <c r="F82" s="18">
        <f>IF(ISNUMBER(D82), $B91 * E82, "")</f>
        <v>-621.11801242236015</v>
      </c>
      <c r="G82" s="31">
        <v>629</v>
      </c>
      <c r="H82" s="32">
        <f t="shared" ref="H82:H85" si="39">IF(ISNUMBER(G82), (G82 - $B82) / $B82, "")</f>
        <v>-2.3291925465838508E-2</v>
      </c>
      <c r="I82" s="101">
        <f>IF(ISNUMBER(G82), $B91 * H82, "")</f>
        <v>-2329.1925465838508</v>
      </c>
      <c r="J82" s="15">
        <v>619</v>
      </c>
      <c r="K82" s="32">
        <f t="shared" ref="K82:K85" si="40">IF(ISNUMBER(J82), (J82 - $B82) / $B82, "")</f>
        <v>-3.8819875776397512E-2</v>
      </c>
      <c r="L82" s="18">
        <f>IF(ISNUMBER(J82), $B91 * K82, "")</f>
        <v>-3881.9875776397512</v>
      </c>
      <c r="M82" s="31">
        <v>612</v>
      </c>
      <c r="N82" s="32">
        <f t="shared" ref="N82:N85" si="41">IF(ISNUMBER(M82), (M82 - $B82) / $B82, "")</f>
        <v>-4.9689440993788817E-2</v>
      </c>
      <c r="O82" s="18">
        <f>IF(ISNUMBER(M82), $B91 * N82, "")</f>
        <v>-4968.9440993788812</v>
      </c>
      <c r="Q82" s="256"/>
      <c r="R82" s="257"/>
      <c r="S82" s="258"/>
    </row>
    <row r="83" spans="1:19" ht="17.25" thickBot="1">
      <c r="A83" s="125" t="s">
        <v>80</v>
      </c>
      <c r="B83" s="126">
        <v>866</v>
      </c>
      <c r="C83" s="77">
        <v>4.2117930200000001E-2</v>
      </c>
      <c r="D83" s="15">
        <v>861</v>
      </c>
      <c r="E83" s="32">
        <f t="shared" si="38"/>
        <v>-5.7736720554272519E-3</v>
      </c>
      <c r="F83" s="18">
        <f>IF(ISNUMBER(D83), $B91 * E83, "")</f>
        <v>-577.36720554272517</v>
      </c>
      <c r="G83" s="31">
        <v>841</v>
      </c>
      <c r="H83" s="32">
        <f t="shared" si="39"/>
        <v>-2.8868360277136258E-2</v>
      </c>
      <c r="I83" s="101">
        <f>IF(ISNUMBER(G83), $B91 * H83, "")</f>
        <v>-2886.8360277136258</v>
      </c>
      <c r="J83" s="15">
        <v>836</v>
      </c>
      <c r="K83" s="32">
        <f t="shared" si="40"/>
        <v>-3.4642032332563508E-2</v>
      </c>
      <c r="L83" s="18">
        <f>IF(ISNUMBER(J83), $B91 * K83, "")</f>
        <v>-3464.2032332563508</v>
      </c>
      <c r="M83" s="31">
        <v>822</v>
      </c>
      <c r="N83" s="32">
        <f t="shared" si="41"/>
        <v>-5.0808314087759814E-2</v>
      </c>
      <c r="O83" s="18">
        <f>IF(ISNUMBER(M83), $B91 * N83, "")</f>
        <v>-5080.8314087759818</v>
      </c>
      <c r="Q83" s="241"/>
      <c r="R83" s="241"/>
      <c r="S83" s="241"/>
    </row>
    <row r="84" spans="1:19" ht="17.25" thickBot="1">
      <c r="A84" s="125" t="s">
        <v>238</v>
      </c>
      <c r="B84" s="126">
        <v>108</v>
      </c>
      <c r="C84" s="77">
        <v>3.8461538500000003E-2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106</v>
      </c>
      <c r="H84" s="32">
        <f t="shared" si="39"/>
        <v>-1.8518518518518517E-2</v>
      </c>
      <c r="I84" s="101">
        <f>IF(ISNUMBER(G84), $B91 * H84, "")</f>
        <v>-1851.8518518518517</v>
      </c>
      <c r="J84" s="15">
        <v>104</v>
      </c>
      <c r="K84" s="32">
        <f t="shared" si="40"/>
        <v>-3.7037037037037035E-2</v>
      </c>
      <c r="L84" s="18">
        <f>IF(ISNUMBER(J84), $B91 * K84, "")</f>
        <v>-3703.7037037037035</v>
      </c>
      <c r="M84" s="31">
        <v>103</v>
      </c>
      <c r="N84" s="32">
        <f t="shared" si="41"/>
        <v>-4.6296296296296294E-2</v>
      </c>
      <c r="O84" s="18">
        <f>IF(ISNUMBER(M84), $B91 * N84, "")</f>
        <v>-4629.6296296296296</v>
      </c>
      <c r="Q84" s="236"/>
      <c r="R84" s="236"/>
      <c r="S84" s="236"/>
    </row>
    <row r="85" spans="1:19" ht="17.25" thickBot="1">
      <c r="A85" s="127" t="s">
        <v>220</v>
      </c>
      <c r="B85" s="128">
        <v>222</v>
      </c>
      <c r="C85" s="78">
        <v>3.7383177599999998E-2</v>
      </c>
      <c r="D85" s="20">
        <v>222</v>
      </c>
      <c r="E85" s="21">
        <f t="shared" si="38"/>
        <v>0</v>
      </c>
      <c r="F85" s="22">
        <f>IF(ISNUMBER(D85), $B91 * E85, "")</f>
        <v>0</v>
      </c>
      <c r="G85" s="30">
        <v>216</v>
      </c>
      <c r="H85" s="21">
        <f t="shared" si="39"/>
        <v>-2.7027027027027029E-2</v>
      </c>
      <c r="I85" s="105">
        <f>IF(ISNUMBER(G85), $B91 * H85, "")</f>
        <v>-2702.7027027027029</v>
      </c>
      <c r="J85" s="20">
        <v>213</v>
      </c>
      <c r="K85" s="21">
        <f t="shared" si="40"/>
        <v>-4.0540540540540543E-2</v>
      </c>
      <c r="L85" s="22">
        <f>IF(ISNUMBER(J85), $B91 * K85, "")</f>
        <v>-4054.0540540540542</v>
      </c>
      <c r="M85" s="30">
        <v>213</v>
      </c>
      <c r="N85" s="21">
        <f t="shared" si="41"/>
        <v>-4.0540540540540543E-2</v>
      </c>
      <c r="O85" s="22">
        <f>IF(ISNUMBER(M85), $B91 * N85, "")</f>
        <v>-4054.0540540540542</v>
      </c>
      <c r="Q85" s="236"/>
      <c r="R85" s="236"/>
      <c r="S85" s="236"/>
    </row>
    <row r="86" spans="1:19" ht="17.25" thickBot="1">
      <c r="A86" s="125" t="s">
        <v>200</v>
      </c>
      <c r="B86" s="129">
        <v>147</v>
      </c>
      <c r="C86" s="80">
        <v>3.5211267599999999E-2</v>
      </c>
      <c r="D86" s="106">
        <v>145</v>
      </c>
      <c r="E86" s="107">
        <f>IF(ISNUMBER(D86), (D86 - $B86) / $B86, "")</f>
        <v>-1.3605442176870748E-2</v>
      </c>
      <c r="F86" s="108">
        <f>IF(ISNUMBER(D86), $B91 * E86, "")</f>
        <v>-1360.5442176870747</v>
      </c>
      <c r="G86" s="109">
        <v>141</v>
      </c>
      <c r="H86" s="107">
        <f>IF(ISNUMBER(G86), (G86 - $B86) / $B86, "")</f>
        <v>-4.0816326530612242E-2</v>
      </c>
      <c r="I86" s="110">
        <f>IF(ISNUMBER(G86), $B91 * H86, "")</f>
        <v>-4081.6326530612241</v>
      </c>
      <c r="J86" s="106">
        <v>140</v>
      </c>
      <c r="K86" s="107">
        <f>IF(ISNUMBER(J86), (J86 - $B86) / $B86, "")</f>
        <v>-4.7619047619047616E-2</v>
      </c>
      <c r="L86" s="108">
        <f>IF(ISNUMBER(J86), $B91 * K86, "")</f>
        <v>-4761.9047619047615</v>
      </c>
      <c r="M86" s="109">
        <v>139</v>
      </c>
      <c r="N86" s="107">
        <f>IF(ISNUMBER(M86), (M86 - $B86) / $B86, "")</f>
        <v>-5.4421768707482991E-2</v>
      </c>
      <c r="O86" s="108">
        <f>IF(ISNUMBER(M86), $B91 * N86, "")</f>
        <v>-5442.1768707482988</v>
      </c>
      <c r="Q86" s="241"/>
      <c r="R86" s="241"/>
      <c r="S86" s="241"/>
    </row>
    <row r="87" spans="1:19" ht="17.25" thickBot="1">
      <c r="A87" s="125" t="s">
        <v>61</v>
      </c>
      <c r="B87" s="126">
        <v>980</v>
      </c>
      <c r="C87" s="77">
        <v>3.48468849E-2</v>
      </c>
      <c r="D87" s="15">
        <v>954</v>
      </c>
      <c r="E87" s="32">
        <f t="shared" ref="E87:E90" si="42">IF(ISNUMBER(D87), (D87 - $B87) / $B87, "")</f>
        <v>-2.6530612244897958E-2</v>
      </c>
      <c r="F87" s="18">
        <f>IF(ISNUMBER(D87), $B91 * E87, "")</f>
        <v>-2653.0612244897957</v>
      </c>
      <c r="G87" s="31">
        <v>942</v>
      </c>
      <c r="H87" s="32">
        <f t="shared" ref="H87:H90" si="43">IF(ISNUMBER(G87), (G87 - $B87) / $B87, "")</f>
        <v>-3.8775510204081633E-2</v>
      </c>
      <c r="I87" s="101">
        <f>IF(ISNUMBER(G87), $B91 * H87, "")</f>
        <v>-3877.5510204081634</v>
      </c>
      <c r="J87" s="15">
        <v>931</v>
      </c>
      <c r="K87" s="32">
        <f t="shared" ref="K87:K90" si="44">IF(ISNUMBER(J87), (J87 - $B87) / $B87, "")</f>
        <v>-0.05</v>
      </c>
      <c r="L87" s="18">
        <f>IF(ISNUMBER(J87), $B91 * K87, "")</f>
        <v>-5000</v>
      </c>
      <c r="M87" s="31">
        <v>913</v>
      </c>
      <c r="N87" s="32">
        <f t="shared" ref="N87:N90" si="45">IF(ISNUMBER(M87), (M87 - $B87) / $B87, "")</f>
        <v>-6.8367346938775511E-2</v>
      </c>
      <c r="O87" s="18">
        <f>IF(ISNUMBER(M87), $B91 * N87, "")</f>
        <v>-6836.7346938775509</v>
      </c>
      <c r="Q87" s="241"/>
      <c r="R87" s="241"/>
      <c r="S87" s="241"/>
    </row>
    <row r="88" spans="1:19" ht="17.25" thickBot="1">
      <c r="A88" s="125" t="s">
        <v>206</v>
      </c>
      <c r="B88" s="126">
        <v>357</v>
      </c>
      <c r="C88" s="77">
        <v>3.4782608700000002E-2</v>
      </c>
      <c r="D88" s="15">
        <v>356</v>
      </c>
      <c r="E88" s="32">
        <f t="shared" si="42"/>
        <v>-2.8011204481792717E-3</v>
      </c>
      <c r="F88" s="18">
        <f>IF(ISNUMBER(D88), $B91 * E88, "")</f>
        <v>-280.1120448179272</v>
      </c>
      <c r="G88" s="31">
        <v>346</v>
      </c>
      <c r="H88" s="32">
        <f t="shared" si="43"/>
        <v>-3.081232492997199E-2</v>
      </c>
      <c r="I88" s="101">
        <f>IF(ISNUMBER(G88), $B91 * H88, "")</f>
        <v>-3081.2324929971992</v>
      </c>
      <c r="J88" s="15">
        <v>338</v>
      </c>
      <c r="K88" s="32">
        <f t="shared" si="44"/>
        <v>-5.3221288515406161E-2</v>
      </c>
      <c r="L88" s="18">
        <f>IF(ISNUMBER(J88), $B91 * K88, "")</f>
        <v>-5322.1288515406159</v>
      </c>
      <c r="M88" s="31">
        <v>334</v>
      </c>
      <c r="N88" s="32">
        <f t="shared" si="45"/>
        <v>-6.4425770308123242E-2</v>
      </c>
      <c r="O88" s="18">
        <f>IF(ISNUMBER(M88), $B91 * N88, "")</f>
        <v>-6442.5770308123247</v>
      </c>
      <c r="Q88" s="241"/>
      <c r="R88" s="241"/>
      <c r="S88" s="241"/>
    </row>
    <row r="89" spans="1:19">
      <c r="A89" s="125" t="s">
        <v>164</v>
      </c>
      <c r="B89" s="126">
        <v>328</v>
      </c>
      <c r="C89" s="77">
        <v>3.4700315500000002E-2</v>
      </c>
      <c r="D89" s="15">
        <v>326</v>
      </c>
      <c r="E89" s="32">
        <f t="shared" si="42"/>
        <v>-6.0975609756097563E-3</v>
      </c>
      <c r="F89" s="18">
        <f>IF(ISNUMBER(D89), $B91 * E89, "")</f>
        <v>-609.7560975609756</v>
      </c>
      <c r="G89" s="31">
        <v>322</v>
      </c>
      <c r="H89" s="32">
        <f t="shared" si="43"/>
        <v>-1.8292682926829267E-2</v>
      </c>
      <c r="I89" s="101">
        <f>IF(ISNUMBER(G89), $B91 * H89, "")</f>
        <v>-1829.2682926829268</v>
      </c>
      <c r="J89" s="15">
        <v>317</v>
      </c>
      <c r="K89" s="32">
        <f t="shared" si="44"/>
        <v>-3.3536585365853661E-2</v>
      </c>
      <c r="L89" s="18">
        <f>IF(ISNUMBER(J89), $B91 * K89, "")</f>
        <v>-3353.6585365853662</v>
      </c>
      <c r="M89" s="31">
        <v>311</v>
      </c>
      <c r="N89" s="32">
        <f t="shared" si="45"/>
        <v>-5.1829268292682924E-2</v>
      </c>
      <c r="O89" s="18">
        <f>IF(ISNUMBER(M89), $B91 * N89, "")</f>
        <v>-5182.9268292682927</v>
      </c>
      <c r="Q89" s="263"/>
      <c r="R89" s="264"/>
      <c r="S89" s="265"/>
    </row>
    <row r="90" spans="1:19" ht="17.25" thickBot="1">
      <c r="A90" s="130" t="s">
        <v>230</v>
      </c>
      <c r="B90" s="131">
        <v>221</v>
      </c>
      <c r="C90" s="79">
        <v>3.27102804E-2</v>
      </c>
      <c r="D90" s="24">
        <v>219</v>
      </c>
      <c r="E90" s="25">
        <f t="shared" si="42"/>
        <v>-9.0497737556561094E-3</v>
      </c>
      <c r="F90" s="104">
        <f>IF(ISNUMBER(D90), $B91 * E90, "")</f>
        <v>-904.97737556561094</v>
      </c>
      <c r="G90" s="102">
        <v>210</v>
      </c>
      <c r="H90" s="25">
        <f t="shared" si="43"/>
        <v>-4.9773755656108594E-2</v>
      </c>
      <c r="I90" s="103">
        <f>IF(ISNUMBER(G90), $B91 * H90, "")</f>
        <v>-4977.3755656108597</v>
      </c>
      <c r="J90" s="24">
        <v>206</v>
      </c>
      <c r="K90" s="25">
        <f t="shared" si="44"/>
        <v>-6.7873303167420809E-2</v>
      </c>
      <c r="L90" s="104">
        <f>IF(ISNUMBER(J90), $B91 * K90, "")</f>
        <v>-6787.3303167420809</v>
      </c>
      <c r="M90" s="102">
        <v>208</v>
      </c>
      <c r="N90" s="25">
        <f t="shared" si="45"/>
        <v>-5.8823529411764705E-2</v>
      </c>
      <c r="O90" s="104">
        <f>IF(ISNUMBER(M90), $B91 * N90, "")</f>
        <v>-5882.3529411764703</v>
      </c>
      <c r="Q90" s="266"/>
      <c r="R90" s="267"/>
      <c r="S90" s="268"/>
    </row>
    <row r="91" spans="1:19" ht="17.25" thickBot="1">
      <c r="A91" s="132" t="s">
        <v>270</v>
      </c>
      <c r="B91" s="274">
        <f>$B$37</f>
        <v>100000</v>
      </c>
      <c r="C91" s="275"/>
      <c r="D91" s="26" t="s">
        <v>271</v>
      </c>
      <c r="E91" s="27">
        <f>IF(COUNT(E71:E90), SUM(E71:E90) / COUNT(E71:E90), 0)</f>
        <v>-8.5032452604449481E-3</v>
      </c>
      <c r="F91" s="28">
        <f>SUM(F71:F90)</f>
        <v>-17006.4905208899</v>
      </c>
      <c r="G91" s="26" t="s">
        <v>271</v>
      </c>
      <c r="H91" s="27">
        <f>IF(COUNT(H71:H90), SUM(H71:H90) / COUNT(H71:H90), 0)</f>
        <v>-3.2672184246119888E-2</v>
      </c>
      <c r="I91" s="28">
        <f>SUM(I71:I90)</f>
        <v>-65344.368492239766</v>
      </c>
      <c r="J91" s="26" t="s">
        <v>271</v>
      </c>
      <c r="K91" s="27">
        <f>IF(COUNT(K71:K90), SUM(K71:K90) / COUNT(K71:K90), 0)</f>
        <v>-4.5686165586270262E-2</v>
      </c>
      <c r="L91" s="28">
        <f>SUM(L71:L90)</f>
        <v>-91372.331172540507</v>
      </c>
      <c r="M91" s="26" t="s">
        <v>271</v>
      </c>
      <c r="N91" s="27">
        <f>IF(COUNT(N71:N90), SUM(N71:N90) / COUNT(N71:N90), 0)</f>
        <v>-5.6098540438433264E-2</v>
      </c>
      <c r="O91" s="28">
        <f>SUM(O71:O90)</f>
        <v>-112197.08087686654</v>
      </c>
      <c r="Q91" s="269"/>
      <c r="R91" s="270"/>
      <c r="S91" s="27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36"/>
      <c r="R94" s="236"/>
      <c r="S94" s="236"/>
    </row>
    <row r="95" spans="1:19" ht="17.25" thickBot="1">
      <c r="A95" s="201" t="s">
        <v>267</v>
      </c>
      <c r="B95" s="215" t="s">
        <v>49</v>
      </c>
      <c r="C95" s="217"/>
      <c r="D95" s="215" t="s">
        <v>58</v>
      </c>
      <c r="E95" s="216"/>
      <c r="F95" s="217"/>
      <c r="G95" s="242">
        <f>_xlfn.IFNA(VLOOKUP(B95, 현재가테이블!$B$2:$D$200, 2, FALSE), "-")</f>
        <v>53976000</v>
      </c>
      <c r="H95" s="243"/>
      <c r="I95" s="244"/>
      <c r="J95" s="215" t="s">
        <v>59</v>
      </c>
      <c r="K95" s="216"/>
      <c r="L95" s="217"/>
      <c r="M95" s="245">
        <f>_xlfn.IFNA(VLOOKUP(B95, 현재가테이블!$B$2:$D$200, 3, FALSE), "-")</f>
        <v>-2.1216407400000001E-2</v>
      </c>
      <c r="N95" s="246"/>
      <c r="O95" s="247"/>
      <c r="Q95" s="236"/>
      <c r="R95" s="236"/>
      <c r="S95" s="236"/>
    </row>
    <row r="96" spans="1:19" ht="17.25" thickBot="1">
      <c r="A96" s="276" t="s">
        <v>55</v>
      </c>
      <c r="B96" s="278" t="str">
        <f>TEXT($G$1, "[$-ko-KR]yyyy-mm-dd(ddd) ") &amp; "오전 00:00"</f>
        <v>2021-08-12(목) 오전 00:00</v>
      </c>
      <c r="C96" s="279"/>
      <c r="D96" s="238" t="str">
        <f>TEXT($G$1, "[$-ko-KR]yyyy-mm-dd(ddd) ") &amp; "오후 14:00"</f>
        <v>2021-08-12(목) 오후 14:00</v>
      </c>
      <c r="E96" s="239"/>
      <c r="F96" s="240"/>
      <c r="G96" s="238" t="str">
        <f>TEXT($G$1, "[$-ko-KR]yyyy-mm-dd(ddd) ") &amp; "오후 19:00"</f>
        <v>2021-08-12(목) 오후 19:00</v>
      </c>
      <c r="H96" s="239"/>
      <c r="I96" s="240"/>
      <c r="J96" s="238" t="str">
        <f>TEXT($G$1, "[$-ko-KR]yyyy-mm-dd(ddd) ") &amp; "오후 21:00"</f>
        <v>2021-08-12(목) 오후 21:00</v>
      </c>
      <c r="K96" s="239"/>
      <c r="L96" s="240"/>
      <c r="M96" s="238" t="str">
        <f>TEXT($G$1+1, "[$-ko-KR]yyyy-mm-dd(ddd) ") &amp; "오전 00:00"</f>
        <v>2021-08-13(금) 오전 00:00</v>
      </c>
      <c r="N96" s="239"/>
      <c r="O96" s="240"/>
      <c r="Q96" s="236"/>
      <c r="R96" s="236"/>
      <c r="S96" s="236"/>
    </row>
    <row r="97" spans="1:19" ht="17.25" thickBot="1">
      <c r="A97" s="27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1"/>
      <c r="R97" s="241"/>
      <c r="S97" s="241"/>
    </row>
    <row r="98" spans="1:19" ht="17.25" thickBot="1">
      <c r="A98" s="123" t="s">
        <v>172</v>
      </c>
      <c r="B98" s="124">
        <v>3510</v>
      </c>
      <c r="C98" s="76">
        <v>0.28571428570000001</v>
      </c>
      <c r="D98" s="13">
        <v>3420</v>
      </c>
      <c r="E98" s="14">
        <f>IF(ISNUMBER(D98), (D98 - $B98) / $B98, "")</f>
        <v>-2.564102564102564E-2</v>
      </c>
      <c r="F98" s="16">
        <f>IF(ISNUMBER(D98), $B118 * E98, "")</f>
        <v>-2564.102564102564</v>
      </c>
      <c r="G98" s="29">
        <v>3425</v>
      </c>
      <c r="H98" s="14">
        <f>IF(ISNUMBER(G98), (G98 - $B98) / $B98, "")</f>
        <v>-2.4216524216524215E-2</v>
      </c>
      <c r="I98" s="100">
        <f>IF(ISNUMBER(G98), $B118 * H98, "")</f>
        <v>-2421.6524216524217</v>
      </c>
      <c r="J98" s="13">
        <v>3330</v>
      </c>
      <c r="K98" s="14">
        <f>IF(ISNUMBER(J98), (J98 - $B98) / $B98, "")</f>
        <v>-5.128205128205128E-2</v>
      </c>
      <c r="L98" s="16">
        <f>IF(ISNUMBER(J98), $B118 * K98, "")</f>
        <v>-5128.2051282051279</v>
      </c>
      <c r="M98" s="29">
        <v>3250</v>
      </c>
      <c r="N98" s="14">
        <f>IF(ISNUMBER(M98), (M98 - $B98) / $B98, "")</f>
        <v>-7.407407407407407E-2</v>
      </c>
      <c r="O98" s="16">
        <f>IF(ISNUMBER(M98), $B118 * N98, "")</f>
        <v>-7407.4074074074069</v>
      </c>
      <c r="Q98" s="236"/>
      <c r="R98" s="236"/>
      <c r="S98" s="236"/>
    </row>
    <row r="99" spans="1:19" ht="17.25" thickBot="1">
      <c r="A99" s="125" t="s">
        <v>98</v>
      </c>
      <c r="B99" s="126">
        <v>5.26</v>
      </c>
      <c r="C99" s="77">
        <v>0.17937219730000001</v>
      </c>
      <c r="D99" s="15">
        <v>5.44</v>
      </c>
      <c r="E99" s="32">
        <f t="shared" ref="E99:E102" si="46">IF(ISNUMBER(D99), (D99 - $B99) / $B99, "")</f>
        <v>3.4220532319391754E-2</v>
      </c>
      <c r="F99" s="18">
        <f>IF(ISNUMBER(D99), $B118 * E99, "")</f>
        <v>3422.0532319391755</v>
      </c>
      <c r="G99" s="31">
        <v>5.32</v>
      </c>
      <c r="H99" s="32">
        <f t="shared" ref="H99:H102" si="47">IF(ISNUMBER(G99), (G99 - $B99) / $B99, "")</f>
        <v>1.1406844106463974E-2</v>
      </c>
      <c r="I99" s="101">
        <f>IF(ISNUMBER(G99), $B118 * H99, "")</f>
        <v>1140.6844106463975</v>
      </c>
      <c r="J99" s="15">
        <v>5.26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5.2</v>
      </c>
      <c r="N99" s="32">
        <f t="shared" ref="N99:N102" si="49">IF(ISNUMBER(M99), (M99 - $B99) / $B99, "")</f>
        <v>-1.1406844106463804E-2</v>
      </c>
      <c r="O99" s="18">
        <f>IF(ISNUMBER(M99), $B118 * N99, "")</f>
        <v>-1140.6844106463805</v>
      </c>
      <c r="Q99" s="236"/>
      <c r="R99" s="236"/>
      <c r="S99" s="236"/>
    </row>
    <row r="100" spans="1:19" ht="17.25" thickBot="1">
      <c r="A100" s="125" t="s">
        <v>162</v>
      </c>
      <c r="B100" s="126">
        <v>117</v>
      </c>
      <c r="C100" s="77">
        <v>0.14705882349999999</v>
      </c>
      <c r="D100" s="15">
        <v>111</v>
      </c>
      <c r="E100" s="32">
        <f t="shared" si="46"/>
        <v>-5.128205128205128E-2</v>
      </c>
      <c r="F100" s="18">
        <f>IF(ISNUMBER(D100), $B118 * E100, "")</f>
        <v>-5128.2051282051279</v>
      </c>
      <c r="G100" s="31">
        <v>107</v>
      </c>
      <c r="H100" s="32">
        <f t="shared" si="47"/>
        <v>-8.5470085470085472E-2</v>
      </c>
      <c r="I100" s="101">
        <f>IF(ISNUMBER(G100), $B118 * H100, "")</f>
        <v>-8547.0085470085469</v>
      </c>
      <c r="J100" s="15">
        <v>105</v>
      </c>
      <c r="K100" s="32">
        <f t="shared" si="48"/>
        <v>-0.10256410256410256</v>
      </c>
      <c r="L100" s="18">
        <f>IF(ISNUMBER(J100), $B118 * K100, "")</f>
        <v>-10256.410256410256</v>
      </c>
      <c r="M100" s="31">
        <v>105</v>
      </c>
      <c r="N100" s="32">
        <f t="shared" si="49"/>
        <v>-0.10256410256410256</v>
      </c>
      <c r="O100" s="18">
        <f>IF(ISNUMBER(M100), $B118 * N100, "")</f>
        <v>-10256.410256410256</v>
      </c>
      <c r="Q100" s="241"/>
      <c r="R100" s="241"/>
      <c r="S100" s="241"/>
    </row>
    <row r="101" spans="1:19" ht="17.25" thickBot="1">
      <c r="A101" s="125" t="s">
        <v>152</v>
      </c>
      <c r="B101" s="126">
        <v>97.1</v>
      </c>
      <c r="C101" s="77">
        <v>0.1330221704</v>
      </c>
      <c r="D101" s="15">
        <v>101</v>
      </c>
      <c r="E101" s="32">
        <f t="shared" si="46"/>
        <v>4.0164778578784817E-2</v>
      </c>
      <c r="F101" s="18">
        <f>IF(ISNUMBER(D101), $B118 * E101, "")</f>
        <v>4016.4778578784817</v>
      </c>
      <c r="G101" s="31">
        <v>99</v>
      </c>
      <c r="H101" s="32">
        <f t="shared" si="47"/>
        <v>1.9567456230690072E-2</v>
      </c>
      <c r="I101" s="101">
        <f>IF(ISNUMBER(G101), $B118 * H101, "")</f>
        <v>1956.7456230690073</v>
      </c>
      <c r="J101" s="15">
        <v>98</v>
      </c>
      <c r="K101" s="32">
        <f t="shared" si="48"/>
        <v>9.2687950566426956E-3</v>
      </c>
      <c r="L101" s="18">
        <f>IF(ISNUMBER(J101), $B118 * K101, "")</f>
        <v>926.87950566426957</v>
      </c>
      <c r="M101" s="31">
        <v>96.4</v>
      </c>
      <c r="N101" s="32">
        <f t="shared" si="49"/>
        <v>-7.2090628218330448E-3</v>
      </c>
      <c r="O101" s="18">
        <f>IF(ISNUMBER(M101), $B118 * N101, "")</f>
        <v>-720.90628218330448</v>
      </c>
      <c r="Q101" s="241"/>
      <c r="R101" s="241"/>
      <c r="S101" s="241"/>
    </row>
    <row r="102" spans="1:19" ht="17.25" thickBot="1">
      <c r="A102" s="127" t="s">
        <v>82</v>
      </c>
      <c r="B102" s="128">
        <v>2145</v>
      </c>
      <c r="C102" s="78">
        <v>0.11139896370000001</v>
      </c>
      <c r="D102" s="20">
        <v>2095</v>
      </c>
      <c r="E102" s="21">
        <f t="shared" si="46"/>
        <v>-2.3310023310023312E-2</v>
      </c>
      <c r="F102" s="22">
        <f>IF(ISNUMBER(D102), $B118 * E102, "")</f>
        <v>-2331.0023310023312</v>
      </c>
      <c r="G102" s="30">
        <v>2055</v>
      </c>
      <c r="H102" s="21">
        <f t="shared" si="47"/>
        <v>-4.195804195804196E-2</v>
      </c>
      <c r="I102" s="105">
        <f>IF(ISNUMBER(G102), $B118 * H102, "")</f>
        <v>-4195.8041958041958</v>
      </c>
      <c r="J102" s="20">
        <v>2040</v>
      </c>
      <c r="K102" s="21">
        <f t="shared" si="48"/>
        <v>-4.8951048951048952E-2</v>
      </c>
      <c r="L102" s="22">
        <f>IF(ISNUMBER(J102), $B118 * K102, "")</f>
        <v>-4895.1048951048951</v>
      </c>
      <c r="M102" s="30">
        <v>2010</v>
      </c>
      <c r="N102" s="21">
        <f t="shared" si="49"/>
        <v>-6.2937062937062943E-2</v>
      </c>
      <c r="O102" s="22">
        <f>IF(ISNUMBER(M102), $B118 * N102, "")</f>
        <v>-6293.7062937062947</v>
      </c>
      <c r="Q102" s="241"/>
      <c r="R102" s="241"/>
      <c r="S102" s="241"/>
    </row>
    <row r="103" spans="1:19" ht="17.25" thickBot="1">
      <c r="A103" s="125" t="s">
        <v>69</v>
      </c>
      <c r="B103" s="129">
        <v>5865</v>
      </c>
      <c r="C103" s="80">
        <v>0.10037523449999999</v>
      </c>
      <c r="D103" s="106">
        <v>5710</v>
      </c>
      <c r="E103" s="107">
        <f>IF(ISNUMBER(D103), (D103 - $B103) / $B103, "")</f>
        <v>-2.6427962489343565E-2</v>
      </c>
      <c r="F103" s="108">
        <f>IF(ISNUMBER(D103), $B118 * E103, "")</f>
        <v>-2642.7962489343563</v>
      </c>
      <c r="G103" s="109">
        <v>5530</v>
      </c>
      <c r="H103" s="107">
        <f>IF(ISNUMBER(G103), (G103 - $B103) / $B103, "")</f>
        <v>-5.7118499573742543E-2</v>
      </c>
      <c r="I103" s="110">
        <f>IF(ISNUMBER(G103), $B118 * H103, "")</f>
        <v>-5711.8499573742547</v>
      </c>
      <c r="J103" s="106">
        <v>5425</v>
      </c>
      <c r="K103" s="107">
        <f>IF(ISNUMBER(J103), (J103 - $B103) / $B103, "")</f>
        <v>-7.5021312872975282E-2</v>
      </c>
      <c r="L103" s="108">
        <f>IF(ISNUMBER(J103), $B118 * K103, "")</f>
        <v>-7502.1312872975286</v>
      </c>
      <c r="M103" s="109">
        <v>5340</v>
      </c>
      <c r="N103" s="107">
        <f>IF(ISNUMBER(M103), (M103 - $B103) / $B103, "")</f>
        <v>-8.9514066496163683E-2</v>
      </c>
      <c r="O103" s="108">
        <f>IF(ISNUMBER(M103), $B118 * N103, "")</f>
        <v>-8951.4066496163687</v>
      </c>
      <c r="Q103" s="241"/>
      <c r="R103" s="241"/>
      <c r="S103" s="241"/>
    </row>
    <row r="104" spans="1:19" ht="17.25" thickBot="1">
      <c r="A104" s="125" t="s">
        <v>124</v>
      </c>
      <c r="B104" s="126">
        <v>393</v>
      </c>
      <c r="C104" s="77">
        <v>9.7765363100000002E-2</v>
      </c>
      <c r="D104" s="15">
        <v>378</v>
      </c>
      <c r="E104" s="32">
        <f t="shared" ref="E104:E107" si="50">IF(ISNUMBER(D104), (D104 - $B104) / $B104, "")</f>
        <v>-3.8167938931297711E-2</v>
      </c>
      <c r="F104" s="18">
        <f>IF(ISNUMBER(D104), $B118 * E104, "")</f>
        <v>-3816.7938931297713</v>
      </c>
      <c r="G104" s="31">
        <v>367</v>
      </c>
      <c r="H104" s="32">
        <f t="shared" ref="H104:H107" si="51">IF(ISNUMBER(G104), (G104 - $B104) / $B104, "")</f>
        <v>-6.6157760814249358E-2</v>
      </c>
      <c r="I104" s="101">
        <f>IF(ISNUMBER(G104), $B118 * H104, "")</f>
        <v>-6615.7760814249359</v>
      </c>
      <c r="J104" s="15">
        <v>361</v>
      </c>
      <c r="K104" s="32">
        <f t="shared" ref="K104:K107" si="52">IF(ISNUMBER(J104), (J104 - $B104) / $B104, "")</f>
        <v>-8.1424936386768454E-2</v>
      </c>
      <c r="L104" s="18">
        <f>IF(ISNUMBER(J104), $B118 * K104, "")</f>
        <v>-8142.493638676845</v>
      </c>
      <c r="M104" s="31">
        <v>356</v>
      </c>
      <c r="N104" s="32">
        <f t="shared" ref="N104:N107" si="53">IF(ISNUMBER(M104), (M104 - $B104) / $B104, "")</f>
        <v>-9.4147582697201013E-2</v>
      </c>
      <c r="O104" s="18">
        <f>IF(ISNUMBER(M104), $B118 * N104, "")</f>
        <v>-9414.7582697201015</v>
      </c>
      <c r="Q104" s="241"/>
      <c r="R104" s="241"/>
      <c r="S104" s="241"/>
    </row>
    <row r="105" spans="1:19" ht="17.25" thickBot="1">
      <c r="A105" s="125" t="s">
        <v>148</v>
      </c>
      <c r="B105" s="126">
        <v>21.6</v>
      </c>
      <c r="C105" s="77">
        <v>9.0909090900000003E-2</v>
      </c>
      <c r="D105" s="15">
        <v>21.3</v>
      </c>
      <c r="E105" s="32">
        <f t="shared" si="50"/>
        <v>-1.3888888888888921E-2</v>
      </c>
      <c r="F105" s="18">
        <f>IF(ISNUMBER(D105), $B118 * E105, "")</f>
        <v>-1388.8888888888921</v>
      </c>
      <c r="G105" s="31">
        <v>20.7</v>
      </c>
      <c r="H105" s="32">
        <f t="shared" si="51"/>
        <v>-4.1666666666666761E-2</v>
      </c>
      <c r="I105" s="101">
        <f>IF(ISNUMBER(G105), $B118 * H105, "")</f>
        <v>-4166.6666666666761</v>
      </c>
      <c r="J105" s="15">
        <v>20.5</v>
      </c>
      <c r="K105" s="32">
        <f t="shared" si="52"/>
        <v>-5.0925925925925986E-2</v>
      </c>
      <c r="L105" s="18">
        <f>IF(ISNUMBER(J105), $B118 * K105, "")</f>
        <v>-5092.5925925925985</v>
      </c>
      <c r="M105" s="31">
        <v>20.3</v>
      </c>
      <c r="N105" s="32">
        <f t="shared" si="53"/>
        <v>-6.0185185185185217E-2</v>
      </c>
      <c r="O105" s="18">
        <f>IF(ISNUMBER(M105), $B118 * N105, "")</f>
        <v>-6018.5185185185219</v>
      </c>
      <c r="Q105" s="241"/>
      <c r="R105" s="241"/>
      <c r="S105" s="241"/>
    </row>
    <row r="106" spans="1:19" ht="17.25" thickBot="1">
      <c r="A106" s="125" t="s">
        <v>158</v>
      </c>
      <c r="B106" s="126">
        <v>22040</v>
      </c>
      <c r="C106" s="77">
        <v>9.0549233100000001E-2</v>
      </c>
      <c r="D106" s="15">
        <v>22000</v>
      </c>
      <c r="E106" s="32">
        <f t="shared" si="50"/>
        <v>-1.8148820326678765E-3</v>
      </c>
      <c r="F106" s="18">
        <f>IF(ISNUMBER(D106), $B118 * E106, "")</f>
        <v>-181.48820326678765</v>
      </c>
      <c r="G106" s="31">
        <v>21750</v>
      </c>
      <c r="H106" s="32">
        <f t="shared" si="51"/>
        <v>-1.3157894736842105E-2</v>
      </c>
      <c r="I106" s="101">
        <f>IF(ISNUMBER(G106), $B118 * H106, "")</f>
        <v>-1315.7894736842104</v>
      </c>
      <c r="J106" s="15">
        <v>21390</v>
      </c>
      <c r="K106" s="32">
        <f t="shared" si="52"/>
        <v>-2.9491833030852996E-2</v>
      </c>
      <c r="L106" s="18">
        <f>IF(ISNUMBER(J106), $B118 * K106, "")</f>
        <v>-2949.1833030852995</v>
      </c>
      <c r="M106" s="31">
        <v>21150</v>
      </c>
      <c r="N106" s="32">
        <f t="shared" si="53"/>
        <v>-4.0381125226860257E-2</v>
      </c>
      <c r="O106" s="18">
        <f>IF(ISNUMBER(M106), $B118 * N106, "")</f>
        <v>-4038.1125226860258</v>
      </c>
      <c r="Q106" s="33"/>
      <c r="R106" s="33"/>
    </row>
    <row r="107" spans="1:19" ht="17.25" thickBot="1">
      <c r="A107" s="130" t="s">
        <v>128</v>
      </c>
      <c r="B107" s="131">
        <v>133</v>
      </c>
      <c r="C107" s="79">
        <v>9.0163934400000006E-2</v>
      </c>
      <c r="D107" s="24">
        <v>132</v>
      </c>
      <c r="E107" s="25">
        <f t="shared" si="50"/>
        <v>-7.5187969924812026E-3</v>
      </c>
      <c r="F107" s="104">
        <f>IF(ISNUMBER(D107), $B118 * E107, "")</f>
        <v>-751.87969924812023</v>
      </c>
      <c r="G107" s="102">
        <v>129</v>
      </c>
      <c r="H107" s="25">
        <f t="shared" si="51"/>
        <v>-3.007518796992481E-2</v>
      </c>
      <c r="I107" s="103">
        <f>IF(ISNUMBER(G107), $B118 * H107, "")</f>
        <v>-3007.5187969924809</v>
      </c>
      <c r="J107" s="24">
        <v>126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124</v>
      </c>
      <c r="N107" s="25">
        <f t="shared" si="53"/>
        <v>-6.7669172932330823E-2</v>
      </c>
      <c r="O107" s="104">
        <f>IF(ISNUMBER(M107), $B118 * N107, "")</f>
        <v>-6766.9172932330821</v>
      </c>
      <c r="Q107" s="250"/>
      <c r="R107" s="251"/>
      <c r="S107" s="252"/>
    </row>
    <row r="108" spans="1:19">
      <c r="A108" s="123" t="s">
        <v>102</v>
      </c>
      <c r="B108" s="124">
        <v>1170</v>
      </c>
      <c r="C108" s="76">
        <v>8.8372092999999999E-2</v>
      </c>
      <c r="D108" s="13">
        <v>1190</v>
      </c>
      <c r="E108" s="14">
        <f>IF(ISNUMBER(D108), (D108 - $B108) / $B108, "")</f>
        <v>1.7094017094017096E-2</v>
      </c>
      <c r="F108" s="16">
        <f>IF(ISNUMBER(D108), $B118 * E108, "")</f>
        <v>1709.4017094017095</v>
      </c>
      <c r="G108" s="29">
        <v>1140</v>
      </c>
      <c r="H108" s="14">
        <f>IF(ISNUMBER(G108), (G108 - $B108) / $B108, "")</f>
        <v>-2.564102564102564E-2</v>
      </c>
      <c r="I108" s="100">
        <f>IF(ISNUMBER(G108), $B118 * H108, "")</f>
        <v>-2564.102564102564</v>
      </c>
      <c r="J108" s="13">
        <v>1120</v>
      </c>
      <c r="K108" s="14">
        <f>IF(ISNUMBER(J108), (J108 - $B108) / $B108, "")</f>
        <v>-4.2735042735042736E-2</v>
      </c>
      <c r="L108" s="16">
        <f>IF(ISNUMBER(J108), $B118 * K108, "")</f>
        <v>-4273.5042735042734</v>
      </c>
      <c r="M108" s="29">
        <v>1105</v>
      </c>
      <c r="N108" s="14">
        <f>IF(ISNUMBER(M108), (M108 - $B108) / $B108, "")</f>
        <v>-5.5555555555555552E-2</v>
      </c>
      <c r="O108" s="16">
        <f>IF(ISNUMBER(M108), $B118 * N108, "")</f>
        <v>-5555.5555555555557</v>
      </c>
      <c r="Q108" s="253"/>
      <c r="R108" s="254"/>
      <c r="S108" s="255"/>
    </row>
    <row r="109" spans="1:19" ht="17.25" thickBot="1">
      <c r="A109" s="125" t="s">
        <v>250</v>
      </c>
      <c r="B109" s="126">
        <v>77.5</v>
      </c>
      <c r="C109" s="77">
        <v>8.5434173700000005E-2</v>
      </c>
      <c r="D109" s="15">
        <v>80.599999999999994</v>
      </c>
      <c r="E109" s="32">
        <f t="shared" ref="E109:E112" si="54">IF(ISNUMBER(D109), (D109 - $B109) / $B109, "")</f>
        <v>3.9999999999999925E-2</v>
      </c>
      <c r="F109" s="18">
        <f>IF(ISNUMBER(D109), $B118 * E109, "")</f>
        <v>3999.9999999999923</v>
      </c>
      <c r="G109" s="31">
        <v>79.2</v>
      </c>
      <c r="H109" s="32">
        <f t="shared" ref="H109:H112" si="55">IF(ISNUMBER(G109), (G109 - $B109) / $B109, "")</f>
        <v>2.1935483870967779E-2</v>
      </c>
      <c r="I109" s="101">
        <f>IF(ISNUMBER(G109), $B118 * H109, "")</f>
        <v>2193.5483870967778</v>
      </c>
      <c r="J109" s="15">
        <v>77.8</v>
      </c>
      <c r="K109" s="32">
        <f t="shared" ref="K109:K112" si="56">IF(ISNUMBER(J109), (J109 - $B109) / $B109, "")</f>
        <v>3.870967741935447E-3</v>
      </c>
      <c r="L109" s="18">
        <f>IF(ISNUMBER(J109), $B118 * K109, "")</f>
        <v>387.09677419354472</v>
      </c>
      <c r="M109" s="31">
        <v>75.400000000000006</v>
      </c>
      <c r="N109" s="32">
        <f t="shared" ref="N109:N112" si="57">IF(ISNUMBER(M109), (M109 - $B109) / $B109, "")</f>
        <v>-2.7096774193548313E-2</v>
      </c>
      <c r="O109" s="18">
        <f>IF(ISNUMBER(M109), $B118 * N109, "")</f>
        <v>-2709.6774193548313</v>
      </c>
      <c r="Q109" s="256"/>
      <c r="R109" s="257"/>
      <c r="S109" s="258"/>
    </row>
    <row r="110" spans="1:19" ht="17.25" thickBot="1">
      <c r="A110" s="125" t="s">
        <v>90</v>
      </c>
      <c r="B110" s="126">
        <v>1060</v>
      </c>
      <c r="C110" s="77">
        <v>8.49539406E-2</v>
      </c>
      <c r="D110" s="15">
        <v>1165</v>
      </c>
      <c r="E110" s="32">
        <f t="shared" si="54"/>
        <v>9.9056603773584911E-2</v>
      </c>
      <c r="F110" s="18">
        <f>IF(ISNUMBER(D110), $B118 * E110, "")</f>
        <v>9905.660377358492</v>
      </c>
      <c r="G110" s="31">
        <v>1155</v>
      </c>
      <c r="H110" s="32">
        <f t="shared" si="55"/>
        <v>8.9622641509433956E-2</v>
      </c>
      <c r="I110" s="101">
        <f>IF(ISNUMBER(G110), $B118 * H110, "")</f>
        <v>8962.2641509433961</v>
      </c>
      <c r="J110" s="15">
        <v>1130</v>
      </c>
      <c r="K110" s="32">
        <f t="shared" si="56"/>
        <v>6.6037735849056603E-2</v>
      </c>
      <c r="L110" s="18">
        <f>IF(ISNUMBER(J110), $B118 * K110, "")</f>
        <v>6603.7735849056598</v>
      </c>
      <c r="M110" s="31">
        <v>1125</v>
      </c>
      <c r="N110" s="32">
        <f t="shared" si="57"/>
        <v>6.1320754716981132E-2</v>
      </c>
      <c r="O110" s="18">
        <f>IF(ISNUMBER(M110), $B118 * N110, "")</f>
        <v>6132.0754716981137</v>
      </c>
      <c r="Q110" s="241"/>
      <c r="R110" s="241"/>
      <c r="S110" s="241"/>
    </row>
    <row r="111" spans="1:19" ht="17.25" thickBot="1">
      <c r="A111" s="125" t="s">
        <v>76</v>
      </c>
      <c r="B111" s="126">
        <v>30510</v>
      </c>
      <c r="C111" s="77">
        <v>8.2298687499999995E-2</v>
      </c>
      <c r="D111" s="15">
        <v>30090</v>
      </c>
      <c r="E111" s="32">
        <f t="shared" si="54"/>
        <v>-1.376597836774828E-2</v>
      </c>
      <c r="F111" s="18">
        <f>IF(ISNUMBER(D111), $B118 * E111, "")</f>
        <v>-1376.597836774828</v>
      </c>
      <c r="G111" s="31">
        <v>29380</v>
      </c>
      <c r="H111" s="32">
        <f t="shared" si="55"/>
        <v>-3.7037037037037035E-2</v>
      </c>
      <c r="I111" s="101">
        <f>IF(ISNUMBER(G111), $B118 * H111, "")</f>
        <v>-3703.7037037037035</v>
      </c>
      <c r="J111" s="15">
        <v>29180</v>
      </c>
      <c r="K111" s="32">
        <f t="shared" si="56"/>
        <v>-4.3592264831202883E-2</v>
      </c>
      <c r="L111" s="18">
        <f>IF(ISNUMBER(J111), $B118 * K111, "")</f>
        <v>-4359.2264831202883</v>
      </c>
      <c r="M111" s="31">
        <v>28710</v>
      </c>
      <c r="N111" s="32">
        <f t="shared" si="57"/>
        <v>-5.8997050147492625E-2</v>
      </c>
      <c r="O111" s="18">
        <f>IF(ISNUMBER(M111), $B118 * N111, "")</f>
        <v>-5899.7050147492628</v>
      </c>
      <c r="Q111" s="236"/>
      <c r="R111" s="236"/>
      <c r="S111" s="236"/>
    </row>
    <row r="112" spans="1:19" ht="17.25" thickBot="1">
      <c r="A112" s="127" t="s">
        <v>112</v>
      </c>
      <c r="B112" s="128">
        <v>8590</v>
      </c>
      <c r="C112" s="78">
        <v>7.9145728600000007E-2</v>
      </c>
      <c r="D112" s="20">
        <v>8330</v>
      </c>
      <c r="E112" s="21">
        <f t="shared" si="54"/>
        <v>-3.0267753201396973E-2</v>
      </c>
      <c r="F112" s="22">
        <f>IF(ISNUMBER(D112), $B118 * E112, "")</f>
        <v>-3026.7753201396972</v>
      </c>
      <c r="G112" s="30">
        <v>8020</v>
      </c>
      <c r="H112" s="21">
        <f t="shared" si="55"/>
        <v>-6.6356228172293363E-2</v>
      </c>
      <c r="I112" s="105">
        <f>IF(ISNUMBER(G112), $B118 * H112, "")</f>
        <v>-6635.6228172293368</v>
      </c>
      <c r="J112" s="20">
        <v>7935</v>
      </c>
      <c r="K112" s="21">
        <f t="shared" si="56"/>
        <v>-7.6251455180442379E-2</v>
      </c>
      <c r="L112" s="22">
        <f>IF(ISNUMBER(J112), $B118 * K112, "")</f>
        <v>-7625.1455180442381</v>
      </c>
      <c r="M112" s="30">
        <v>7860</v>
      </c>
      <c r="N112" s="21">
        <f t="shared" si="57"/>
        <v>-8.4982537834691507E-2</v>
      </c>
      <c r="O112" s="22">
        <f>IF(ISNUMBER(M112), $B118 * N112, "")</f>
        <v>-8498.2537834691502</v>
      </c>
      <c r="Q112" s="236"/>
      <c r="R112" s="236"/>
      <c r="S112" s="236"/>
    </row>
    <row r="113" spans="1:19" ht="17.25" thickBot="1">
      <c r="A113" s="125" t="s">
        <v>74</v>
      </c>
      <c r="B113" s="129">
        <v>17420</v>
      </c>
      <c r="C113" s="80">
        <v>7.6637824500000007E-2</v>
      </c>
      <c r="D113" s="106">
        <v>17040</v>
      </c>
      <c r="E113" s="107">
        <f>IF(ISNUMBER(D113), (D113 - $B113) / $B113, "")</f>
        <v>-2.1814006888633754E-2</v>
      </c>
      <c r="F113" s="108">
        <f>IF(ISNUMBER(D113), $B118 * E113, "")</f>
        <v>-2181.4006888633753</v>
      </c>
      <c r="G113" s="109">
        <v>16820</v>
      </c>
      <c r="H113" s="107">
        <f>IF(ISNUMBER(G113), (G113 - $B113) / $B113, "")</f>
        <v>-3.4443168771526977E-2</v>
      </c>
      <c r="I113" s="110">
        <f>IF(ISNUMBER(G113), $B118 * H113, "")</f>
        <v>-3444.3168771526975</v>
      </c>
      <c r="J113" s="106">
        <v>16440</v>
      </c>
      <c r="K113" s="107">
        <f>IF(ISNUMBER(J113), (J113 - $B113) / $B113, "")</f>
        <v>-5.6257175660160738E-2</v>
      </c>
      <c r="L113" s="108">
        <f>IF(ISNUMBER(J113), $B118 * K113, "")</f>
        <v>-5625.7175660160738</v>
      </c>
      <c r="M113" s="109">
        <v>16280</v>
      </c>
      <c r="N113" s="107">
        <f>IF(ISNUMBER(M113), (M113 - $B113) / $B113, "")</f>
        <v>-6.5442020665901268E-2</v>
      </c>
      <c r="O113" s="108">
        <f>IF(ISNUMBER(M113), $B118 * N113, "")</f>
        <v>-6544.2020665901264</v>
      </c>
      <c r="Q113" s="241"/>
      <c r="R113" s="241"/>
      <c r="S113" s="241"/>
    </row>
    <row r="114" spans="1:19" ht="17.25" thickBot="1">
      <c r="A114" s="125" t="s">
        <v>130</v>
      </c>
      <c r="B114" s="126">
        <v>113</v>
      </c>
      <c r="C114" s="77">
        <v>7.6190476199999996E-2</v>
      </c>
      <c r="D114" s="15">
        <v>112</v>
      </c>
      <c r="E114" s="32">
        <f t="shared" ref="E114:E117" si="58">IF(ISNUMBER(D114), (D114 - $B114) / $B114, "")</f>
        <v>-8.8495575221238937E-3</v>
      </c>
      <c r="F114" s="18">
        <f>IF(ISNUMBER(D114), $B118 * E114, "")</f>
        <v>-884.95575221238937</v>
      </c>
      <c r="G114" s="31">
        <v>108</v>
      </c>
      <c r="H114" s="32">
        <f t="shared" ref="H114:H117" si="59">IF(ISNUMBER(G114), (G114 - $B114) / $B114, "")</f>
        <v>-4.4247787610619468E-2</v>
      </c>
      <c r="I114" s="101">
        <f>IF(ISNUMBER(G114), $B118 * H114, "")</f>
        <v>-4424.7787610619471</v>
      </c>
      <c r="J114" s="15">
        <v>106</v>
      </c>
      <c r="K114" s="32">
        <f t="shared" ref="K114:K117" si="60">IF(ISNUMBER(J114), (J114 - $B114) / $B114, "")</f>
        <v>-6.1946902654867256E-2</v>
      </c>
      <c r="L114" s="18">
        <f>IF(ISNUMBER(J114), $B118 * K114, "")</f>
        <v>-6194.6902654867254</v>
      </c>
      <c r="M114" s="31">
        <v>106</v>
      </c>
      <c r="N114" s="32">
        <f t="shared" ref="N114:N117" si="61">IF(ISNUMBER(M114), (M114 - $B114) / $B114, "")</f>
        <v>-6.1946902654867256E-2</v>
      </c>
      <c r="O114" s="18">
        <f>IF(ISNUMBER(M114), $B118 * N114, "")</f>
        <v>-6194.6902654867254</v>
      </c>
      <c r="Q114" s="241"/>
      <c r="R114" s="241"/>
      <c r="S114" s="241"/>
    </row>
    <row r="115" spans="1:19" ht="17.25" thickBot="1">
      <c r="A115" s="125" t="s">
        <v>146</v>
      </c>
      <c r="B115" s="126">
        <v>3760</v>
      </c>
      <c r="C115" s="77">
        <v>7.1225071200000004E-2</v>
      </c>
      <c r="D115" s="15">
        <v>3765</v>
      </c>
      <c r="E115" s="32">
        <f t="shared" si="58"/>
        <v>1.3297872340425532E-3</v>
      </c>
      <c r="F115" s="18">
        <f>IF(ISNUMBER(D115), $B118 * E115, "")</f>
        <v>132.97872340425531</v>
      </c>
      <c r="G115" s="31">
        <v>3705</v>
      </c>
      <c r="H115" s="32">
        <f t="shared" si="59"/>
        <v>-1.4627659574468085E-2</v>
      </c>
      <c r="I115" s="101">
        <f>IF(ISNUMBER(G115), $B118 * H115, "")</f>
        <v>-1462.7659574468084</v>
      </c>
      <c r="J115" s="15">
        <v>3610</v>
      </c>
      <c r="K115" s="32">
        <f t="shared" si="60"/>
        <v>-3.9893617021276598E-2</v>
      </c>
      <c r="L115" s="18">
        <f>IF(ISNUMBER(J115), $B118 * K115, "")</f>
        <v>-3989.3617021276596</v>
      </c>
      <c r="M115" s="31">
        <v>3600</v>
      </c>
      <c r="N115" s="32">
        <f t="shared" si="61"/>
        <v>-4.2553191489361701E-2</v>
      </c>
      <c r="O115" s="18">
        <f>IF(ISNUMBER(M115), $B118 * N115, "")</f>
        <v>-4255.3191489361698</v>
      </c>
      <c r="Q115" s="241"/>
      <c r="R115" s="241"/>
      <c r="S115" s="241"/>
    </row>
    <row r="116" spans="1:19">
      <c r="A116" s="125" t="s">
        <v>266</v>
      </c>
      <c r="B116" s="126">
        <v>316</v>
      </c>
      <c r="C116" s="77">
        <v>7.1186440700000006E-2</v>
      </c>
      <c r="D116" s="15">
        <v>325</v>
      </c>
      <c r="E116" s="32">
        <f t="shared" si="58"/>
        <v>2.8481012658227847E-2</v>
      </c>
      <c r="F116" s="18">
        <f>IF(ISNUMBER(D116), $B118 * E116, "")</f>
        <v>2848.1012658227846</v>
      </c>
      <c r="G116" s="31">
        <v>312</v>
      </c>
      <c r="H116" s="32">
        <f t="shared" si="59"/>
        <v>-1.2658227848101266E-2</v>
      </c>
      <c r="I116" s="101">
        <f>IF(ISNUMBER(G116), $B118 * H116, "")</f>
        <v>-1265.8227848101264</v>
      </c>
      <c r="J116" s="15">
        <v>310</v>
      </c>
      <c r="K116" s="32">
        <f t="shared" si="60"/>
        <v>-1.8987341772151899E-2</v>
      </c>
      <c r="L116" s="18">
        <f>IF(ISNUMBER(J116), $B118 * K116, "")</f>
        <v>-1898.7341772151899</v>
      </c>
      <c r="M116" s="31">
        <v>306</v>
      </c>
      <c r="N116" s="32">
        <f t="shared" si="61"/>
        <v>-3.1645569620253167E-2</v>
      </c>
      <c r="O116" s="18">
        <f>IF(ISNUMBER(M116), $B118 * N116, "")</f>
        <v>-3164.5569620253168</v>
      </c>
      <c r="Q116" s="263"/>
      <c r="R116" s="264"/>
      <c r="S116" s="265"/>
    </row>
    <row r="117" spans="1:19" ht="17.25" thickBot="1">
      <c r="A117" s="130" t="s">
        <v>51</v>
      </c>
      <c r="B117" s="131">
        <v>381</v>
      </c>
      <c r="C117" s="79">
        <v>7.0224719099999999E-2</v>
      </c>
      <c r="D117" s="24">
        <v>396</v>
      </c>
      <c r="E117" s="25">
        <f t="shared" si="58"/>
        <v>3.937007874015748E-2</v>
      </c>
      <c r="F117" s="104">
        <f>IF(ISNUMBER(D117), $B118 * E117, "")</f>
        <v>3937.0078740157478</v>
      </c>
      <c r="G117" s="102">
        <v>386</v>
      </c>
      <c r="H117" s="25">
        <f t="shared" si="59"/>
        <v>1.3123359580052493E-2</v>
      </c>
      <c r="I117" s="103">
        <f>IF(ISNUMBER(G117), $B118 * H117, "")</f>
        <v>1312.3359580052493</v>
      </c>
      <c r="J117" s="24">
        <v>379</v>
      </c>
      <c r="K117" s="25">
        <f t="shared" si="60"/>
        <v>-5.2493438320209973E-3</v>
      </c>
      <c r="L117" s="104">
        <f>IF(ISNUMBER(J117), $B118 * K117, "")</f>
        <v>-524.93438320209975</v>
      </c>
      <c r="M117" s="102">
        <v>379</v>
      </c>
      <c r="N117" s="25">
        <f t="shared" si="61"/>
        <v>-5.2493438320209973E-3</v>
      </c>
      <c r="O117" s="104">
        <f>IF(ISNUMBER(M117), $B118 * N117, "")</f>
        <v>-524.93438320209975</v>
      </c>
      <c r="Q117" s="266"/>
      <c r="R117" s="267"/>
      <c r="S117" s="268"/>
    </row>
    <row r="118" spans="1:19" ht="17.25" thickBot="1">
      <c r="A118" s="132" t="s">
        <v>270</v>
      </c>
      <c r="B118" s="274">
        <f>$B$37</f>
        <v>100000</v>
      </c>
      <c r="C118" s="275"/>
      <c r="D118" s="26" t="s">
        <v>271</v>
      </c>
      <c r="E118" s="27">
        <f>IF(COUNT(E98:E117), SUM(E98:E117) / COUNT(E98:E117), 0)</f>
        <v>1.8483972425261987E-3</v>
      </c>
      <c r="F118" s="28">
        <f>SUM(F98:F117)</f>
        <v>3696.7944850523972</v>
      </c>
      <c r="G118" s="26" t="s">
        <v>271</v>
      </c>
      <c r="H118" s="27">
        <f>IF(COUNT(H98:H117), SUM(H98:H117) / COUNT(H98:H117), 0)</f>
        <v>-2.1958800538177038E-2</v>
      </c>
      <c r="I118" s="28">
        <f>SUM(I98:I117)</f>
        <v>-43917.601076354069</v>
      </c>
      <c r="J118" s="26" t="s">
        <v>271</v>
      </c>
      <c r="K118" s="27">
        <f>IF(COUNT(K98:K117), SUM(K98:K117) / COUNT(K98:K117), 0)</f>
        <v>-3.7901421750031236E-2</v>
      </c>
      <c r="L118" s="28">
        <f>SUM(L98:L117)</f>
        <v>-75802.843500062445</v>
      </c>
      <c r="M118" s="26" t="s">
        <v>271</v>
      </c>
      <c r="N118" s="27">
        <f>IF(COUNT(N98:N117), SUM(N98:N117) / COUNT(N98:N117), 0)</f>
        <v>-4.9111823515899426E-2</v>
      </c>
      <c r="O118" s="28">
        <f>SUM(O98:O117)</f>
        <v>-98223.647031798857</v>
      </c>
      <c r="Q118" s="269"/>
      <c r="R118" s="270"/>
      <c r="S118" s="27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36"/>
      <c r="R121" s="236"/>
      <c r="S121" s="236"/>
    </row>
    <row r="122" spans="1:19" ht="17.25" thickBot="1">
      <c r="A122" s="201" t="s">
        <v>267</v>
      </c>
      <c r="B122" s="215" t="s">
        <v>49</v>
      </c>
      <c r="C122" s="217"/>
      <c r="D122" s="215" t="s">
        <v>58</v>
      </c>
      <c r="E122" s="216"/>
      <c r="F122" s="217"/>
      <c r="G122" s="242">
        <f>_xlfn.IFNA(VLOOKUP(B122, 현재가테이블!$B$2:$D$200, 2, FALSE), "-")</f>
        <v>53976000</v>
      </c>
      <c r="H122" s="243"/>
      <c r="I122" s="244"/>
      <c r="J122" s="215" t="s">
        <v>59</v>
      </c>
      <c r="K122" s="216"/>
      <c r="L122" s="217"/>
      <c r="M122" s="245">
        <f>_xlfn.IFNA(VLOOKUP(B122, 현재가테이블!$B$2:$D$200, 3, FALSE), "-")</f>
        <v>-2.1216407400000001E-2</v>
      </c>
      <c r="N122" s="246"/>
      <c r="O122" s="247"/>
      <c r="Q122" s="236"/>
      <c r="R122" s="236"/>
      <c r="S122" s="236"/>
    </row>
    <row r="123" spans="1:19" ht="17.25" thickBot="1">
      <c r="A123" s="276" t="s">
        <v>55</v>
      </c>
      <c r="B123" s="278" t="str">
        <f>TEXT($G$1, "[$-ko-KR]yyyy-mm-dd(ddd) ") &amp; "오전 00:00"</f>
        <v>2021-08-12(목) 오전 00:00</v>
      </c>
      <c r="C123" s="279"/>
      <c r="D123" s="238" t="str">
        <f>TEXT($G$1, "[$-ko-KR]yyyy-mm-dd(ddd) ") &amp; "오후 14:00"</f>
        <v>2021-08-12(목) 오후 14:00</v>
      </c>
      <c r="E123" s="239"/>
      <c r="F123" s="240"/>
      <c r="G123" s="238" t="str">
        <f>TEXT($G$1, "[$-ko-KR]yyyy-mm-dd(ddd) ") &amp; "오후 19:00"</f>
        <v>2021-08-12(목) 오후 19:00</v>
      </c>
      <c r="H123" s="239"/>
      <c r="I123" s="240"/>
      <c r="J123" s="238" t="str">
        <f>TEXT($G$1, "[$-ko-KR]yyyy-mm-dd(ddd) ") &amp; "오후 21:00"</f>
        <v>2021-08-12(목) 오후 21:00</v>
      </c>
      <c r="K123" s="239"/>
      <c r="L123" s="240"/>
      <c r="M123" s="238" t="str">
        <f>TEXT($G$1+1, "[$-ko-KR]yyyy-mm-dd(ddd) ") &amp; "오전 00:00"</f>
        <v>2021-08-13(금) 오전 00:00</v>
      </c>
      <c r="N123" s="239"/>
      <c r="O123" s="240"/>
      <c r="Q123" s="236"/>
      <c r="R123" s="236"/>
      <c r="S123" s="236"/>
    </row>
    <row r="124" spans="1:19" ht="17.25" thickBot="1">
      <c r="A124" s="27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1"/>
      <c r="R124" s="241"/>
      <c r="S124" s="241"/>
    </row>
    <row r="125" spans="1:19" ht="17.25" thickBot="1">
      <c r="A125" s="123" t="s">
        <v>98</v>
      </c>
      <c r="B125" s="124">
        <v>5.26</v>
      </c>
      <c r="C125" s="76">
        <v>0.17937219730000001</v>
      </c>
      <c r="D125" s="13">
        <v>5.44</v>
      </c>
      <c r="E125" s="14">
        <f>IF(ISNUMBER(D125), (D125 - $B125) / $B125, "")</f>
        <v>3.4220532319391754E-2</v>
      </c>
      <c r="F125" s="16">
        <f>IF(ISNUMBER(D125), $B145 * E125, "")</f>
        <v>3422.0532319391755</v>
      </c>
      <c r="G125" s="29">
        <v>5.32</v>
      </c>
      <c r="H125" s="14">
        <f>IF(ISNUMBER(G125), (G125 - $B125) / $B125, "")</f>
        <v>1.1406844106463974E-2</v>
      </c>
      <c r="I125" s="100">
        <f>IF(ISNUMBER(G125), $B145 * H125, "")</f>
        <v>1140.6844106463975</v>
      </c>
      <c r="J125" s="13">
        <v>5.26</v>
      </c>
      <c r="K125" s="14">
        <f>IF(ISNUMBER(J125), (J125 - $B125) / $B125, "")</f>
        <v>0</v>
      </c>
      <c r="L125" s="16">
        <f>IF(ISNUMBER(J125), $B145 * K125, "")</f>
        <v>0</v>
      </c>
      <c r="M125" s="29">
        <v>5.2</v>
      </c>
      <c r="N125" s="14">
        <f>IF(ISNUMBER(M125), (M125 - $B125) / $B125, "")</f>
        <v>-1.1406844106463804E-2</v>
      </c>
      <c r="O125" s="16">
        <f>IF(ISNUMBER(M125), $B145 * N125, "")</f>
        <v>-1140.6844106463805</v>
      </c>
      <c r="Q125" s="236"/>
      <c r="R125" s="236"/>
      <c r="S125" s="236"/>
    </row>
    <row r="126" spans="1:19" ht="17.25" thickBot="1">
      <c r="A126" s="125" t="s">
        <v>152</v>
      </c>
      <c r="B126" s="126">
        <v>97.1</v>
      </c>
      <c r="C126" s="77">
        <v>0.1330221704</v>
      </c>
      <c r="D126" s="15">
        <v>101</v>
      </c>
      <c r="E126" s="32">
        <f t="shared" ref="E126:E129" si="62">IF(ISNUMBER(D126), (D126 - $B126) / $B126, "")</f>
        <v>4.0164778578784817E-2</v>
      </c>
      <c r="F126" s="18">
        <f>IF(ISNUMBER(D126), $B145 * E126, "")</f>
        <v>4016.4778578784817</v>
      </c>
      <c r="G126" s="31">
        <v>99</v>
      </c>
      <c r="H126" s="32">
        <f t="shared" ref="H126:H129" si="63">IF(ISNUMBER(G126), (G126 - $B126) / $B126, "")</f>
        <v>1.9567456230690072E-2</v>
      </c>
      <c r="I126" s="101">
        <f>IF(ISNUMBER(G126), $B145 * H126, "")</f>
        <v>1956.7456230690073</v>
      </c>
      <c r="J126" s="15">
        <v>98</v>
      </c>
      <c r="K126" s="32">
        <f t="shared" ref="K126:K129" si="64">IF(ISNUMBER(J126), (J126 - $B126) / $B126, "")</f>
        <v>9.2687950566426956E-3</v>
      </c>
      <c r="L126" s="18">
        <f>IF(ISNUMBER(J126), $B145 * K126, "")</f>
        <v>926.87950566426957</v>
      </c>
      <c r="M126" s="31">
        <v>96.4</v>
      </c>
      <c r="N126" s="32">
        <f t="shared" ref="N126:N129" si="65">IF(ISNUMBER(M126), (M126 - $B126) / $B126, "")</f>
        <v>-7.2090628218330448E-3</v>
      </c>
      <c r="O126" s="18">
        <f>IF(ISNUMBER(M126), $B145 * N126, "")</f>
        <v>-720.90628218330448</v>
      </c>
      <c r="Q126" s="236"/>
      <c r="R126" s="236"/>
      <c r="S126" s="236"/>
    </row>
    <row r="127" spans="1:19" ht="17.25" thickBot="1">
      <c r="A127" s="125" t="s">
        <v>148</v>
      </c>
      <c r="B127" s="126">
        <v>21.6</v>
      </c>
      <c r="C127" s="77">
        <v>9.0909090900000003E-2</v>
      </c>
      <c r="D127" s="15">
        <v>21.3</v>
      </c>
      <c r="E127" s="32">
        <f t="shared" si="62"/>
        <v>-1.3888888888888921E-2</v>
      </c>
      <c r="F127" s="18">
        <f>IF(ISNUMBER(D127), $B145 * E127, "")</f>
        <v>-1388.8888888888921</v>
      </c>
      <c r="G127" s="31">
        <v>20.7</v>
      </c>
      <c r="H127" s="32">
        <f t="shared" si="63"/>
        <v>-4.1666666666666761E-2</v>
      </c>
      <c r="I127" s="101">
        <f>IF(ISNUMBER(G127), $B145 * H127, "")</f>
        <v>-4166.6666666666761</v>
      </c>
      <c r="J127" s="15">
        <v>20.5</v>
      </c>
      <c r="K127" s="32">
        <f t="shared" si="64"/>
        <v>-5.0925925925925986E-2</v>
      </c>
      <c r="L127" s="18">
        <f>IF(ISNUMBER(J127), $B145 * K127, "")</f>
        <v>-5092.5925925925985</v>
      </c>
      <c r="M127" s="31">
        <v>20.3</v>
      </c>
      <c r="N127" s="32">
        <f t="shared" si="65"/>
        <v>-6.0185185185185217E-2</v>
      </c>
      <c r="O127" s="18">
        <f>IF(ISNUMBER(M127), $B145 * N127, "")</f>
        <v>-6018.5185185185219</v>
      </c>
      <c r="Q127" s="241"/>
      <c r="R127" s="241"/>
      <c r="S127" s="241"/>
    </row>
    <row r="128" spans="1:19" ht="17.25" thickBot="1">
      <c r="A128" s="125" t="s">
        <v>250</v>
      </c>
      <c r="B128" s="126">
        <v>77.5</v>
      </c>
      <c r="C128" s="77">
        <v>8.5434173700000005E-2</v>
      </c>
      <c r="D128" s="15">
        <v>80.599999999999994</v>
      </c>
      <c r="E128" s="32">
        <f t="shared" si="62"/>
        <v>3.9999999999999925E-2</v>
      </c>
      <c r="F128" s="18">
        <f>IF(ISNUMBER(D128), $B145 * E128, "")</f>
        <v>3999.9999999999923</v>
      </c>
      <c r="G128" s="31">
        <v>79.2</v>
      </c>
      <c r="H128" s="32">
        <f t="shared" si="63"/>
        <v>2.1935483870967779E-2</v>
      </c>
      <c r="I128" s="101">
        <f>IF(ISNUMBER(G128), $B145 * H128, "")</f>
        <v>2193.5483870967778</v>
      </c>
      <c r="J128" s="15">
        <v>77.8</v>
      </c>
      <c r="K128" s="32">
        <f t="shared" si="64"/>
        <v>3.870967741935447E-3</v>
      </c>
      <c r="L128" s="18">
        <f>IF(ISNUMBER(J128), $B145 * K128, "")</f>
        <v>387.09677419354472</v>
      </c>
      <c r="M128" s="31">
        <v>75.400000000000006</v>
      </c>
      <c r="N128" s="32">
        <f t="shared" si="65"/>
        <v>-2.7096774193548313E-2</v>
      </c>
      <c r="O128" s="18">
        <f>IF(ISNUMBER(M128), $B145 * N128, "")</f>
        <v>-2709.6774193548313</v>
      </c>
      <c r="Q128" s="241"/>
      <c r="R128" s="241"/>
      <c r="S128" s="241"/>
    </row>
    <row r="129" spans="1:19" ht="17.25" thickBot="1">
      <c r="A129" s="127" t="s">
        <v>202</v>
      </c>
      <c r="B129" s="128">
        <v>96.6</v>
      </c>
      <c r="C129" s="78">
        <v>5.8050383400000002E-2</v>
      </c>
      <c r="D129" s="20">
        <v>101</v>
      </c>
      <c r="E129" s="21">
        <f t="shared" si="62"/>
        <v>4.5548654244306479E-2</v>
      </c>
      <c r="F129" s="22">
        <f>IF(ISNUMBER(D129), $B145 * E129, "")</f>
        <v>4554.8654244306481</v>
      </c>
      <c r="G129" s="30">
        <v>98.2</v>
      </c>
      <c r="H129" s="21">
        <f t="shared" si="63"/>
        <v>1.6563146997929695E-2</v>
      </c>
      <c r="I129" s="105">
        <f>IF(ISNUMBER(G129), $B145 * H129, "")</f>
        <v>1656.3146997929693</v>
      </c>
      <c r="J129" s="20">
        <v>97.2</v>
      </c>
      <c r="K129" s="21">
        <f t="shared" si="64"/>
        <v>6.2111801242236914E-3</v>
      </c>
      <c r="L129" s="22">
        <f>IF(ISNUMBER(J129), $B145 * K129, "")</f>
        <v>621.11801242236913</v>
      </c>
      <c r="M129" s="30">
        <v>95.9</v>
      </c>
      <c r="N129" s="21">
        <f t="shared" si="65"/>
        <v>-7.2463768115940859E-3</v>
      </c>
      <c r="O129" s="22">
        <f>IF(ISNUMBER(M129), $B145 * N129, "")</f>
        <v>-724.63768115940854</v>
      </c>
      <c r="Q129" s="241"/>
      <c r="R129" s="241"/>
      <c r="S129" s="241"/>
    </row>
    <row r="130" spans="1:19" ht="17.25" thickBot="1">
      <c r="A130" s="125" t="s">
        <v>65</v>
      </c>
      <c r="B130" s="129">
        <v>35.6</v>
      </c>
      <c r="C130" s="80">
        <v>5.6379822000000003E-2</v>
      </c>
      <c r="D130" s="106">
        <v>35.799999999999997</v>
      </c>
      <c r="E130" s="107">
        <f>IF(ISNUMBER(D130), (D130 - $B130) / $B130, "")</f>
        <v>5.6179775280897678E-3</v>
      </c>
      <c r="F130" s="108">
        <f>IF(ISNUMBER(D130), $B145 * E130, "")</f>
        <v>561.79775280897672</v>
      </c>
      <c r="G130" s="109">
        <v>35</v>
      </c>
      <c r="H130" s="107">
        <f>IF(ISNUMBER(G130), (G130 - $B130) / $B130, "")</f>
        <v>-1.6853932584269701E-2</v>
      </c>
      <c r="I130" s="110">
        <f>IF(ISNUMBER(G130), $B145 * H130, "")</f>
        <v>-1685.3932584269701</v>
      </c>
      <c r="J130" s="106">
        <v>34.5</v>
      </c>
      <c r="K130" s="107">
        <f>IF(ISNUMBER(J130), (J130 - $B130) / $B130, "")</f>
        <v>-3.0898876404494419E-2</v>
      </c>
      <c r="L130" s="108">
        <f>IF(ISNUMBER(J130), $B145 * K130, "")</f>
        <v>-3089.8876404494417</v>
      </c>
      <c r="M130" s="109">
        <v>34.1</v>
      </c>
      <c r="N130" s="107">
        <f>IF(ISNUMBER(M130), (M130 - $B130) / $B130, "")</f>
        <v>-4.2134831460674156E-2</v>
      </c>
      <c r="O130" s="108">
        <f>IF(ISNUMBER(M130), $B145 * N130, "")</f>
        <v>-4213.4831460674159</v>
      </c>
      <c r="Q130" s="241"/>
      <c r="R130" s="241"/>
      <c r="S130" s="241"/>
    </row>
    <row r="131" spans="1:19" ht="17.25" thickBot="1">
      <c r="A131" s="125" t="s">
        <v>122</v>
      </c>
      <c r="B131" s="126">
        <v>32.700000000000003</v>
      </c>
      <c r="C131" s="77">
        <v>5.4838709700000002E-2</v>
      </c>
      <c r="D131" s="15">
        <v>34.4</v>
      </c>
      <c r="E131" s="32">
        <f t="shared" ref="E131:E134" si="66">IF(ISNUMBER(D131), (D131 - $B131) / $B131, "")</f>
        <v>5.1987767584097726E-2</v>
      </c>
      <c r="F131" s="18">
        <f>IF(ISNUMBER(D131), $B145 * E131, "")</f>
        <v>5198.7767584097728</v>
      </c>
      <c r="G131" s="31">
        <v>33.6</v>
      </c>
      <c r="H131" s="32">
        <f t="shared" ref="H131:H134" si="67">IF(ISNUMBER(G131), (G131 - $B131) / $B131, "")</f>
        <v>2.7522935779816467E-2</v>
      </c>
      <c r="I131" s="101">
        <f>IF(ISNUMBER(G131), $B145 * H131, "")</f>
        <v>2752.2935779816466</v>
      </c>
      <c r="J131" s="15">
        <v>33.1</v>
      </c>
      <c r="K131" s="32">
        <f t="shared" ref="K131:K134" si="68">IF(ISNUMBER(J131), (J131 - $B131) / $B131, "")</f>
        <v>1.2232415902140628E-2</v>
      </c>
      <c r="L131" s="18">
        <f>IF(ISNUMBER(J131), $B145 * K131, "")</f>
        <v>1223.2415902140629</v>
      </c>
      <c r="M131" s="31">
        <v>32.6</v>
      </c>
      <c r="N131" s="32">
        <f t="shared" ref="N131:N134" si="69">IF(ISNUMBER(M131), (M131 - $B131) / $B131, "")</f>
        <v>-3.0581039755352116E-3</v>
      </c>
      <c r="O131" s="18">
        <f>IF(ISNUMBER(M131), $B145 * N131, "")</f>
        <v>-305.81039755352117</v>
      </c>
      <c r="Q131" s="241"/>
      <c r="R131" s="241"/>
      <c r="S131" s="241"/>
    </row>
    <row r="132" spans="1:19" ht="17.25" thickBot="1">
      <c r="A132" s="125" t="s">
        <v>208</v>
      </c>
      <c r="B132" s="126">
        <v>14.2</v>
      </c>
      <c r="C132" s="77">
        <v>5.1851851900000002E-2</v>
      </c>
      <c r="D132" s="15">
        <v>14.5</v>
      </c>
      <c r="E132" s="32">
        <f t="shared" si="66"/>
        <v>2.1126760563380333E-2</v>
      </c>
      <c r="F132" s="18">
        <f>IF(ISNUMBER(D132), $B145 * E132, "")</f>
        <v>2112.6760563380335</v>
      </c>
      <c r="G132" s="31">
        <v>14.4</v>
      </c>
      <c r="H132" s="32">
        <f t="shared" si="67"/>
        <v>1.4084507042253596E-2</v>
      </c>
      <c r="I132" s="101">
        <f>IF(ISNUMBER(G132), $B145 * H132, "")</f>
        <v>1408.4507042253597</v>
      </c>
      <c r="J132" s="15">
        <v>14.1</v>
      </c>
      <c r="K132" s="32">
        <f t="shared" si="68"/>
        <v>-7.0422535211267356E-3</v>
      </c>
      <c r="L132" s="18">
        <f>IF(ISNUMBER(J132), $B145 * K132, "")</f>
        <v>-704.22535211267359</v>
      </c>
      <c r="M132" s="31">
        <v>13.8</v>
      </c>
      <c r="N132" s="32">
        <f t="shared" si="69"/>
        <v>-2.8169014084506942E-2</v>
      </c>
      <c r="O132" s="18">
        <f>IF(ISNUMBER(M132), $B145 * N132, "")</f>
        <v>-2816.9014084506944</v>
      </c>
      <c r="Q132" s="241"/>
      <c r="R132" s="241"/>
      <c r="S132" s="241"/>
    </row>
    <row r="133" spans="1:19" ht="17.25" thickBot="1">
      <c r="A133" s="125" t="s">
        <v>188</v>
      </c>
      <c r="B133" s="126">
        <v>13.2</v>
      </c>
      <c r="C133" s="77">
        <v>4.7619047599999999E-2</v>
      </c>
      <c r="D133" s="15">
        <v>13.1</v>
      </c>
      <c r="E133" s="32">
        <f t="shared" si="66"/>
        <v>-7.5757575757575491E-3</v>
      </c>
      <c r="F133" s="18">
        <f>IF(ISNUMBER(D133), $B145 * E133, "")</f>
        <v>-757.57575757575489</v>
      </c>
      <c r="G133" s="31">
        <v>13</v>
      </c>
      <c r="H133" s="32">
        <f t="shared" si="67"/>
        <v>-1.5151515151515098E-2</v>
      </c>
      <c r="I133" s="101">
        <f>IF(ISNUMBER(G133), $B145 * H133, "")</f>
        <v>-1515.1515151515098</v>
      </c>
      <c r="J133" s="15">
        <v>12.7</v>
      </c>
      <c r="K133" s="32">
        <f t="shared" si="68"/>
        <v>-3.787878787878788E-2</v>
      </c>
      <c r="L133" s="18">
        <f>IF(ISNUMBER(J133), $B145 * K133, "")</f>
        <v>-3787.878787878788</v>
      </c>
      <c r="M133" s="31">
        <v>12.6</v>
      </c>
      <c r="N133" s="32">
        <f t="shared" si="69"/>
        <v>-4.5454545454545428E-2</v>
      </c>
      <c r="O133" s="18">
        <f>IF(ISNUMBER(M133), $B145 * N133, "")</f>
        <v>-4545.4545454545432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4.6728972000000001E-2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</v>
      </c>
      <c r="H134" s="25">
        <f t="shared" si="67"/>
        <v>-1.7857142857142794E-2</v>
      </c>
      <c r="I134" s="103">
        <f>IF(ISNUMBER(G134), $B145 * H134, "")</f>
        <v>-1785.7142857142794</v>
      </c>
      <c r="J134" s="24">
        <v>10.8</v>
      </c>
      <c r="K134" s="25">
        <f t="shared" si="68"/>
        <v>-3.5714285714285587E-2</v>
      </c>
      <c r="L134" s="104">
        <f>IF(ISNUMBER(J134), $B145 * K134, "")</f>
        <v>-3571.4285714285588</v>
      </c>
      <c r="M134" s="102">
        <v>10.6</v>
      </c>
      <c r="N134" s="25">
        <f t="shared" si="69"/>
        <v>-5.3571428571428541E-2</v>
      </c>
      <c r="O134" s="104">
        <f>IF(ISNUMBER(M134), $B145 * N134, "")</f>
        <v>-5357.1428571428542</v>
      </c>
      <c r="Q134" s="250"/>
      <c r="R134" s="251"/>
      <c r="S134" s="252"/>
    </row>
    <row r="135" spans="1:19">
      <c r="A135" s="123" t="s">
        <v>234</v>
      </c>
      <c r="B135" s="124">
        <v>73.8</v>
      </c>
      <c r="C135" s="76">
        <v>3.7974683500000002E-2</v>
      </c>
      <c r="D135" s="13">
        <v>75.900000000000006</v>
      </c>
      <c r="E135" s="14">
        <f>IF(ISNUMBER(D135), (D135 - $B135) / $B135, "")</f>
        <v>2.8455284552845645E-2</v>
      </c>
      <c r="F135" s="16">
        <f>IF(ISNUMBER(D135), $B145 * E135, "")</f>
        <v>2845.5284552845646</v>
      </c>
      <c r="G135" s="29">
        <v>73.8</v>
      </c>
      <c r="H135" s="14">
        <f>IF(ISNUMBER(G135), (G135 - $B135) / $B135, "")</f>
        <v>0</v>
      </c>
      <c r="I135" s="100">
        <f>IF(ISNUMBER(G135), $B145 * H135, "")</f>
        <v>0</v>
      </c>
      <c r="J135" s="13">
        <v>72.5</v>
      </c>
      <c r="K135" s="14">
        <f>IF(ISNUMBER(J135), (J135 - $B135) / $B135, "")</f>
        <v>-1.7615176151761478E-2</v>
      </c>
      <c r="L135" s="16">
        <f>IF(ISNUMBER(J135), $B145 * K135, "")</f>
        <v>-1761.5176151761477</v>
      </c>
      <c r="M135" s="29">
        <v>70.900000000000006</v>
      </c>
      <c r="N135" s="14">
        <f>IF(ISNUMBER(M135), (M135 - $B135) / $B135, "")</f>
        <v>-3.9295392953929427E-2</v>
      </c>
      <c r="O135" s="16">
        <f>IF(ISNUMBER(M135), $B145 * N135, "")</f>
        <v>-3929.5392953929427</v>
      </c>
      <c r="Q135" s="253"/>
      <c r="R135" s="254"/>
      <c r="S135" s="255"/>
    </row>
    <row r="136" spans="1:19" ht="17.25" thickBot="1">
      <c r="A136" s="125" t="s">
        <v>204</v>
      </c>
      <c r="B136" s="126">
        <v>14.6</v>
      </c>
      <c r="C136" s="77">
        <v>3.5460992900000002E-2</v>
      </c>
      <c r="D136" s="15">
        <v>15.3</v>
      </c>
      <c r="E136" s="32">
        <f t="shared" ref="E136:E139" si="70">IF(ISNUMBER(D136), (D136 - $B136) / $B136, "")</f>
        <v>4.7945205479452128E-2</v>
      </c>
      <c r="F136" s="18">
        <f>IF(ISNUMBER(D136), $B145 * E136, "")</f>
        <v>4794.5205479452125</v>
      </c>
      <c r="G136" s="31">
        <v>14.7</v>
      </c>
      <c r="H136" s="32">
        <f t="shared" ref="H136:H139" si="71">IF(ISNUMBER(G136), (G136 - $B136) / $B136, "")</f>
        <v>6.8493150684931269E-3</v>
      </c>
      <c r="I136" s="101">
        <f>IF(ISNUMBER(G136), $B145 * H136, "")</f>
        <v>684.93150684931265</v>
      </c>
      <c r="J136" s="15">
        <v>14.2</v>
      </c>
      <c r="K136" s="32">
        <f t="shared" ref="K136:K139" si="72">IF(ISNUMBER(J136), (J136 - $B136) / $B136, "")</f>
        <v>-2.7397260273972629E-2</v>
      </c>
      <c r="L136" s="18">
        <f>IF(ISNUMBER(J136), $B145 * K136, "")</f>
        <v>-2739.7260273972629</v>
      </c>
      <c r="M136" s="31">
        <v>14.3</v>
      </c>
      <c r="N136" s="32">
        <f t="shared" ref="N136:N139" si="73">IF(ISNUMBER(M136), (M136 - $B136) / $B136, "")</f>
        <v>-2.0547945205479378E-2</v>
      </c>
      <c r="O136" s="18">
        <f>IF(ISNUMBER(M136), $B145 * N136, "")</f>
        <v>-2054.7945205479377</v>
      </c>
      <c r="Q136" s="256"/>
      <c r="R136" s="257"/>
      <c r="S136" s="258"/>
    </row>
    <row r="137" spans="1:19" ht="17.25" thickBot="1">
      <c r="A137" s="125" t="s">
        <v>72</v>
      </c>
      <c r="B137" s="126">
        <v>23.5</v>
      </c>
      <c r="C137" s="77">
        <v>3.5242290699999998E-2</v>
      </c>
      <c r="D137" s="15">
        <v>24.6</v>
      </c>
      <c r="E137" s="32">
        <f t="shared" si="70"/>
        <v>4.6808510638297933E-2</v>
      </c>
      <c r="F137" s="18">
        <f>IF(ISNUMBER(D137), $B145 * E137, "")</f>
        <v>4680.851063829793</v>
      </c>
      <c r="G137" s="31">
        <v>23.7</v>
      </c>
      <c r="H137" s="32">
        <f t="shared" si="71"/>
        <v>8.5106382978723093E-3</v>
      </c>
      <c r="I137" s="101">
        <f>IF(ISNUMBER(G137), $B145 * H137, "")</f>
        <v>851.06382978723093</v>
      </c>
      <c r="J137" s="15">
        <v>23.2</v>
      </c>
      <c r="K137" s="32">
        <f t="shared" si="72"/>
        <v>-1.2765957446808541E-2</v>
      </c>
      <c r="L137" s="18">
        <f>IF(ISNUMBER(J137), $B145 * K137, "")</f>
        <v>-1276.5957446808541</v>
      </c>
      <c r="M137" s="31">
        <v>23</v>
      </c>
      <c r="N137" s="32">
        <f t="shared" si="73"/>
        <v>-2.1276595744680851E-2</v>
      </c>
      <c r="O137" s="18">
        <f>IF(ISNUMBER(M137), $B145 * N137, "")</f>
        <v>-2127.6595744680849</v>
      </c>
      <c r="Q137" s="241"/>
      <c r="R137" s="241"/>
      <c r="S137" s="241"/>
    </row>
    <row r="138" spans="1:19" ht="17.25" thickBot="1">
      <c r="A138" s="125" t="s">
        <v>190</v>
      </c>
      <c r="B138" s="126">
        <v>18</v>
      </c>
      <c r="C138" s="77">
        <v>3.4482758600000003E-2</v>
      </c>
      <c r="D138" s="15">
        <v>19</v>
      </c>
      <c r="E138" s="32">
        <f t="shared" si="70"/>
        <v>5.5555555555555552E-2</v>
      </c>
      <c r="F138" s="18">
        <f>IF(ISNUMBER(D138), $B145 * E138, "")</f>
        <v>5555.5555555555557</v>
      </c>
      <c r="G138" s="31">
        <v>18.899999999999999</v>
      </c>
      <c r="H138" s="32">
        <f t="shared" si="71"/>
        <v>4.999999999999992E-2</v>
      </c>
      <c r="I138" s="101">
        <f>IF(ISNUMBER(G138), $B145 * H138, "")</f>
        <v>4999.9999999999918</v>
      </c>
      <c r="J138" s="15">
        <v>18.399999999999999</v>
      </c>
      <c r="K138" s="32">
        <f t="shared" si="72"/>
        <v>2.2222222222222143E-2</v>
      </c>
      <c r="L138" s="18">
        <f>IF(ISNUMBER(J138), $B145 * K138, "")</f>
        <v>2222.2222222222144</v>
      </c>
      <c r="M138" s="31">
        <v>18.5</v>
      </c>
      <c r="N138" s="32">
        <f t="shared" si="73"/>
        <v>2.7777777777777776E-2</v>
      </c>
      <c r="O138" s="18">
        <f>IF(ISNUMBER(M138), $B145 * N138, "")</f>
        <v>2777.7777777777778</v>
      </c>
      <c r="Q138" s="236"/>
      <c r="R138" s="236"/>
      <c r="S138" s="236"/>
    </row>
    <row r="139" spans="1:19" ht="17.25" thickBot="1">
      <c r="A139" s="127" t="s">
        <v>150</v>
      </c>
      <c r="B139" s="128">
        <v>13.3</v>
      </c>
      <c r="C139" s="78">
        <v>3.1007751900000002E-2</v>
      </c>
      <c r="D139" s="20">
        <v>13.4</v>
      </c>
      <c r="E139" s="21">
        <f t="shared" si="70"/>
        <v>7.5187969924811757E-3</v>
      </c>
      <c r="F139" s="22">
        <f>IF(ISNUMBER(D139), $B145 * E139, "")</f>
        <v>751.87969924811762</v>
      </c>
      <c r="G139" s="30">
        <v>13</v>
      </c>
      <c r="H139" s="21">
        <f t="shared" si="71"/>
        <v>-2.255639097744366E-2</v>
      </c>
      <c r="I139" s="105">
        <f>IF(ISNUMBER(G139), $B145 * H139, "")</f>
        <v>-2255.6390977443662</v>
      </c>
      <c r="J139" s="20">
        <v>12.8</v>
      </c>
      <c r="K139" s="21">
        <f t="shared" si="72"/>
        <v>-3.7593984962406013E-2</v>
      </c>
      <c r="L139" s="22">
        <f>IF(ISNUMBER(J139), $B145 * K139, "")</f>
        <v>-3759.3984962406012</v>
      </c>
      <c r="M139" s="30">
        <v>12.7</v>
      </c>
      <c r="N139" s="21">
        <f t="shared" si="73"/>
        <v>-4.511278195488732E-2</v>
      </c>
      <c r="O139" s="22">
        <f>IF(ISNUMBER(M139), $B145 * N139, "")</f>
        <v>-4511.2781954887323</v>
      </c>
      <c r="Q139" s="236"/>
      <c r="R139" s="236"/>
      <c r="S139" s="236"/>
    </row>
    <row r="140" spans="1:19" ht="17.25" thickBot="1">
      <c r="A140" s="125" t="s">
        <v>178</v>
      </c>
      <c r="B140" s="129">
        <v>17.3</v>
      </c>
      <c r="C140" s="80">
        <v>2.9761904799999999E-2</v>
      </c>
      <c r="D140" s="106">
        <v>17.399999999999999</v>
      </c>
      <c r="E140" s="107">
        <f>IF(ISNUMBER(D140), (D140 - $B140) / $B140, "")</f>
        <v>5.7803468208091251E-3</v>
      </c>
      <c r="F140" s="108">
        <f>IF(ISNUMBER(D140), $B145 * E140, "")</f>
        <v>578.03468208091249</v>
      </c>
      <c r="G140" s="109">
        <v>16.899999999999999</v>
      </c>
      <c r="H140" s="107">
        <f>IF(ISNUMBER(G140), (G140 - $B140) / $B140, "")</f>
        <v>-2.3121387283237118E-2</v>
      </c>
      <c r="I140" s="110">
        <f>IF(ISNUMBER(G140), $B145 * H140, "")</f>
        <v>-2312.1387283237118</v>
      </c>
      <c r="J140" s="106">
        <v>16.7</v>
      </c>
      <c r="K140" s="107">
        <f>IF(ISNUMBER(J140), (J140 - $B140) / $B140, "")</f>
        <v>-3.4682080924855571E-2</v>
      </c>
      <c r="L140" s="108">
        <f>IF(ISNUMBER(J140), $B145 * K140, "")</f>
        <v>-3468.2080924855572</v>
      </c>
      <c r="M140" s="109">
        <v>16.3</v>
      </c>
      <c r="N140" s="107">
        <f>IF(ISNUMBER(M140), (M140 - $B140) / $B140, "")</f>
        <v>-5.7803468208092484E-2</v>
      </c>
      <c r="O140" s="108">
        <f>IF(ISNUMBER(M140), $B145 * N140, "")</f>
        <v>-5780.3468208092481</v>
      </c>
      <c r="Q140" s="241"/>
      <c r="R140" s="241"/>
      <c r="S140" s="241"/>
    </row>
    <row r="141" spans="1:19" ht="17.25" thickBot="1">
      <c r="A141" s="125" t="s">
        <v>210</v>
      </c>
      <c r="B141" s="126">
        <v>12.3</v>
      </c>
      <c r="C141" s="77">
        <v>2.5000000000000001E-2</v>
      </c>
      <c r="D141" s="15">
        <v>12.5</v>
      </c>
      <c r="E141" s="32">
        <f t="shared" ref="E141:E144" si="74">IF(ISNUMBER(D141), (D141 - $B141) / $B141, "")</f>
        <v>1.6260162601625959E-2</v>
      </c>
      <c r="F141" s="18">
        <f>IF(ISNUMBER(D141), $B145 * E141, "")</f>
        <v>1626.0162601625959</v>
      </c>
      <c r="G141" s="31">
        <v>12.2</v>
      </c>
      <c r="H141" s="32">
        <f t="shared" ref="H141:H144" si="75">IF(ISNUMBER(G141), (G141 - $B141) / $B141, "")</f>
        <v>-8.1300813008131235E-3</v>
      </c>
      <c r="I141" s="101">
        <f>IF(ISNUMBER(G141), $B145 * H141, "")</f>
        <v>-813.0081300813124</v>
      </c>
      <c r="J141" s="15">
        <v>12.2</v>
      </c>
      <c r="K141" s="32">
        <f t="shared" ref="K141:K144" si="76">IF(ISNUMBER(J141), (J141 - $B141) / $B141, "")</f>
        <v>-8.1300813008131235E-3</v>
      </c>
      <c r="L141" s="18">
        <f>IF(ISNUMBER(J141), $B145 * K141, "")</f>
        <v>-813.0081300813124</v>
      </c>
      <c r="M141" s="31">
        <v>12</v>
      </c>
      <c r="N141" s="32">
        <f t="shared" ref="N141:N144" si="77">IF(ISNUMBER(M141), (M141 - $B141) / $B141, "")</f>
        <v>-2.4390243902439081E-2</v>
      </c>
      <c r="O141" s="18">
        <f>IF(ISNUMBER(M141), $B145 * N141, "")</f>
        <v>-2439.0243902439079</v>
      </c>
      <c r="Q141" s="241"/>
      <c r="R141" s="241"/>
      <c r="S141" s="241"/>
    </row>
    <row r="142" spans="1:19" ht="17.25" thickBot="1">
      <c r="A142" s="125" t="s">
        <v>240</v>
      </c>
      <c r="B142" s="126">
        <v>69.8</v>
      </c>
      <c r="C142" s="77">
        <v>2.1961932699999999E-2</v>
      </c>
      <c r="D142" s="15">
        <v>77.3</v>
      </c>
      <c r="E142" s="32">
        <f t="shared" si="74"/>
        <v>0.10744985673352436</v>
      </c>
      <c r="F142" s="18">
        <f>IF(ISNUMBER(D142), $B145 * E142, "")</f>
        <v>10744.985673352436</v>
      </c>
      <c r="G142" s="31">
        <v>76</v>
      </c>
      <c r="H142" s="32">
        <f t="shared" si="75"/>
        <v>8.8825214899713512E-2</v>
      </c>
      <c r="I142" s="101">
        <f>IF(ISNUMBER(G142), $B145 * H142, "")</f>
        <v>8882.5214899713519</v>
      </c>
      <c r="J142" s="15">
        <v>75</v>
      </c>
      <c r="K142" s="32">
        <f t="shared" si="76"/>
        <v>7.4498567335243598E-2</v>
      </c>
      <c r="L142" s="18">
        <f>IF(ISNUMBER(J142), $B145 * K142, "")</f>
        <v>7449.8567335243597</v>
      </c>
      <c r="M142" s="31">
        <v>74</v>
      </c>
      <c r="N142" s="32">
        <f t="shared" si="77"/>
        <v>6.0171919770773685E-2</v>
      </c>
      <c r="O142" s="18">
        <f>IF(ISNUMBER(M142), $B145 * N142, "")</f>
        <v>6017.1919770773684</v>
      </c>
      <c r="Q142" s="241"/>
      <c r="R142" s="241"/>
      <c r="S142" s="24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63"/>
      <c r="R143" s="264"/>
      <c r="S143" s="26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6"/>
      <c r="R144" s="267"/>
      <c r="S144" s="268"/>
    </row>
    <row r="145" spans="1:19" ht="17.25" thickBot="1">
      <c r="A145" s="132" t="s">
        <v>270</v>
      </c>
      <c r="B145" s="274">
        <f>$B$37</f>
        <v>100000</v>
      </c>
      <c r="C145" s="275"/>
      <c r="D145" s="26" t="s">
        <v>271</v>
      </c>
      <c r="E145" s="27">
        <f>IF(COUNT(E125:E144), SUM(E125:E144) / COUNT(E125:E144), 0)</f>
        <v>3.0105784175364875E-2</v>
      </c>
      <c r="F145" s="28">
        <f>SUM(F125:F144)</f>
        <v>54190.411515656771</v>
      </c>
      <c r="G145" s="26" t="s">
        <v>271</v>
      </c>
      <c r="H145" s="27">
        <f>IF(COUNT(H125:H144), SUM(H125:H144) / COUNT(H125:H144), 0)</f>
        <v>6.6626903040617885E-3</v>
      </c>
      <c r="I145" s="28">
        <f>SUM(I125:I144)</f>
        <v>11992.842547311218</v>
      </c>
      <c r="J145" s="26" t="s">
        <v>271</v>
      </c>
      <c r="K145" s="27">
        <f>IF(COUNT(K125:K144), SUM(K125:K144) / COUNT(K125:K144), 0)</f>
        <v>-9.5744734512683196E-3</v>
      </c>
      <c r="L145" s="28">
        <f>SUM(L125:L144)</f>
        <v>-17234.052212282972</v>
      </c>
      <c r="M145" s="26" t="s">
        <v>271</v>
      </c>
      <c r="N145" s="27">
        <f>IF(COUNT(N125:N144), SUM(N125:N144) / COUNT(N125:N144), 0)</f>
        <v>-2.2556049838126216E-2</v>
      </c>
      <c r="O145" s="28">
        <f>SUM(O125:O144)</f>
        <v>-40600.889708627183</v>
      </c>
      <c r="Q145" s="269"/>
      <c r="R145" s="270"/>
      <c r="S145" s="27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36"/>
      <c r="R148" s="236"/>
      <c r="S148" s="236"/>
    </row>
    <row r="149" spans="1:19" ht="17.25" thickBot="1">
      <c r="A149" s="201" t="s">
        <v>267</v>
      </c>
      <c r="B149" s="215" t="s">
        <v>49</v>
      </c>
      <c r="C149" s="217"/>
      <c r="D149" s="215" t="s">
        <v>58</v>
      </c>
      <c r="E149" s="216"/>
      <c r="F149" s="217"/>
      <c r="G149" s="242">
        <f>_xlfn.IFNA(VLOOKUP(B149, 현재가테이블!$B$2:$D$200, 2, FALSE), "-")</f>
        <v>53976000</v>
      </c>
      <c r="H149" s="243"/>
      <c r="I149" s="244"/>
      <c r="J149" s="215" t="s">
        <v>59</v>
      </c>
      <c r="K149" s="216"/>
      <c r="L149" s="217"/>
      <c r="M149" s="245">
        <f>_xlfn.IFNA(VLOOKUP(B149, 현재가테이블!$B$2:$D$200, 3, FALSE), "-")</f>
        <v>-2.1216407400000001E-2</v>
      </c>
      <c r="N149" s="246"/>
      <c r="O149" s="247"/>
      <c r="Q149" s="236"/>
      <c r="R149" s="236"/>
      <c r="S149" s="236"/>
    </row>
    <row r="150" spans="1:19" ht="17.25" thickBot="1">
      <c r="A150" s="276" t="s">
        <v>55</v>
      </c>
      <c r="B150" s="278" t="str">
        <f>TEXT($G$1, "[$-ko-KR]yyyy-mm-dd(ddd) ") &amp; "오전 00:00"</f>
        <v>2021-08-12(목) 오전 00:00</v>
      </c>
      <c r="C150" s="279"/>
      <c r="D150" s="238" t="str">
        <f>TEXT($G$1, "[$-ko-KR]yyyy-mm-dd(ddd) ") &amp; "오후 14:00"</f>
        <v>2021-08-12(목) 오후 14:00</v>
      </c>
      <c r="E150" s="239"/>
      <c r="F150" s="240"/>
      <c r="G150" s="238" t="str">
        <f>TEXT($G$1, "[$-ko-KR]yyyy-mm-dd(ddd) ") &amp; "오후 19:00"</f>
        <v>2021-08-12(목) 오후 19:00</v>
      </c>
      <c r="H150" s="239"/>
      <c r="I150" s="240"/>
      <c r="J150" s="238" t="str">
        <f>TEXT($G$1, "[$-ko-KR]yyyy-mm-dd(ddd) ") &amp; "오후 21:00"</f>
        <v>2021-08-12(목) 오후 21:00</v>
      </c>
      <c r="K150" s="239"/>
      <c r="L150" s="240"/>
      <c r="M150" s="238" t="str">
        <f>TEXT($G$1+1, "[$-ko-KR]yyyy-mm-dd(ddd) ") &amp; "오전 00:00"</f>
        <v>2021-08-13(금) 오전 00:00</v>
      </c>
      <c r="N150" s="239"/>
      <c r="O150" s="240"/>
      <c r="Q150" s="236"/>
      <c r="R150" s="236"/>
      <c r="S150" s="236"/>
    </row>
    <row r="151" spans="1:19" ht="17.25" thickBot="1">
      <c r="A151" s="27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1"/>
      <c r="R151" s="241"/>
      <c r="S151" s="241"/>
    </row>
    <row r="152" spans="1:19" ht="17.25" thickBot="1">
      <c r="A152" s="123" t="s">
        <v>220</v>
      </c>
      <c r="B152" s="124">
        <v>222</v>
      </c>
      <c r="C152" s="76">
        <v>3.7383177599999998E-2</v>
      </c>
      <c r="D152" s="13">
        <v>222</v>
      </c>
      <c r="E152" s="14">
        <f>IF(ISNUMBER(D152), (D152 - $B152) / $B152, "")</f>
        <v>0</v>
      </c>
      <c r="F152" s="16">
        <f>IF(ISNUMBER(D152), $B172 * E152, "")</f>
        <v>0</v>
      </c>
      <c r="G152" s="29">
        <v>216</v>
      </c>
      <c r="H152" s="14">
        <f>IF(ISNUMBER(G152), (G152 - $B152) / $B152, "")</f>
        <v>-2.7027027027027029E-2</v>
      </c>
      <c r="I152" s="100">
        <f>IF(ISNUMBER(G152), $B172 * H152, "")</f>
        <v>-2702.7027027027029</v>
      </c>
      <c r="J152" s="13">
        <v>213</v>
      </c>
      <c r="K152" s="14">
        <f>IF(ISNUMBER(J152), (J152 - $B152) / $B152, "")</f>
        <v>-4.0540540540540543E-2</v>
      </c>
      <c r="L152" s="16">
        <f>IF(ISNUMBER(J152), $B172 * K152, "")</f>
        <v>-4054.0540540540542</v>
      </c>
      <c r="M152" s="29">
        <v>213</v>
      </c>
      <c r="N152" s="14">
        <f>IF(ISNUMBER(M152), (M152 - $B152) / $B152, "")</f>
        <v>-4.0540540540540543E-2</v>
      </c>
      <c r="O152" s="16">
        <f>IF(ISNUMBER(M152), $B172 * N152, "")</f>
        <v>-4054.0540540540542</v>
      </c>
      <c r="Q152" s="236"/>
      <c r="R152" s="236"/>
      <c r="S152" s="236"/>
    </row>
    <row r="153" spans="1:19" ht="17.25" thickBot="1">
      <c r="A153" s="125" t="s">
        <v>200</v>
      </c>
      <c r="B153" s="126">
        <v>147</v>
      </c>
      <c r="C153" s="77">
        <v>3.5211267599999999E-2</v>
      </c>
      <c r="D153" s="15">
        <v>145</v>
      </c>
      <c r="E153" s="32">
        <f t="shared" ref="E153:E156" si="78">IF(ISNUMBER(D153), (D153 - $B153) / $B153, "")</f>
        <v>-1.3605442176870748E-2</v>
      </c>
      <c r="F153" s="18">
        <f>IF(ISNUMBER(D153), $B172 * E153, "")</f>
        <v>-1360.5442176870747</v>
      </c>
      <c r="G153" s="31">
        <v>141</v>
      </c>
      <c r="H153" s="32">
        <f t="shared" ref="H153:H156" si="79">IF(ISNUMBER(G153), (G153 - $B153) / $B153, "")</f>
        <v>-4.0816326530612242E-2</v>
      </c>
      <c r="I153" s="101">
        <f>IF(ISNUMBER(G153), $B172 * H153, "")</f>
        <v>-4081.6326530612241</v>
      </c>
      <c r="J153" s="15">
        <v>140</v>
      </c>
      <c r="K153" s="32">
        <f t="shared" ref="K153:K156" si="80">IF(ISNUMBER(J153), (J153 - $B153) / $B153, "")</f>
        <v>-4.7619047619047616E-2</v>
      </c>
      <c r="L153" s="18">
        <f>IF(ISNUMBER(J153), $B172 * K153, "")</f>
        <v>-4761.9047619047615</v>
      </c>
      <c r="M153" s="31">
        <v>139</v>
      </c>
      <c r="N153" s="32">
        <f t="shared" ref="N153:N156" si="81">IF(ISNUMBER(M153), (M153 - $B153) / $B153, "")</f>
        <v>-5.4421768707482991E-2</v>
      </c>
      <c r="O153" s="18">
        <f>IF(ISNUMBER(M153), $B172 * N153, "")</f>
        <v>-5442.1768707482988</v>
      </c>
      <c r="Q153" s="236"/>
      <c r="R153" s="236"/>
      <c r="S153" s="236"/>
    </row>
    <row r="154" spans="1:19" ht="17.25" thickBot="1">
      <c r="A154" s="125" t="s">
        <v>61</v>
      </c>
      <c r="B154" s="126">
        <v>980</v>
      </c>
      <c r="C154" s="77">
        <v>3.48468849E-2</v>
      </c>
      <c r="D154" s="15">
        <v>954</v>
      </c>
      <c r="E154" s="32">
        <f t="shared" si="78"/>
        <v>-2.6530612244897958E-2</v>
      </c>
      <c r="F154" s="18">
        <f>IF(ISNUMBER(D154), $B172 * E154, "")</f>
        <v>-2653.0612244897957</v>
      </c>
      <c r="G154" s="31">
        <v>942</v>
      </c>
      <c r="H154" s="32">
        <f t="shared" si="79"/>
        <v>-3.8775510204081633E-2</v>
      </c>
      <c r="I154" s="101">
        <f>IF(ISNUMBER(G154), $B172 * H154, "")</f>
        <v>-3877.5510204081634</v>
      </c>
      <c r="J154" s="15">
        <v>931</v>
      </c>
      <c r="K154" s="32">
        <f t="shared" si="80"/>
        <v>-0.05</v>
      </c>
      <c r="L154" s="18">
        <f>IF(ISNUMBER(J154), $B172 * K154, "")</f>
        <v>-5000</v>
      </c>
      <c r="M154" s="31">
        <v>913</v>
      </c>
      <c r="N154" s="32">
        <f t="shared" si="81"/>
        <v>-6.8367346938775511E-2</v>
      </c>
      <c r="O154" s="18">
        <f>IF(ISNUMBER(M154), $B172 * N154, "")</f>
        <v>-6836.7346938775509</v>
      </c>
      <c r="Q154" s="241"/>
      <c r="R154" s="241"/>
      <c r="S154" s="241"/>
    </row>
    <row r="155" spans="1:19" ht="17.25" thickBot="1">
      <c r="A155" s="125" t="s">
        <v>206</v>
      </c>
      <c r="B155" s="126">
        <v>357</v>
      </c>
      <c r="C155" s="77">
        <v>3.4782608700000002E-2</v>
      </c>
      <c r="D155" s="15">
        <v>356</v>
      </c>
      <c r="E155" s="32">
        <f t="shared" si="78"/>
        <v>-2.8011204481792717E-3</v>
      </c>
      <c r="F155" s="18">
        <f>IF(ISNUMBER(D155), $B172 * E155, "")</f>
        <v>-280.1120448179272</v>
      </c>
      <c r="G155" s="31">
        <v>346</v>
      </c>
      <c r="H155" s="32">
        <f t="shared" si="79"/>
        <v>-3.081232492997199E-2</v>
      </c>
      <c r="I155" s="101">
        <f>IF(ISNUMBER(G155), $B172 * H155, "")</f>
        <v>-3081.2324929971992</v>
      </c>
      <c r="J155" s="15">
        <v>338</v>
      </c>
      <c r="K155" s="32">
        <f t="shared" si="80"/>
        <v>-5.3221288515406161E-2</v>
      </c>
      <c r="L155" s="18">
        <f>IF(ISNUMBER(J155), $B172 * K155, "")</f>
        <v>-5322.1288515406159</v>
      </c>
      <c r="M155" s="31">
        <v>334</v>
      </c>
      <c r="N155" s="32">
        <f t="shared" si="81"/>
        <v>-6.4425770308123242E-2</v>
      </c>
      <c r="O155" s="18">
        <f>IF(ISNUMBER(M155), $B172 * N155, "")</f>
        <v>-6442.5770308123247</v>
      </c>
      <c r="Q155" s="241"/>
      <c r="R155" s="241"/>
      <c r="S155" s="241"/>
    </row>
    <row r="156" spans="1:19" ht="17.25" thickBot="1">
      <c r="A156" s="127" t="s">
        <v>164</v>
      </c>
      <c r="B156" s="128">
        <v>328</v>
      </c>
      <c r="C156" s="78">
        <v>3.4700315500000002E-2</v>
      </c>
      <c r="D156" s="20">
        <v>326</v>
      </c>
      <c r="E156" s="21">
        <f t="shared" si="78"/>
        <v>-6.0975609756097563E-3</v>
      </c>
      <c r="F156" s="22">
        <f>IF(ISNUMBER(D156), $B172 * E156, "")</f>
        <v>-609.7560975609756</v>
      </c>
      <c r="G156" s="30">
        <v>322</v>
      </c>
      <c r="H156" s="21">
        <f t="shared" si="79"/>
        <v>-1.8292682926829267E-2</v>
      </c>
      <c r="I156" s="105">
        <f>IF(ISNUMBER(G156), $B172 * H156, "")</f>
        <v>-1829.2682926829268</v>
      </c>
      <c r="J156" s="20">
        <v>317</v>
      </c>
      <c r="K156" s="21">
        <f t="shared" si="80"/>
        <v>-3.3536585365853661E-2</v>
      </c>
      <c r="L156" s="22">
        <f>IF(ISNUMBER(J156), $B172 * K156, "")</f>
        <v>-3353.6585365853662</v>
      </c>
      <c r="M156" s="30">
        <v>311</v>
      </c>
      <c r="N156" s="21">
        <f t="shared" si="81"/>
        <v>-5.1829268292682924E-2</v>
      </c>
      <c r="O156" s="22">
        <f>IF(ISNUMBER(M156), $B172 * N156, "")</f>
        <v>-5182.9268292682927</v>
      </c>
      <c r="Q156" s="241"/>
      <c r="R156" s="241"/>
      <c r="S156" s="241"/>
    </row>
    <row r="157" spans="1:19" ht="17.25" thickBot="1">
      <c r="A157" s="125" t="s">
        <v>230</v>
      </c>
      <c r="B157" s="129">
        <v>221</v>
      </c>
      <c r="C157" s="80">
        <v>3.27102804E-2</v>
      </c>
      <c r="D157" s="106">
        <v>219</v>
      </c>
      <c r="E157" s="107">
        <f>IF(ISNUMBER(D157), (D157 - $B157) / $B157, "")</f>
        <v>-9.0497737556561094E-3</v>
      </c>
      <c r="F157" s="108">
        <f>IF(ISNUMBER(D157), $B172 * E157, "")</f>
        <v>-904.97737556561094</v>
      </c>
      <c r="G157" s="109">
        <v>210</v>
      </c>
      <c r="H157" s="107">
        <f>IF(ISNUMBER(G157), (G157 - $B157) / $B157, "")</f>
        <v>-4.9773755656108594E-2</v>
      </c>
      <c r="I157" s="110">
        <f>IF(ISNUMBER(G157), $B172 * H157, "")</f>
        <v>-4977.3755656108597</v>
      </c>
      <c r="J157" s="106">
        <v>206</v>
      </c>
      <c r="K157" s="107">
        <f>IF(ISNUMBER(J157), (J157 - $B157) / $B157, "")</f>
        <v>-6.7873303167420809E-2</v>
      </c>
      <c r="L157" s="108">
        <f>IF(ISNUMBER(J157), $B172 * K157, "")</f>
        <v>-6787.3303167420809</v>
      </c>
      <c r="M157" s="109">
        <v>208</v>
      </c>
      <c r="N157" s="107">
        <f>IF(ISNUMBER(M157), (M157 - $B157) / $B157, "")</f>
        <v>-5.8823529411764705E-2</v>
      </c>
      <c r="O157" s="108">
        <f>IF(ISNUMBER(M157), $B172 * N157, "")</f>
        <v>-5882.3529411764703</v>
      </c>
      <c r="Q157" s="241"/>
      <c r="R157" s="241"/>
      <c r="S157" s="241"/>
    </row>
    <row r="158" spans="1:19" ht="17.25" thickBot="1">
      <c r="A158" s="125" t="s">
        <v>86</v>
      </c>
      <c r="B158" s="126">
        <v>386</v>
      </c>
      <c r="C158" s="77">
        <v>2.93333333E-2</v>
      </c>
      <c r="D158" s="15">
        <v>381</v>
      </c>
      <c r="E158" s="32">
        <f t="shared" ref="E158:E161" si="82">IF(ISNUMBER(D158), (D158 - $B158) / $B158, "")</f>
        <v>-1.2953367875647668E-2</v>
      </c>
      <c r="F158" s="18">
        <f>IF(ISNUMBER(D158), $B172 * E158, "")</f>
        <v>-1295.3367875647668</v>
      </c>
      <c r="G158" s="31">
        <v>404</v>
      </c>
      <c r="H158" s="32">
        <f t="shared" ref="H158:H161" si="83">IF(ISNUMBER(G158), (G158 - $B158) / $B158, "")</f>
        <v>4.6632124352331605E-2</v>
      </c>
      <c r="I158" s="101">
        <f>IF(ISNUMBER(G158), $B172 * H158, "")</f>
        <v>4663.2124352331602</v>
      </c>
      <c r="J158" s="15">
        <v>389</v>
      </c>
      <c r="K158" s="32">
        <f t="shared" ref="K158:K161" si="84">IF(ISNUMBER(J158), (J158 - $B158) / $B158, "")</f>
        <v>7.7720207253886009E-3</v>
      </c>
      <c r="L158" s="18">
        <f>IF(ISNUMBER(J158), $B172 * K158, "")</f>
        <v>777.20207253886008</v>
      </c>
      <c r="M158" s="31">
        <v>389</v>
      </c>
      <c r="N158" s="32">
        <f t="shared" ref="N158:N161" si="85">IF(ISNUMBER(M158), (M158 - $B158) / $B158, "")</f>
        <v>7.7720207253886009E-3</v>
      </c>
      <c r="O158" s="18">
        <f>IF(ISNUMBER(M158), $B172 * N158, "")</f>
        <v>777.20207253886008</v>
      </c>
      <c r="Q158" s="241"/>
      <c r="R158" s="241"/>
      <c r="S158" s="241"/>
    </row>
    <row r="159" spans="1:19" ht="17.25" thickBot="1">
      <c r="A159" s="125" t="s">
        <v>228</v>
      </c>
      <c r="B159" s="126">
        <v>407</v>
      </c>
      <c r="C159" s="77">
        <v>2.77777778E-2</v>
      </c>
      <c r="D159" s="15">
        <v>406</v>
      </c>
      <c r="E159" s="32">
        <f t="shared" si="82"/>
        <v>-2.4570024570024569E-3</v>
      </c>
      <c r="F159" s="18">
        <f>IF(ISNUMBER(D159), $B172 * E159, "")</f>
        <v>-245.70024570024569</v>
      </c>
      <c r="G159" s="31">
        <v>397</v>
      </c>
      <c r="H159" s="32">
        <f t="shared" si="83"/>
        <v>-2.4570024570024569E-2</v>
      </c>
      <c r="I159" s="101">
        <f>IF(ISNUMBER(G159), $B172 * H159, "")</f>
        <v>-2457.002457002457</v>
      </c>
      <c r="J159" s="15">
        <v>390</v>
      </c>
      <c r="K159" s="32">
        <f t="shared" si="84"/>
        <v>-4.1769041769041768E-2</v>
      </c>
      <c r="L159" s="18">
        <f>IF(ISNUMBER(J159), $B172 * K159, "")</f>
        <v>-4176.9041769041769</v>
      </c>
      <c r="M159" s="31">
        <v>388</v>
      </c>
      <c r="N159" s="32">
        <f t="shared" si="85"/>
        <v>-4.6683046683046681E-2</v>
      </c>
      <c r="O159" s="18">
        <f>IF(ISNUMBER(M159), $B172 * N159, "")</f>
        <v>-4668.3046683046678</v>
      </c>
      <c r="Q159" s="241"/>
      <c r="R159" s="241"/>
      <c r="S159" s="241"/>
    </row>
    <row r="160" spans="1:19" ht="17.25" thickBot="1">
      <c r="A160" s="125" t="s">
        <v>54</v>
      </c>
      <c r="B160" s="126">
        <v>266</v>
      </c>
      <c r="C160" s="77">
        <v>2.7027026999999999E-2</v>
      </c>
      <c r="D160" s="15">
        <v>266</v>
      </c>
      <c r="E160" s="32">
        <f t="shared" si="82"/>
        <v>0</v>
      </c>
      <c r="F160" s="18">
        <f>IF(ISNUMBER(D160), $B172 * E160, "")</f>
        <v>0</v>
      </c>
      <c r="G160" s="31">
        <v>260</v>
      </c>
      <c r="H160" s="32">
        <f t="shared" si="83"/>
        <v>-2.2556390977443608E-2</v>
      </c>
      <c r="I160" s="101">
        <f>IF(ISNUMBER(G160), $B172 * H160, "")</f>
        <v>-2255.6390977443607</v>
      </c>
      <c r="J160" s="15">
        <v>257</v>
      </c>
      <c r="K160" s="32">
        <f t="shared" si="84"/>
        <v>-3.3834586466165412E-2</v>
      </c>
      <c r="L160" s="18">
        <f>IF(ISNUMBER(J160), $B172 * K160, "")</f>
        <v>-3383.458646616541</v>
      </c>
      <c r="M160" s="31">
        <v>257</v>
      </c>
      <c r="N160" s="32">
        <f t="shared" si="85"/>
        <v>-3.3834586466165412E-2</v>
      </c>
      <c r="O160" s="18">
        <f>IF(ISNUMBER(M160), $B172 * N160, "")</f>
        <v>-3383.458646616541</v>
      </c>
      <c r="Q160" s="33"/>
      <c r="R160" s="33"/>
    </row>
    <row r="161" spans="1:19" ht="17.25" thickBot="1">
      <c r="A161" s="130" t="s">
        <v>192</v>
      </c>
      <c r="B161" s="131">
        <v>239</v>
      </c>
      <c r="C161" s="79">
        <v>2.5751072999999999E-2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235</v>
      </c>
      <c r="H161" s="25">
        <f t="shared" si="83"/>
        <v>-1.6736401673640166E-2</v>
      </c>
      <c r="I161" s="103">
        <f>IF(ISNUMBER(G161), $B172 * H161, "")</f>
        <v>-1673.6401673640166</v>
      </c>
      <c r="J161" s="24">
        <v>230</v>
      </c>
      <c r="K161" s="25">
        <f t="shared" si="84"/>
        <v>-3.7656903765690378E-2</v>
      </c>
      <c r="L161" s="104">
        <f>IF(ISNUMBER(J161), $B172 * K161, "")</f>
        <v>-3765.6903765690377</v>
      </c>
      <c r="M161" s="102">
        <v>228</v>
      </c>
      <c r="N161" s="25">
        <f t="shared" si="85"/>
        <v>-4.6025104602510462E-2</v>
      </c>
      <c r="O161" s="104">
        <f>IF(ISNUMBER(M161), $B172 * N161, "")</f>
        <v>-4602.5104602510464</v>
      </c>
      <c r="Q161" s="250"/>
      <c r="R161" s="251"/>
      <c r="S161" s="252"/>
    </row>
    <row r="162" spans="1:19">
      <c r="A162" s="123" t="s">
        <v>254</v>
      </c>
      <c r="B162" s="124">
        <v>314</v>
      </c>
      <c r="C162" s="76">
        <v>2.2801302900000001E-2</v>
      </c>
      <c r="D162" s="13">
        <v>311</v>
      </c>
      <c r="E162" s="14">
        <f>IF(ISNUMBER(D162), (D162 - $B162) / $B162, "")</f>
        <v>-9.5541401273885346E-3</v>
      </c>
      <c r="F162" s="16">
        <f>IF(ISNUMBER(D162), $B172 * E162, "")</f>
        <v>-955.41401273885344</v>
      </c>
      <c r="G162" s="29">
        <v>304</v>
      </c>
      <c r="H162" s="14">
        <f>IF(ISNUMBER(G162), (G162 - $B162) / $B162, "")</f>
        <v>-3.1847133757961783E-2</v>
      </c>
      <c r="I162" s="100">
        <f>IF(ISNUMBER(G162), $B172 * H162, "")</f>
        <v>-3184.7133757961783</v>
      </c>
      <c r="J162" s="13">
        <v>300</v>
      </c>
      <c r="K162" s="14">
        <f>IF(ISNUMBER(J162), (J162 - $B162) / $B162, "")</f>
        <v>-4.4585987261146494E-2</v>
      </c>
      <c r="L162" s="16">
        <f>IF(ISNUMBER(J162), $B172 * K162, "")</f>
        <v>-4458.5987261146493</v>
      </c>
      <c r="M162" s="29">
        <v>299</v>
      </c>
      <c r="N162" s="14">
        <f>IF(ISNUMBER(M162), (M162 - $B162) / $B162, "")</f>
        <v>-4.7770700636942678E-2</v>
      </c>
      <c r="O162" s="16">
        <f>IF(ISNUMBER(M162), $B172 * N162, "")</f>
        <v>-4777.0700636942674</v>
      </c>
      <c r="Q162" s="253"/>
      <c r="R162" s="254"/>
      <c r="S162" s="255"/>
    </row>
    <row r="163" spans="1:19" ht="17.25" thickBot="1">
      <c r="A163" s="125" t="s">
        <v>218</v>
      </c>
      <c r="B163" s="126">
        <v>137</v>
      </c>
      <c r="C163" s="77">
        <v>2.2388059700000001E-2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-1459.8540145985401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>
        <v>130</v>
      </c>
      <c r="K163" s="32">
        <f t="shared" ref="K163:K166" si="88">IF(ISNUMBER(J163), (J163 - $B163) / $B163, "")</f>
        <v>-5.1094890510948905E-2</v>
      </c>
      <c r="L163" s="18">
        <f>IF(ISNUMBER(J163), $B172 * K163, "")</f>
        <v>-5109.4890510948908</v>
      </c>
      <c r="M163" s="31">
        <v>129</v>
      </c>
      <c r="N163" s="32">
        <f t="shared" ref="N163:N166" si="89">IF(ISNUMBER(M163), (M163 - $B163) / $B163, "")</f>
        <v>-5.8394160583941604E-2</v>
      </c>
      <c r="O163" s="18">
        <f>IF(ISNUMBER(M163), $B172 * N163, "")</f>
        <v>-5839.4160583941602</v>
      </c>
      <c r="Q163" s="256"/>
      <c r="R163" s="257"/>
      <c r="S163" s="258"/>
    </row>
    <row r="164" spans="1:19" ht="17.25" thickBot="1">
      <c r="A164" s="125" t="s">
        <v>194</v>
      </c>
      <c r="B164" s="126">
        <v>148</v>
      </c>
      <c r="C164" s="77">
        <v>2.06896552E-2</v>
      </c>
      <c r="D164" s="15">
        <v>149</v>
      </c>
      <c r="E164" s="32">
        <f t="shared" si="86"/>
        <v>6.7567567567567571E-3</v>
      </c>
      <c r="F164" s="18">
        <f>IF(ISNUMBER(D164), $B172 * E164, "")</f>
        <v>675.67567567567573</v>
      </c>
      <c r="G164" s="31">
        <v>145</v>
      </c>
      <c r="H164" s="32">
        <f t="shared" si="87"/>
        <v>-2.0270270270270271E-2</v>
      </c>
      <c r="I164" s="101">
        <f>IF(ISNUMBER(G164), $B172 * H164, "")</f>
        <v>-2027.0270270270271</v>
      </c>
      <c r="J164" s="15">
        <v>143</v>
      </c>
      <c r="K164" s="32">
        <f t="shared" si="88"/>
        <v>-3.3783783783783786E-2</v>
      </c>
      <c r="L164" s="18">
        <f>IF(ISNUMBER(J164), $B172 * K164, "")</f>
        <v>-3378.3783783783788</v>
      </c>
      <c r="M164" s="31">
        <v>142</v>
      </c>
      <c r="N164" s="32">
        <f t="shared" si="89"/>
        <v>-4.0540540540540543E-2</v>
      </c>
      <c r="O164" s="18">
        <f>IF(ISNUMBER(M164), $B172 * N164, "")</f>
        <v>-4054.0540540540542</v>
      </c>
      <c r="Q164" s="241"/>
      <c r="R164" s="241"/>
      <c r="S164" s="241"/>
    </row>
    <row r="165" spans="1:19" ht="17.25" thickBot="1">
      <c r="A165" s="125" t="s">
        <v>174</v>
      </c>
      <c r="B165" s="126">
        <v>360</v>
      </c>
      <c r="C165" s="77">
        <v>1.98300283E-2</v>
      </c>
      <c r="D165" s="15">
        <v>357</v>
      </c>
      <c r="E165" s="32">
        <f t="shared" si="86"/>
        <v>-8.3333333333333332E-3</v>
      </c>
      <c r="F165" s="18">
        <f>IF(ISNUMBER(D165), $B172 * E165, "")</f>
        <v>-833.33333333333337</v>
      </c>
      <c r="G165" s="31">
        <v>351</v>
      </c>
      <c r="H165" s="32">
        <f t="shared" si="87"/>
        <v>-2.5000000000000001E-2</v>
      </c>
      <c r="I165" s="101">
        <f>IF(ISNUMBER(G165), $B172 * H165, "")</f>
        <v>-2500</v>
      </c>
      <c r="J165" s="15">
        <v>346</v>
      </c>
      <c r="K165" s="32">
        <f t="shared" si="88"/>
        <v>-3.888888888888889E-2</v>
      </c>
      <c r="L165" s="18">
        <f>IF(ISNUMBER(J165), $B172 * K165, "")</f>
        <v>-3888.8888888888891</v>
      </c>
      <c r="M165" s="31">
        <v>344</v>
      </c>
      <c r="N165" s="32">
        <f t="shared" si="89"/>
        <v>-4.4444444444444446E-2</v>
      </c>
      <c r="O165" s="18">
        <f>IF(ISNUMBER(M165), $B172 * N165, "")</f>
        <v>-4444.4444444444443</v>
      </c>
      <c r="Q165" s="236"/>
      <c r="R165" s="236"/>
      <c r="S165" s="236"/>
    </row>
    <row r="166" spans="1:19" ht="17.25" thickBot="1">
      <c r="A166" s="127" t="s">
        <v>222</v>
      </c>
      <c r="B166" s="128">
        <v>155</v>
      </c>
      <c r="C166" s="78">
        <v>1.9736842099999999E-2</v>
      </c>
      <c r="D166" s="20">
        <v>153</v>
      </c>
      <c r="E166" s="21">
        <f t="shared" si="86"/>
        <v>-1.2903225806451613E-2</v>
      </c>
      <c r="F166" s="22">
        <f>IF(ISNUMBER(D166), $B172 * E166, "")</f>
        <v>-1290.3225806451612</v>
      </c>
      <c r="G166" s="30">
        <v>148</v>
      </c>
      <c r="H166" s="21">
        <f t="shared" si="87"/>
        <v>-4.5161290322580643E-2</v>
      </c>
      <c r="I166" s="105">
        <f>IF(ISNUMBER(G166), $B172 * H166, "")</f>
        <v>-4516.1290322580644</v>
      </c>
      <c r="J166" s="20">
        <v>147</v>
      </c>
      <c r="K166" s="21">
        <f t="shared" si="88"/>
        <v>-5.1612903225806452E-2</v>
      </c>
      <c r="L166" s="22">
        <f>IF(ISNUMBER(J166), $B172 * K166, "")</f>
        <v>-5161.2903225806449</v>
      </c>
      <c r="M166" s="30">
        <v>146</v>
      </c>
      <c r="N166" s="21">
        <f t="shared" si="89"/>
        <v>-5.8064516129032261E-2</v>
      </c>
      <c r="O166" s="22">
        <f>IF(ISNUMBER(M166), $B172 * N166, "")</f>
        <v>-5806.4516129032263</v>
      </c>
      <c r="Q166" s="236"/>
      <c r="R166" s="236"/>
      <c r="S166" s="236"/>
    </row>
    <row r="167" spans="1:19" ht="17.25" thickBot="1">
      <c r="A167" s="125" t="s">
        <v>232</v>
      </c>
      <c r="B167" s="129">
        <v>529</v>
      </c>
      <c r="C167" s="80">
        <v>1.73076923E-2</v>
      </c>
      <c r="D167" s="106">
        <v>541</v>
      </c>
      <c r="E167" s="107">
        <f>IF(ISNUMBER(D167), (D167 - $B167) / $B167, "")</f>
        <v>2.2684310018903593E-2</v>
      </c>
      <c r="F167" s="108">
        <f>IF(ISNUMBER(D167), $B172 * E167, "")</f>
        <v>2268.4310018903593</v>
      </c>
      <c r="G167" s="109">
        <v>548</v>
      </c>
      <c r="H167" s="107">
        <f>IF(ISNUMBER(G167), (G167 - $B167) / $B167, "")</f>
        <v>3.5916824196597356E-2</v>
      </c>
      <c r="I167" s="110">
        <f>IF(ISNUMBER(G167), $B172 * H167, "")</f>
        <v>3591.6824196597358</v>
      </c>
      <c r="J167" s="106">
        <v>542</v>
      </c>
      <c r="K167" s="107">
        <f>IF(ISNUMBER(J167), (J167 - $B167) / $B167, "")</f>
        <v>2.4574669187145556E-2</v>
      </c>
      <c r="L167" s="108">
        <f>IF(ISNUMBER(J167), $B172 * K167, "")</f>
        <v>2457.4669187145555</v>
      </c>
      <c r="M167" s="109">
        <v>533</v>
      </c>
      <c r="N167" s="107">
        <f>IF(ISNUMBER(M167), (M167 - $B167) / $B167, "")</f>
        <v>7.5614366729678641E-3</v>
      </c>
      <c r="O167" s="108">
        <f>IF(ISNUMBER(M167), $B172 * N167, "")</f>
        <v>756.14366729678636</v>
      </c>
      <c r="Q167" s="241"/>
      <c r="R167" s="241"/>
      <c r="S167" s="241"/>
    </row>
    <row r="168" spans="1:19" ht="17.25" thickBot="1">
      <c r="A168" s="125" t="s">
        <v>166</v>
      </c>
      <c r="B168" s="126">
        <v>272</v>
      </c>
      <c r="C168" s="77">
        <v>1.49253731E-2</v>
      </c>
      <c r="D168" s="15">
        <v>267</v>
      </c>
      <c r="E168" s="32">
        <f t="shared" ref="E168:E171" si="90">IF(ISNUMBER(D168), (D168 - $B168) / $B168, "")</f>
        <v>-1.8382352941176471E-2</v>
      </c>
      <c r="F168" s="18">
        <f>IF(ISNUMBER(D168), $B172 * E168, "")</f>
        <v>-1838.2352941176471</v>
      </c>
      <c r="G168" s="31">
        <v>261</v>
      </c>
      <c r="H168" s="32">
        <f t="shared" ref="H168:H171" si="91">IF(ISNUMBER(G168), (G168 - $B168) / $B168, "")</f>
        <v>-4.0441176470588237E-2</v>
      </c>
      <c r="I168" s="101">
        <f>IF(ISNUMBER(G168), $B172 * H168, "")</f>
        <v>-4044.1176470588239</v>
      </c>
      <c r="J168" s="15">
        <v>257</v>
      </c>
      <c r="K168" s="32">
        <f t="shared" ref="K168:K171" si="92">IF(ISNUMBER(J168), (J168 - $B168) / $B168, "")</f>
        <v>-5.514705882352941E-2</v>
      </c>
      <c r="L168" s="18">
        <f>IF(ISNUMBER(J168), $B172 * K168, "")</f>
        <v>-5514.7058823529414</v>
      </c>
      <c r="M168" s="31">
        <v>254</v>
      </c>
      <c r="N168" s="32">
        <f t="shared" ref="N168:N171" si="93">IF(ISNUMBER(M168), (M168 - $B168) / $B168, "")</f>
        <v>-6.6176470588235295E-2</v>
      </c>
      <c r="O168" s="18">
        <f>IF(ISNUMBER(M168), $B172 * N168, "")</f>
        <v>-6617.6470588235297</v>
      </c>
      <c r="Q168" s="241"/>
      <c r="R168" s="241"/>
      <c r="S168" s="241"/>
    </row>
    <row r="169" spans="1:19" ht="17.25" thickBot="1">
      <c r="A169" s="125" t="s">
        <v>242</v>
      </c>
      <c r="B169" s="126">
        <v>498</v>
      </c>
      <c r="C169" s="77">
        <v>1.4256619099999999E-2</v>
      </c>
      <c r="D169" s="15">
        <v>495</v>
      </c>
      <c r="E169" s="32">
        <f t="shared" si="90"/>
        <v>-6.024096385542169E-3</v>
      </c>
      <c r="F169" s="18">
        <f>IF(ISNUMBER(D169), $B172 * E169, "")</f>
        <v>-602.40963855421694</v>
      </c>
      <c r="G169" s="31">
        <v>484</v>
      </c>
      <c r="H169" s="32">
        <f t="shared" si="91"/>
        <v>-2.8112449799196786E-2</v>
      </c>
      <c r="I169" s="101">
        <f>IF(ISNUMBER(G169), $B172 * H169, "")</f>
        <v>-2811.2449799196788</v>
      </c>
      <c r="J169" s="15">
        <v>478</v>
      </c>
      <c r="K169" s="32">
        <f t="shared" si="92"/>
        <v>-4.0160642570281124E-2</v>
      </c>
      <c r="L169" s="18">
        <f>IF(ISNUMBER(J169), $B172 * K169, "")</f>
        <v>-4016.0642570281125</v>
      </c>
      <c r="M169" s="31">
        <v>474</v>
      </c>
      <c r="N169" s="32">
        <f t="shared" si="93"/>
        <v>-4.8192771084337352E-2</v>
      </c>
      <c r="O169" s="18">
        <f>IF(ISNUMBER(M169), $B172 * N169, "")</f>
        <v>-4819.2771084337355</v>
      </c>
      <c r="Q169" s="241"/>
      <c r="R169" s="241"/>
      <c r="S169" s="241"/>
    </row>
    <row r="170" spans="1:19">
      <c r="A170" s="125" t="s">
        <v>110</v>
      </c>
      <c r="B170" s="126">
        <v>192</v>
      </c>
      <c r="C170" s="77">
        <v>1.05263158E-2</v>
      </c>
      <c r="D170" s="15">
        <v>192</v>
      </c>
      <c r="E170" s="32">
        <f t="shared" si="90"/>
        <v>0</v>
      </c>
      <c r="F170" s="18">
        <f>IF(ISNUMBER(D170), $B172 * E170, "")</f>
        <v>0</v>
      </c>
      <c r="G170" s="31">
        <v>187</v>
      </c>
      <c r="H170" s="32">
        <f t="shared" si="91"/>
        <v>-2.6041666666666668E-2</v>
      </c>
      <c r="I170" s="101">
        <f>IF(ISNUMBER(G170), $B172 * H170, "")</f>
        <v>-2604.166666666667</v>
      </c>
      <c r="J170" s="15">
        <v>185</v>
      </c>
      <c r="K170" s="32">
        <f t="shared" si="92"/>
        <v>-3.6458333333333336E-2</v>
      </c>
      <c r="L170" s="18">
        <f>IF(ISNUMBER(J170), $B172 * K170, "")</f>
        <v>-3645.8333333333335</v>
      </c>
      <c r="M170" s="31">
        <v>182</v>
      </c>
      <c r="N170" s="32">
        <f t="shared" si="93"/>
        <v>-5.2083333333333336E-2</v>
      </c>
      <c r="O170" s="18">
        <f>IF(ISNUMBER(M170), $B172 * N170, "")</f>
        <v>-5208.3333333333339</v>
      </c>
      <c r="Q170" s="263"/>
      <c r="R170" s="264"/>
      <c r="S170" s="265"/>
    </row>
    <row r="171" spans="1:19" ht="17.25" thickBot="1">
      <c r="A171" s="130" t="s">
        <v>114</v>
      </c>
      <c r="B171" s="131">
        <v>785</v>
      </c>
      <c r="C171" s="79">
        <v>7.7021822999999998E-3</v>
      </c>
      <c r="D171" s="24">
        <v>768</v>
      </c>
      <c r="E171" s="25">
        <f t="shared" si="90"/>
        <v>-2.1656050955414011E-2</v>
      </c>
      <c r="F171" s="104">
        <f>IF(ISNUMBER(D171), $B172 * E171, "")</f>
        <v>-2165.6050955414012</v>
      </c>
      <c r="G171" s="102">
        <v>759</v>
      </c>
      <c r="H171" s="25">
        <f t="shared" si="91"/>
        <v>-3.3121019108280254E-2</v>
      </c>
      <c r="I171" s="103">
        <f>IF(ISNUMBER(G171), $B172 * H171, "")</f>
        <v>-3312.1019108280252</v>
      </c>
      <c r="J171" s="24">
        <v>751</v>
      </c>
      <c r="K171" s="25">
        <f t="shared" si="92"/>
        <v>-4.3312101910828023E-2</v>
      </c>
      <c r="L171" s="104">
        <f>IF(ISNUMBER(J171), $B172 * K171, "")</f>
        <v>-4331.2101910828023</v>
      </c>
      <c r="M171" s="102">
        <v>744</v>
      </c>
      <c r="N171" s="25">
        <f t="shared" si="93"/>
        <v>-5.2229299363057327E-2</v>
      </c>
      <c r="O171" s="104">
        <f>IF(ISNUMBER(M171), $B172 * N171, "")</f>
        <v>-5222.9299363057326</v>
      </c>
      <c r="Q171" s="266"/>
      <c r="R171" s="267"/>
      <c r="S171" s="268"/>
    </row>
    <row r="172" spans="1:19" ht="17.25" thickBot="1">
      <c r="A172" s="132" t="s">
        <v>270</v>
      </c>
      <c r="B172" s="274">
        <f>$B$37</f>
        <v>100000</v>
      </c>
      <c r="C172" s="275"/>
      <c r="D172" s="26" t="s">
        <v>271</v>
      </c>
      <c r="E172" s="27">
        <f>IF(COUNT(E152:E171), SUM(E152:E171) / COUNT(E152:E171), 0)</f>
        <v>-6.3568676008337547E-3</v>
      </c>
      <c r="F172" s="28">
        <f>SUM(F152:F171)</f>
        <v>-12713.735201667505</v>
      </c>
      <c r="G172" s="26" t="s">
        <v>271</v>
      </c>
      <c r="H172" s="27">
        <f>IF(COUNT(H152:H171), SUM(H152:H171) / COUNT(H152:H171), 0)</f>
        <v>-2.3300179131716284E-2</v>
      </c>
      <c r="I172" s="28">
        <f>SUM(I152:I171)</f>
        <v>-46600.358263432565</v>
      </c>
      <c r="J172" s="26" t="s">
        <v>271</v>
      </c>
      <c r="K172" s="27">
        <f>IF(COUNT(K152:K171), SUM(K152:K171) / COUNT(K152:K171), 0)</f>
        <v>-3.8437459880258935E-2</v>
      </c>
      <c r="L172" s="28">
        <f>SUM(L152:L171)</f>
        <v>-76874.919760517863</v>
      </c>
      <c r="M172" s="26" t="s">
        <v>271</v>
      </c>
      <c r="N172" s="27">
        <f>IF(COUNT(N152:N171), SUM(N152:N171) / COUNT(N152:N171), 0)</f>
        <v>-4.5875687062830059E-2</v>
      </c>
      <c r="O172" s="28">
        <f>SUM(O152:O171)</f>
        <v>-91751.374125660092</v>
      </c>
      <c r="Q172" s="269"/>
      <c r="R172" s="270"/>
      <c r="S172" s="27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36"/>
      <c r="R175" s="236"/>
      <c r="S175" s="236"/>
    </row>
    <row r="176" spans="1:19" ht="17.25" thickBot="1">
      <c r="A176" s="201" t="s">
        <v>267</v>
      </c>
      <c r="B176" s="215" t="s">
        <v>49</v>
      </c>
      <c r="C176" s="217"/>
      <c r="D176" s="215" t="s">
        <v>58</v>
      </c>
      <c r="E176" s="216"/>
      <c r="F176" s="217"/>
      <c r="G176" s="242">
        <f>_xlfn.IFNA(VLOOKUP(B176, 현재가테이블!$B$2:$D$200, 2, FALSE), "-")</f>
        <v>53976000</v>
      </c>
      <c r="H176" s="243"/>
      <c r="I176" s="244"/>
      <c r="J176" s="215" t="s">
        <v>59</v>
      </c>
      <c r="K176" s="216"/>
      <c r="L176" s="217"/>
      <c r="M176" s="245">
        <f>_xlfn.IFNA(VLOOKUP(B176, 현재가테이블!$B$2:$D$200, 3, FALSE), "-")</f>
        <v>-2.1216407400000001E-2</v>
      </c>
      <c r="N176" s="246"/>
      <c r="O176" s="247"/>
      <c r="Q176" s="236"/>
      <c r="R176" s="236"/>
      <c r="S176" s="236"/>
    </row>
    <row r="177" spans="1:19" ht="17.25" thickBot="1">
      <c r="A177" s="276" t="s">
        <v>55</v>
      </c>
      <c r="B177" s="278" t="str">
        <f>TEXT($G$1, "[$-ko-KR]yyyy-mm-dd(ddd) ") &amp; "오전 00:00"</f>
        <v>2021-08-12(목) 오전 00:00</v>
      </c>
      <c r="C177" s="279"/>
      <c r="D177" s="238" t="str">
        <f>TEXT($G$1, "[$-ko-KR]yyyy-mm-dd(ddd) ") &amp; "오후 14:00"</f>
        <v>2021-08-12(목) 오후 14:00</v>
      </c>
      <c r="E177" s="239"/>
      <c r="F177" s="240"/>
      <c r="G177" s="238" t="str">
        <f>TEXT($G$1, "[$-ko-KR]yyyy-mm-dd(ddd) ") &amp; "오후 19:00"</f>
        <v>2021-08-12(목) 오후 19:00</v>
      </c>
      <c r="H177" s="239"/>
      <c r="I177" s="240"/>
      <c r="J177" s="238" t="str">
        <f>TEXT($G$1, "[$-ko-KR]yyyy-mm-dd(ddd) ") &amp; "오후 21:00"</f>
        <v>2021-08-12(목) 오후 21:00</v>
      </c>
      <c r="K177" s="239"/>
      <c r="L177" s="240"/>
      <c r="M177" s="238" t="str">
        <f>TEXT($G$1+1, "[$-ko-KR]yyyy-mm-dd(ddd) ") &amp; "오전 00:00"</f>
        <v>2021-08-13(금) 오전 00:00</v>
      </c>
      <c r="N177" s="239"/>
      <c r="O177" s="240"/>
      <c r="Q177" s="236"/>
      <c r="R177" s="236"/>
      <c r="S177" s="236"/>
    </row>
    <row r="178" spans="1:19" ht="17.25" thickBot="1">
      <c r="A178" s="27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1"/>
      <c r="R178" s="241"/>
      <c r="S178" s="241"/>
    </row>
    <row r="179" spans="1:19" ht="17.25" thickBot="1">
      <c r="A179" s="123" t="s">
        <v>254</v>
      </c>
      <c r="B179" s="124">
        <v>314</v>
      </c>
      <c r="C179" s="76">
        <v>2.2801302900000001E-2</v>
      </c>
      <c r="D179" s="13">
        <v>311</v>
      </c>
      <c r="E179" s="14">
        <f>IF(ISNUMBER(D179), (D179 - $B179) / $B179, "")</f>
        <v>-9.5541401273885346E-3</v>
      </c>
      <c r="F179" s="16">
        <f>IF(ISNUMBER(D179), $B199 * E179, "")</f>
        <v>-955.41401273885344</v>
      </c>
      <c r="G179" s="29">
        <v>304</v>
      </c>
      <c r="H179" s="14">
        <f>IF(ISNUMBER(G179), (G179 - $B179) / $B179, "")</f>
        <v>-3.1847133757961783E-2</v>
      </c>
      <c r="I179" s="100">
        <f>IF(ISNUMBER(G179), $B199 * H179, "")</f>
        <v>-3184.7133757961783</v>
      </c>
      <c r="J179" s="13">
        <v>300</v>
      </c>
      <c r="K179" s="14">
        <f>IF(ISNUMBER(J179), (J179 - $B179) / $B179, "")</f>
        <v>-4.4585987261146494E-2</v>
      </c>
      <c r="L179" s="16">
        <f>IF(ISNUMBER(J179), $B199 * K179, "")</f>
        <v>-4458.5987261146493</v>
      </c>
      <c r="M179" s="29">
        <v>299</v>
      </c>
      <c r="N179" s="14">
        <f>IF(ISNUMBER(M179), (M179 - $B179) / $B179, "")</f>
        <v>-4.7770700636942678E-2</v>
      </c>
      <c r="O179" s="16">
        <f>IF(ISNUMBER(M179), $B199 * N179, "")</f>
        <v>-4777.0700636942674</v>
      </c>
      <c r="Q179" s="236"/>
      <c r="R179" s="236"/>
      <c r="S179" s="236"/>
    </row>
    <row r="180" spans="1:19" ht="17.25" thickBot="1">
      <c r="A180" s="125" t="s">
        <v>218</v>
      </c>
      <c r="B180" s="126">
        <v>137</v>
      </c>
      <c r="C180" s="77">
        <v>2.2388059700000001E-2</v>
      </c>
      <c r="D180" s="15">
        <v>135</v>
      </c>
      <c r="E180" s="32">
        <f t="shared" ref="E180:E183" si="94">IF(ISNUMBER(D180), (D180 - $B180) / $B180, "")</f>
        <v>-1.4598540145985401E-2</v>
      </c>
      <c r="F180" s="18">
        <f>IF(ISNUMBER(D180), $B199 * E180, "")</f>
        <v>-1459.8540145985401</v>
      </c>
      <c r="G180" s="31">
        <v>133</v>
      </c>
      <c r="H180" s="32">
        <f t="shared" ref="H180:H183" si="95">IF(ISNUMBER(G180), (G180 - $B180) / $B180, "")</f>
        <v>-2.9197080291970802E-2</v>
      </c>
      <c r="I180" s="101">
        <f>IF(ISNUMBER(G180), $B199 * H180, "")</f>
        <v>-2919.7080291970801</v>
      </c>
      <c r="J180" s="15">
        <v>130</v>
      </c>
      <c r="K180" s="32">
        <f t="shared" ref="K180:K183" si="96">IF(ISNUMBER(J180), (J180 - $B180) / $B180, "")</f>
        <v>-5.1094890510948905E-2</v>
      </c>
      <c r="L180" s="18">
        <f>IF(ISNUMBER(J180), $B199 * K180, "")</f>
        <v>-5109.4890510948908</v>
      </c>
      <c r="M180" s="31">
        <v>129</v>
      </c>
      <c r="N180" s="32">
        <f t="shared" ref="N180:N183" si="97">IF(ISNUMBER(M180), (M180 - $B180) / $B180, "")</f>
        <v>-5.8394160583941604E-2</v>
      </c>
      <c r="O180" s="18">
        <f>IF(ISNUMBER(M180), $B199 * N180, "")</f>
        <v>-5839.4160583941602</v>
      </c>
      <c r="Q180" s="236"/>
      <c r="R180" s="236"/>
      <c r="S180" s="236"/>
    </row>
    <row r="181" spans="1:19" ht="17.25" thickBot="1">
      <c r="A181" s="125" t="s">
        <v>240</v>
      </c>
      <c r="B181" s="126">
        <v>69.8</v>
      </c>
      <c r="C181" s="77">
        <v>2.1961932699999999E-2</v>
      </c>
      <c r="D181" s="15">
        <v>77.3</v>
      </c>
      <c r="E181" s="32">
        <f t="shared" si="94"/>
        <v>0.10744985673352436</v>
      </c>
      <c r="F181" s="18">
        <f>IF(ISNUMBER(D181), $B199 * E181, "")</f>
        <v>10744.985673352436</v>
      </c>
      <c r="G181" s="31">
        <v>76</v>
      </c>
      <c r="H181" s="32">
        <f t="shared" si="95"/>
        <v>8.8825214899713512E-2</v>
      </c>
      <c r="I181" s="101">
        <f>IF(ISNUMBER(G181), $B199 * H181, "")</f>
        <v>8882.5214899713519</v>
      </c>
      <c r="J181" s="15">
        <v>75</v>
      </c>
      <c r="K181" s="32">
        <f t="shared" si="96"/>
        <v>7.4498567335243598E-2</v>
      </c>
      <c r="L181" s="18">
        <f>IF(ISNUMBER(J181), $B199 * K181, "")</f>
        <v>7449.8567335243597</v>
      </c>
      <c r="M181" s="31">
        <v>74</v>
      </c>
      <c r="N181" s="32">
        <f t="shared" si="97"/>
        <v>6.0171919770773685E-2</v>
      </c>
      <c r="O181" s="18">
        <f>IF(ISNUMBER(M181), $B199 * N181, "")</f>
        <v>6017.1919770773684</v>
      </c>
      <c r="Q181" s="241"/>
      <c r="R181" s="241"/>
      <c r="S181" s="241"/>
    </row>
    <row r="182" spans="1:19" ht="17.25" thickBot="1">
      <c r="A182" s="125" t="s">
        <v>168</v>
      </c>
      <c r="B182" s="126">
        <v>1660</v>
      </c>
      <c r="C182" s="77">
        <v>2.1538461500000002E-2</v>
      </c>
      <c r="D182" s="15">
        <v>1635</v>
      </c>
      <c r="E182" s="32">
        <f t="shared" si="94"/>
        <v>-1.5060240963855422E-2</v>
      </c>
      <c r="F182" s="18">
        <f>IF(ISNUMBER(D182), $B199 * E182, "")</f>
        <v>-1506.0240963855422</v>
      </c>
      <c r="G182" s="31">
        <v>1605</v>
      </c>
      <c r="H182" s="32">
        <f t="shared" si="95"/>
        <v>-3.313253012048193E-2</v>
      </c>
      <c r="I182" s="101">
        <f>IF(ISNUMBER(G182), $B199 * H182, "")</f>
        <v>-3313.2530120481929</v>
      </c>
      <c r="J182" s="15">
        <v>1575</v>
      </c>
      <c r="K182" s="32">
        <f t="shared" si="96"/>
        <v>-5.1204819277108432E-2</v>
      </c>
      <c r="L182" s="18">
        <f>IF(ISNUMBER(J182), $B199 * K182, "")</f>
        <v>-5120.4819277108436</v>
      </c>
      <c r="M182" s="31">
        <v>1555</v>
      </c>
      <c r="N182" s="32">
        <f t="shared" si="97"/>
        <v>-6.3253012048192767E-2</v>
      </c>
      <c r="O182" s="18">
        <f>IF(ISNUMBER(M182), $B199 * N182, "")</f>
        <v>-6325.3012048192768</v>
      </c>
      <c r="Q182" s="241"/>
      <c r="R182" s="241"/>
      <c r="S182" s="241"/>
    </row>
    <row r="183" spans="1:19" ht="17.25" thickBot="1">
      <c r="A183" s="127" t="s">
        <v>170</v>
      </c>
      <c r="B183" s="128">
        <v>33480</v>
      </c>
      <c r="C183" s="78">
        <v>2.1043000900000001E-2</v>
      </c>
      <c r="D183" s="20">
        <v>32480</v>
      </c>
      <c r="E183" s="21">
        <f t="shared" si="94"/>
        <v>-2.986857825567503E-2</v>
      </c>
      <c r="F183" s="22">
        <f>IF(ISNUMBER(D183), $B199 * E183, "")</f>
        <v>-2986.8578255675029</v>
      </c>
      <c r="G183" s="30">
        <v>31740</v>
      </c>
      <c r="H183" s="21">
        <f t="shared" si="95"/>
        <v>-5.197132616487455E-2</v>
      </c>
      <c r="I183" s="105">
        <f>IF(ISNUMBER(G183), $B199 * H183, "")</f>
        <v>-5197.1326164874554</v>
      </c>
      <c r="J183" s="20">
        <v>31370</v>
      </c>
      <c r="K183" s="21">
        <f t="shared" si="96"/>
        <v>-6.3022700119474306E-2</v>
      </c>
      <c r="L183" s="22">
        <f>IF(ISNUMBER(J183), $B199 * K183, "")</f>
        <v>-6302.2700119474302</v>
      </c>
      <c r="M183" s="30">
        <v>31010</v>
      </c>
      <c r="N183" s="21">
        <f t="shared" si="97"/>
        <v>-7.3775388291517321E-2</v>
      </c>
      <c r="O183" s="22">
        <f>IF(ISNUMBER(M183), $B199 * N183, "")</f>
        <v>-7377.538829151732</v>
      </c>
      <c r="Q183" s="241"/>
      <c r="R183" s="241"/>
      <c r="S183" s="241"/>
    </row>
    <row r="184" spans="1:19" ht="17.25" thickBot="1">
      <c r="A184" s="125" t="s">
        <v>194</v>
      </c>
      <c r="B184" s="129">
        <v>148</v>
      </c>
      <c r="C184" s="80">
        <v>2.06896552E-2</v>
      </c>
      <c r="D184" s="106">
        <v>149</v>
      </c>
      <c r="E184" s="107">
        <f>IF(ISNUMBER(D184), (D184 - $B184) / $B184, "")</f>
        <v>6.7567567567567571E-3</v>
      </c>
      <c r="F184" s="108">
        <f>IF(ISNUMBER(D184), $B199 * E184, "")</f>
        <v>675.67567567567573</v>
      </c>
      <c r="G184" s="109">
        <v>145</v>
      </c>
      <c r="H184" s="107">
        <f>IF(ISNUMBER(G184), (G184 - $B184) / $B184, "")</f>
        <v>-2.0270270270270271E-2</v>
      </c>
      <c r="I184" s="110">
        <f>IF(ISNUMBER(G184), $B199 * H184, "")</f>
        <v>-2027.0270270270271</v>
      </c>
      <c r="J184" s="106">
        <v>143</v>
      </c>
      <c r="K184" s="107">
        <f>IF(ISNUMBER(J184), (J184 - $B184) / $B184, "")</f>
        <v>-3.3783783783783786E-2</v>
      </c>
      <c r="L184" s="108">
        <f>IF(ISNUMBER(J184), $B199 * K184, "")</f>
        <v>-3378.3783783783788</v>
      </c>
      <c r="M184" s="109">
        <v>142</v>
      </c>
      <c r="N184" s="107">
        <f>IF(ISNUMBER(M184), (M184 - $B184) / $B184, "")</f>
        <v>-4.0540540540540543E-2</v>
      </c>
      <c r="O184" s="108">
        <f>IF(ISNUMBER(M184), $B199 * N184, "")</f>
        <v>-4054.0540540540542</v>
      </c>
      <c r="Q184" s="241"/>
      <c r="R184" s="241"/>
      <c r="S184" s="241"/>
    </row>
    <row r="185" spans="1:19" ht="17.25" thickBot="1">
      <c r="A185" s="125" t="s">
        <v>252</v>
      </c>
      <c r="B185" s="126">
        <v>1020</v>
      </c>
      <c r="C185" s="77">
        <v>0.02</v>
      </c>
      <c r="D185" s="15">
        <v>1020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995</v>
      </c>
      <c r="H185" s="32">
        <f t="shared" ref="H185:H188" si="99">IF(ISNUMBER(G185), (G185 - $B185) / $B185, "")</f>
        <v>-2.4509803921568627E-2</v>
      </c>
      <c r="I185" s="101">
        <f>IF(ISNUMBER(G185), $B199 * H185, "")</f>
        <v>-2450.9803921568628</v>
      </c>
      <c r="J185" s="15">
        <v>989</v>
      </c>
      <c r="K185" s="32">
        <f t="shared" ref="K185:K188" si="100">IF(ISNUMBER(J185), (J185 - $B185) / $B185, "")</f>
        <v>-3.0392156862745098E-2</v>
      </c>
      <c r="L185" s="18">
        <f>IF(ISNUMBER(J185), $B199 * K185, "")</f>
        <v>-3039.2156862745096</v>
      </c>
      <c r="M185" s="31">
        <v>974</v>
      </c>
      <c r="N185" s="32">
        <f t="shared" ref="N185:N188" si="101">IF(ISNUMBER(M185), (M185 - $B185) / $B185, "")</f>
        <v>-4.5098039215686274E-2</v>
      </c>
      <c r="O185" s="18">
        <f>IF(ISNUMBER(M185), $B199 * N185, "")</f>
        <v>-4509.8039215686276</v>
      </c>
      <c r="Q185" s="241"/>
      <c r="R185" s="241"/>
      <c r="S185" s="241"/>
    </row>
    <row r="186" spans="1:19" ht="17.25" thickBot="1">
      <c r="A186" s="125" t="s">
        <v>174</v>
      </c>
      <c r="B186" s="126">
        <v>360</v>
      </c>
      <c r="C186" s="77">
        <v>1.98300283E-2</v>
      </c>
      <c r="D186" s="15">
        <v>357</v>
      </c>
      <c r="E186" s="32">
        <f t="shared" si="98"/>
        <v>-8.3333333333333332E-3</v>
      </c>
      <c r="F186" s="18">
        <f>IF(ISNUMBER(D186), $B199 * E186, "")</f>
        <v>-833.33333333333337</v>
      </c>
      <c r="G186" s="31">
        <v>351</v>
      </c>
      <c r="H186" s="32">
        <f t="shared" si="99"/>
        <v>-2.5000000000000001E-2</v>
      </c>
      <c r="I186" s="101">
        <f>IF(ISNUMBER(G186), $B199 * H186, "")</f>
        <v>-2500</v>
      </c>
      <c r="J186" s="15">
        <v>346</v>
      </c>
      <c r="K186" s="32">
        <f t="shared" si="100"/>
        <v>-3.888888888888889E-2</v>
      </c>
      <c r="L186" s="18">
        <f>IF(ISNUMBER(J186), $B199 * K186, "")</f>
        <v>-3888.8888888888891</v>
      </c>
      <c r="M186" s="31">
        <v>344</v>
      </c>
      <c r="N186" s="32">
        <f t="shared" si="101"/>
        <v>-4.4444444444444446E-2</v>
      </c>
      <c r="O186" s="18">
        <f>IF(ISNUMBER(M186), $B199 * N186, "")</f>
        <v>-4444.4444444444443</v>
      </c>
      <c r="Q186" s="241"/>
      <c r="R186" s="241"/>
      <c r="S186" s="241"/>
    </row>
    <row r="187" spans="1:19" ht="17.25" thickBot="1">
      <c r="A187" s="125" t="s">
        <v>222</v>
      </c>
      <c r="B187" s="126">
        <v>155</v>
      </c>
      <c r="C187" s="77">
        <v>1.9736842099999999E-2</v>
      </c>
      <c r="D187" s="15">
        <v>153</v>
      </c>
      <c r="E187" s="32">
        <f t="shared" si="98"/>
        <v>-1.2903225806451613E-2</v>
      </c>
      <c r="F187" s="18">
        <f>IF(ISNUMBER(D187), $B199 * E187, "")</f>
        <v>-1290.3225806451612</v>
      </c>
      <c r="G187" s="31">
        <v>148</v>
      </c>
      <c r="H187" s="32">
        <f t="shared" si="99"/>
        <v>-4.5161290322580643E-2</v>
      </c>
      <c r="I187" s="101">
        <f>IF(ISNUMBER(G187), $B199 * H187, "")</f>
        <v>-4516.1290322580644</v>
      </c>
      <c r="J187" s="15">
        <v>147</v>
      </c>
      <c r="K187" s="32">
        <f t="shared" si="100"/>
        <v>-5.1612903225806452E-2</v>
      </c>
      <c r="L187" s="18">
        <f>IF(ISNUMBER(J187), $B199 * K187, "")</f>
        <v>-5161.2903225806449</v>
      </c>
      <c r="M187" s="31">
        <v>146</v>
      </c>
      <c r="N187" s="32">
        <f t="shared" si="101"/>
        <v>-5.8064516129032261E-2</v>
      </c>
      <c r="O187" s="18">
        <f>IF(ISNUMBER(M187), $B199 * N187, "")</f>
        <v>-5806.4516129032263</v>
      </c>
      <c r="Q187" s="33"/>
      <c r="R187" s="33"/>
    </row>
    <row r="188" spans="1:19" ht="17.25" thickBot="1">
      <c r="A188" s="130" t="s">
        <v>142</v>
      </c>
      <c r="B188" s="131">
        <v>10820</v>
      </c>
      <c r="C188" s="79">
        <v>1.8832391699999999E-2</v>
      </c>
      <c r="D188" s="24">
        <v>11060</v>
      </c>
      <c r="E188" s="25">
        <f t="shared" si="98"/>
        <v>2.2181146025878003E-2</v>
      </c>
      <c r="F188" s="104">
        <f>IF(ISNUMBER(D188), $B199 * E188, "")</f>
        <v>2218.1146025878002</v>
      </c>
      <c r="G188" s="102">
        <v>10890</v>
      </c>
      <c r="H188" s="25">
        <f t="shared" si="99"/>
        <v>6.4695009242144181E-3</v>
      </c>
      <c r="I188" s="103">
        <f>IF(ISNUMBER(G188), $B199 * H188, "")</f>
        <v>646.95009242144181</v>
      </c>
      <c r="J188" s="24">
        <v>10660</v>
      </c>
      <c r="K188" s="25">
        <f t="shared" si="100"/>
        <v>-1.4787430683918669E-2</v>
      </c>
      <c r="L188" s="104">
        <f>IF(ISNUMBER(J188), $B199 * K188, "")</f>
        <v>-1478.7430683918669</v>
      </c>
      <c r="M188" s="102">
        <v>10490</v>
      </c>
      <c r="N188" s="25">
        <f t="shared" si="101"/>
        <v>-3.0499075785582256E-2</v>
      </c>
      <c r="O188" s="104">
        <f>IF(ISNUMBER(M188), $B199 * N188, "")</f>
        <v>-3049.9075785582254</v>
      </c>
      <c r="Q188" s="250"/>
      <c r="R188" s="251"/>
      <c r="S188" s="252"/>
    </row>
    <row r="189" spans="1:19">
      <c r="A189" s="123" t="s">
        <v>232</v>
      </c>
      <c r="B189" s="124">
        <v>529</v>
      </c>
      <c r="C189" s="76">
        <v>1.73076923E-2</v>
      </c>
      <c r="D189" s="13">
        <v>541</v>
      </c>
      <c r="E189" s="14">
        <f>IF(ISNUMBER(D189), (D189 - $B189) / $B189, "")</f>
        <v>2.2684310018903593E-2</v>
      </c>
      <c r="F189" s="16">
        <f>IF(ISNUMBER(D189), $B199 * E189, "")</f>
        <v>2268.4310018903593</v>
      </c>
      <c r="G189" s="29">
        <v>548</v>
      </c>
      <c r="H189" s="14">
        <f>IF(ISNUMBER(G189), (G189 - $B189) / $B189, "")</f>
        <v>3.5916824196597356E-2</v>
      </c>
      <c r="I189" s="100">
        <f>IF(ISNUMBER(G189), $B199 * H189, "")</f>
        <v>3591.6824196597358</v>
      </c>
      <c r="J189" s="13">
        <v>542</v>
      </c>
      <c r="K189" s="14">
        <f>IF(ISNUMBER(J189), (J189 - $B189) / $B189, "")</f>
        <v>2.4574669187145556E-2</v>
      </c>
      <c r="L189" s="16">
        <f>IF(ISNUMBER(J189), $B199 * K189, "")</f>
        <v>2457.4669187145555</v>
      </c>
      <c r="M189" s="29">
        <v>533</v>
      </c>
      <c r="N189" s="14">
        <f>IF(ISNUMBER(M189), (M189 - $B189) / $B189, "")</f>
        <v>7.5614366729678641E-3</v>
      </c>
      <c r="O189" s="16">
        <f>IF(ISNUMBER(M189), $B199 * N189, "")</f>
        <v>756.14366729678636</v>
      </c>
      <c r="Q189" s="253"/>
      <c r="R189" s="254"/>
      <c r="S189" s="255"/>
    </row>
    <row r="190" spans="1:19" ht="17.25" thickBot="1">
      <c r="A190" s="125" t="s">
        <v>49</v>
      </c>
      <c r="B190" s="126">
        <v>53241000</v>
      </c>
      <c r="C190" s="77">
        <v>1.7233802699999998E-2</v>
      </c>
      <c r="D190" s="15">
        <v>52815000</v>
      </c>
      <c r="E190" s="32">
        <f t="shared" ref="E190:E193" si="102">IF(ISNUMBER(D190), (D190 - $B190) / $B190, "")</f>
        <v>-8.0013523412407733E-3</v>
      </c>
      <c r="F190" s="18">
        <f>IF(ISNUMBER(D190), $B199 * E190, "")</f>
        <v>-800.13523412407733</v>
      </c>
      <c r="G190" s="31">
        <v>52200000</v>
      </c>
      <c r="H190" s="32">
        <f t="shared" ref="H190:H193" si="103">IF(ISNUMBER(G190), (G190 - $B190) / $B190, "")</f>
        <v>-1.9552600439510903E-2</v>
      </c>
      <c r="I190" s="101">
        <f>IF(ISNUMBER(G190), $B199 * H190, "")</f>
        <v>-1955.2600439510902</v>
      </c>
      <c r="J190" s="15">
        <v>51863000</v>
      </c>
      <c r="K190" s="32">
        <f t="shared" ref="K190:K193" si="104">IF(ISNUMBER(J190), (J190 - $B190) / $B190, "")</f>
        <v>-2.5882308747018277E-2</v>
      </c>
      <c r="L190" s="18">
        <f>IF(ISNUMBER(J190), $B199 * K190, "")</f>
        <v>-2588.2308747018278</v>
      </c>
      <c r="M190" s="31">
        <v>51825000</v>
      </c>
      <c r="N190" s="32">
        <f t="shared" ref="N190:N193" si="105">IF(ISNUMBER(M190), (M190 - $B190) / $B190, "")</f>
        <v>-2.6596044401870737E-2</v>
      </c>
      <c r="O190" s="18">
        <f>IF(ISNUMBER(M190), $B199 * N190, "")</f>
        <v>-2659.6044401870736</v>
      </c>
      <c r="Q190" s="256"/>
      <c r="R190" s="257"/>
      <c r="S190" s="258"/>
    </row>
    <row r="191" spans="1:19" ht="17.25" thickBot="1">
      <c r="A191" s="125" t="s">
        <v>88</v>
      </c>
      <c r="B191" s="126">
        <v>192650</v>
      </c>
      <c r="C191" s="77">
        <v>1.7159450900000001E-2</v>
      </c>
      <c r="D191" s="15">
        <v>190750</v>
      </c>
      <c r="E191" s="32">
        <f t="shared" si="102"/>
        <v>-9.8624448481702577E-3</v>
      </c>
      <c r="F191" s="18">
        <f>IF(ISNUMBER(D191), $B199 * E191, "")</f>
        <v>-986.24448481702575</v>
      </c>
      <c r="G191" s="31">
        <v>186950</v>
      </c>
      <c r="H191" s="32">
        <f t="shared" si="103"/>
        <v>-2.958733454451077E-2</v>
      </c>
      <c r="I191" s="101">
        <f>IF(ISNUMBER(G191), $B199 * H191, "")</f>
        <v>-2958.7334544510768</v>
      </c>
      <c r="J191" s="15">
        <v>183050</v>
      </c>
      <c r="K191" s="32">
        <f t="shared" si="104"/>
        <v>-4.9831300285491827E-2</v>
      </c>
      <c r="L191" s="18">
        <f>IF(ISNUMBER(J191), $B199 * K191, "")</f>
        <v>-4983.1300285491825</v>
      </c>
      <c r="M191" s="31">
        <v>182000</v>
      </c>
      <c r="N191" s="32">
        <f t="shared" si="105"/>
        <v>-5.5281598754217495E-2</v>
      </c>
      <c r="O191" s="18">
        <f>IF(ISNUMBER(M191), $B199 * N191, "")</f>
        <v>-5528.1598754217493</v>
      </c>
      <c r="Q191" s="241"/>
      <c r="R191" s="241"/>
      <c r="S191" s="241"/>
    </row>
    <row r="192" spans="1:19" ht="17.25" thickBot="1">
      <c r="A192" s="125" t="s">
        <v>166</v>
      </c>
      <c r="B192" s="126">
        <v>272</v>
      </c>
      <c r="C192" s="77">
        <v>1.49253731E-2</v>
      </c>
      <c r="D192" s="15">
        <v>267</v>
      </c>
      <c r="E192" s="32">
        <f t="shared" si="102"/>
        <v>-1.8382352941176471E-2</v>
      </c>
      <c r="F192" s="18">
        <f>IF(ISNUMBER(D192), $B199 * E192, "")</f>
        <v>-1838.2352941176471</v>
      </c>
      <c r="G192" s="31">
        <v>261</v>
      </c>
      <c r="H192" s="32">
        <f t="shared" si="103"/>
        <v>-4.0441176470588237E-2</v>
      </c>
      <c r="I192" s="101">
        <f>IF(ISNUMBER(G192), $B199 * H192, "")</f>
        <v>-4044.1176470588239</v>
      </c>
      <c r="J192" s="15">
        <v>257</v>
      </c>
      <c r="K192" s="32">
        <f t="shared" si="104"/>
        <v>-5.514705882352941E-2</v>
      </c>
      <c r="L192" s="18">
        <f>IF(ISNUMBER(J192), $B199 * K192, "")</f>
        <v>-5514.7058823529414</v>
      </c>
      <c r="M192" s="31">
        <v>254</v>
      </c>
      <c r="N192" s="32">
        <f t="shared" si="105"/>
        <v>-6.6176470588235295E-2</v>
      </c>
      <c r="O192" s="18">
        <f>IF(ISNUMBER(M192), $B199 * N192, "")</f>
        <v>-6617.6470588235297</v>
      </c>
      <c r="Q192" s="236"/>
      <c r="R192" s="236"/>
      <c r="S192" s="236"/>
    </row>
    <row r="193" spans="1:19" ht="17.25" thickBot="1">
      <c r="A193" s="127" t="s">
        <v>242</v>
      </c>
      <c r="B193" s="128">
        <v>498</v>
      </c>
      <c r="C193" s="78">
        <v>1.4256619099999999E-2</v>
      </c>
      <c r="D193" s="20">
        <v>495</v>
      </c>
      <c r="E193" s="21">
        <f t="shared" si="102"/>
        <v>-6.024096385542169E-3</v>
      </c>
      <c r="F193" s="22">
        <f>IF(ISNUMBER(D193), $B199 * E193, "")</f>
        <v>-602.40963855421694</v>
      </c>
      <c r="G193" s="30">
        <v>484</v>
      </c>
      <c r="H193" s="21">
        <f t="shared" si="103"/>
        <v>-2.8112449799196786E-2</v>
      </c>
      <c r="I193" s="105">
        <f>IF(ISNUMBER(G193), $B199 * H193, "")</f>
        <v>-2811.2449799196788</v>
      </c>
      <c r="J193" s="20">
        <v>478</v>
      </c>
      <c r="K193" s="21">
        <f t="shared" si="104"/>
        <v>-4.0160642570281124E-2</v>
      </c>
      <c r="L193" s="22">
        <f>IF(ISNUMBER(J193), $B199 * K193, "")</f>
        <v>-4016.0642570281125</v>
      </c>
      <c r="M193" s="30">
        <v>474</v>
      </c>
      <c r="N193" s="21">
        <f t="shared" si="105"/>
        <v>-4.8192771084337352E-2</v>
      </c>
      <c r="O193" s="22">
        <f>IF(ISNUMBER(M193), $B199 * N193, "")</f>
        <v>-4819.2771084337355</v>
      </c>
      <c r="Q193" s="236"/>
      <c r="R193" s="236"/>
      <c r="S193" s="236"/>
    </row>
    <row r="194" spans="1:19" ht="17.25" thickBot="1">
      <c r="A194" s="125" t="s">
        <v>110</v>
      </c>
      <c r="B194" s="129">
        <v>192</v>
      </c>
      <c r="C194" s="80">
        <v>1.05263158E-2</v>
      </c>
      <c r="D194" s="106">
        <v>192</v>
      </c>
      <c r="E194" s="107">
        <f>IF(ISNUMBER(D194), (D194 - $B194) / $B194, "")</f>
        <v>0</v>
      </c>
      <c r="F194" s="108">
        <f>IF(ISNUMBER(D194), $B199 * E194, "")</f>
        <v>0</v>
      </c>
      <c r="G194" s="109">
        <v>187</v>
      </c>
      <c r="H194" s="107">
        <f>IF(ISNUMBER(G194), (G194 - $B194) / $B194, "")</f>
        <v>-2.6041666666666668E-2</v>
      </c>
      <c r="I194" s="110">
        <f>IF(ISNUMBER(G194), $B199 * H194, "")</f>
        <v>-2604.166666666667</v>
      </c>
      <c r="J194" s="106">
        <v>185</v>
      </c>
      <c r="K194" s="107">
        <f>IF(ISNUMBER(J194), (J194 - $B194) / $B194, "")</f>
        <v>-3.6458333333333336E-2</v>
      </c>
      <c r="L194" s="108">
        <f>IF(ISNUMBER(J194), $B199 * K194, "")</f>
        <v>-3645.8333333333335</v>
      </c>
      <c r="M194" s="109">
        <v>182</v>
      </c>
      <c r="N194" s="107">
        <f>IF(ISNUMBER(M194), (M194 - $B194) / $B194, "")</f>
        <v>-5.2083333333333336E-2</v>
      </c>
      <c r="O194" s="108">
        <f>IF(ISNUMBER(M194), $B199 * N194, "")</f>
        <v>-5208.3333333333339</v>
      </c>
      <c r="Q194" s="241"/>
      <c r="R194" s="241"/>
      <c r="S194" s="241"/>
    </row>
    <row r="195" spans="1:19" ht="17.25" thickBot="1">
      <c r="A195" s="125" t="s">
        <v>186</v>
      </c>
      <c r="B195" s="126">
        <v>10130</v>
      </c>
      <c r="C195" s="77">
        <v>8.9641433999999992E-3</v>
      </c>
      <c r="D195" s="15">
        <v>10060</v>
      </c>
      <c r="E195" s="32">
        <f t="shared" ref="E195:E198" si="106">IF(ISNUMBER(D195), (D195 - $B195) / $B195, "")</f>
        <v>-6.9101678183613032E-3</v>
      </c>
      <c r="F195" s="18">
        <f>IF(ISNUMBER(D195), $B199 * E195, "")</f>
        <v>-691.01678183613035</v>
      </c>
      <c r="G195" s="31">
        <v>9800</v>
      </c>
      <c r="H195" s="32">
        <f t="shared" ref="H195:H198" si="107">IF(ISNUMBER(G195), (G195 - $B195) / $B195, "")</f>
        <v>-3.257650542941757E-2</v>
      </c>
      <c r="I195" s="101">
        <f>IF(ISNUMBER(G195), $B199 * H195, "")</f>
        <v>-3257.6505429417571</v>
      </c>
      <c r="J195" s="15">
        <v>9670</v>
      </c>
      <c r="K195" s="32">
        <f t="shared" ref="K195:K198" si="108">IF(ISNUMBER(J195), (J195 - $B195) / $B195, "")</f>
        <v>-4.5409674234945706E-2</v>
      </c>
      <c r="L195" s="18">
        <f>IF(ISNUMBER(J195), $B199 * K195, "")</f>
        <v>-4540.9674234945705</v>
      </c>
      <c r="M195" s="31">
        <v>9640</v>
      </c>
      <c r="N195" s="32">
        <f t="shared" ref="N195:N198" si="109">IF(ISNUMBER(M195), (M195 - $B195) / $B195, "")</f>
        <v>-4.8371174728529122E-2</v>
      </c>
      <c r="O195" s="18">
        <f>IF(ISNUMBER(M195), $B199 * N195, "")</f>
        <v>-4837.1174728529122</v>
      </c>
      <c r="Q195" s="241"/>
      <c r="R195" s="241"/>
      <c r="S195" s="241"/>
    </row>
    <row r="196" spans="1:19" ht="17.25" thickBot="1">
      <c r="A196" s="125" t="s">
        <v>114</v>
      </c>
      <c r="B196" s="126">
        <v>785</v>
      </c>
      <c r="C196" s="77">
        <v>7.7021822999999998E-3</v>
      </c>
      <c r="D196" s="15">
        <v>768</v>
      </c>
      <c r="E196" s="32">
        <f t="shared" si="106"/>
        <v>-2.1656050955414011E-2</v>
      </c>
      <c r="F196" s="18">
        <f>IF(ISNUMBER(D196), $B199 * E196, "")</f>
        <v>-2165.6050955414012</v>
      </c>
      <c r="G196" s="31">
        <v>759</v>
      </c>
      <c r="H196" s="32">
        <f t="shared" si="107"/>
        <v>-3.3121019108280254E-2</v>
      </c>
      <c r="I196" s="101">
        <f>IF(ISNUMBER(G196), $B199 * H196, "")</f>
        <v>-3312.1019108280252</v>
      </c>
      <c r="J196" s="15">
        <v>751</v>
      </c>
      <c r="K196" s="32">
        <f t="shared" si="108"/>
        <v>-4.3312101910828023E-2</v>
      </c>
      <c r="L196" s="18">
        <f>IF(ISNUMBER(J196), $B199 * K196, "")</f>
        <v>-4331.2101910828023</v>
      </c>
      <c r="M196" s="31">
        <v>744</v>
      </c>
      <c r="N196" s="32">
        <f t="shared" si="109"/>
        <v>-5.2229299363057327E-2</v>
      </c>
      <c r="O196" s="18">
        <f>IF(ISNUMBER(M196), $B199 * N196, "")</f>
        <v>-5222.9299363057326</v>
      </c>
      <c r="Q196" s="241"/>
      <c r="R196" s="241"/>
      <c r="S196" s="241"/>
    </row>
    <row r="197" spans="1:19">
      <c r="A197" s="125" t="s">
        <v>106</v>
      </c>
      <c r="B197" s="126">
        <v>67570</v>
      </c>
      <c r="C197" s="77">
        <v>3.7136067000000002E-3</v>
      </c>
      <c r="D197" s="15">
        <v>66910</v>
      </c>
      <c r="E197" s="32">
        <f t="shared" si="106"/>
        <v>-9.7676483646588728E-3</v>
      </c>
      <c r="F197" s="18">
        <f>IF(ISNUMBER(D197), $B199 * E197, "")</f>
        <v>-976.76483646588724</v>
      </c>
      <c r="G197" s="31">
        <v>65400</v>
      </c>
      <c r="H197" s="32">
        <f t="shared" si="107"/>
        <v>-3.2114843865620836E-2</v>
      </c>
      <c r="I197" s="101">
        <f>IF(ISNUMBER(G197), $B199 * H197, "")</f>
        <v>-3211.4843865620837</v>
      </c>
      <c r="J197" s="15">
        <v>64650</v>
      </c>
      <c r="K197" s="32">
        <f t="shared" si="108"/>
        <v>-4.3214444280005919E-2</v>
      </c>
      <c r="L197" s="18">
        <f>IF(ISNUMBER(J197), $B199 * K197, "")</f>
        <v>-4321.4444280005919</v>
      </c>
      <c r="M197" s="31">
        <v>63550</v>
      </c>
      <c r="N197" s="32">
        <f t="shared" si="109"/>
        <v>-5.9493858221104041E-2</v>
      </c>
      <c r="O197" s="18">
        <f>IF(ISNUMBER(M197), $B199 * N197, "")</f>
        <v>-5949.3858221104038</v>
      </c>
      <c r="Q197" s="263"/>
      <c r="R197" s="264"/>
      <c r="S197" s="265"/>
    </row>
    <row r="198" spans="1:19" ht="17.25" thickBot="1">
      <c r="A198" s="130" t="s">
        <v>176</v>
      </c>
      <c r="B198" s="131">
        <v>1635</v>
      </c>
      <c r="C198" s="79">
        <v>3.0674846999999999E-3</v>
      </c>
      <c r="D198" s="24">
        <v>1620</v>
      </c>
      <c r="E198" s="25">
        <f t="shared" si="106"/>
        <v>-9.1743119266055051E-3</v>
      </c>
      <c r="F198" s="104">
        <f>IF(ISNUMBER(D198), $B199 * E198, "")</f>
        <v>-917.43119266055055</v>
      </c>
      <c r="G198" s="102">
        <v>1580</v>
      </c>
      <c r="H198" s="25">
        <f t="shared" si="107"/>
        <v>-3.3639143730886847E-2</v>
      </c>
      <c r="I198" s="103">
        <f>IF(ISNUMBER(G198), $B199 * H198, "")</f>
        <v>-3363.9143730886849</v>
      </c>
      <c r="J198" s="24">
        <v>1550</v>
      </c>
      <c r="K198" s="25">
        <f t="shared" si="108"/>
        <v>-5.1987767584097858E-2</v>
      </c>
      <c r="L198" s="104">
        <f>IF(ISNUMBER(J198), $B199 * K198, "")</f>
        <v>-5198.7767584097855</v>
      </c>
      <c r="M198" s="102">
        <v>1540</v>
      </c>
      <c r="N198" s="25">
        <f t="shared" si="109"/>
        <v>-5.8103975535168197E-2</v>
      </c>
      <c r="O198" s="104">
        <f>IF(ISNUMBER(M198), $B199 * N198, "")</f>
        <v>-5810.3975535168192</v>
      </c>
      <c r="Q198" s="266"/>
      <c r="R198" s="267"/>
      <c r="S198" s="268"/>
    </row>
    <row r="199" spans="1:19" ht="17.25" thickBot="1">
      <c r="A199" s="132" t="s">
        <v>270</v>
      </c>
      <c r="B199" s="274">
        <f>$B$37</f>
        <v>100000</v>
      </c>
      <c r="C199" s="275"/>
      <c r="D199" s="26" t="s">
        <v>271</v>
      </c>
      <c r="E199" s="27">
        <f>IF(COUNT(E179:E198), SUM(E179:E198) / COUNT(E179:E198), 0)</f>
        <v>-1.0512207339397994E-3</v>
      </c>
      <c r="F199" s="28">
        <f>SUM(F179:F198)</f>
        <v>-2102.4414678795993</v>
      </c>
      <c r="G199" s="26" t="s">
        <v>271</v>
      </c>
      <c r="H199" s="27">
        <f>IF(COUNT(H179:H198), SUM(H179:H198) / COUNT(H179:H198), 0)</f>
        <v>-2.025323174419311E-2</v>
      </c>
      <c r="I199" s="28">
        <f>SUM(I179:I198)</f>
        <v>-40506.463488386224</v>
      </c>
      <c r="J199" s="26" t="s">
        <v>271</v>
      </c>
      <c r="K199" s="27">
        <f>IF(COUNT(K179:K198), SUM(K179:K198) / COUNT(K179:K198), 0)</f>
        <v>-3.3585197793048159E-2</v>
      </c>
      <c r="L199" s="28">
        <f>SUM(L179:L198)</f>
        <v>-67170.395586096347</v>
      </c>
      <c r="M199" s="26" t="s">
        <v>271</v>
      </c>
      <c r="N199" s="27">
        <f>IF(COUNT(N179:N198), SUM(N179:N198) / COUNT(N179:N198), 0)</f>
        <v>-4.3031752362099586E-2</v>
      </c>
      <c r="O199" s="28">
        <f>SUM(O179:O198)</f>
        <v>-86063.504724199156</v>
      </c>
      <c r="Q199" s="269"/>
      <c r="R199" s="270"/>
      <c r="S199" s="27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5A70-AFEA-425F-9D71-674058097787}">
  <sheetPr codeName="Sheet19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18">
        <v>44421</v>
      </c>
      <c r="H1" s="219"/>
      <c r="I1" s="220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24" t="s">
        <v>46</v>
      </c>
      <c r="H2" s="225"/>
      <c r="I2" s="226"/>
      <c r="J2" s="1" t="s">
        <v>3</v>
      </c>
      <c r="K2" s="221" t="s">
        <v>320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27" t="s">
        <v>328</v>
      </c>
      <c r="C3" s="228"/>
      <c r="D3" s="228"/>
      <c r="E3" s="228"/>
      <c r="F3" s="229"/>
      <c r="G3" s="23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86,351 KRW (4.32%)</v>
      </c>
      <c r="H3" s="231"/>
      <c r="I3" s="232"/>
      <c r="J3" s="4" t="s">
        <v>7</v>
      </c>
      <c r="K3" s="227" t="s">
        <v>321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7" t="s">
        <v>16</v>
      </c>
      <c r="C4" s="228"/>
      <c r="D4" s="228"/>
      <c r="E4" s="228"/>
      <c r="F4" s="229"/>
      <c r="G4" s="224" t="s">
        <v>44</v>
      </c>
      <c r="H4" s="225"/>
      <c r="I4" s="226"/>
      <c r="J4" s="4" t="s">
        <v>11</v>
      </c>
      <c r="K4" s="227" t="s">
        <v>322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7" t="s">
        <v>319</v>
      </c>
      <c r="C5" s="228"/>
      <c r="D5" s="228"/>
      <c r="E5" s="228"/>
      <c r="F5" s="229"/>
      <c r="G5" s="23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82,723 KRW (4.60%)</v>
      </c>
      <c r="H5" s="231"/>
      <c r="I5" s="232"/>
      <c r="J5" s="4" t="s">
        <v>15</v>
      </c>
      <c r="K5" s="227" t="s">
        <v>323</v>
      </c>
      <c r="L5" s="228"/>
      <c r="M5" s="228"/>
      <c r="N5" s="228"/>
      <c r="O5" s="229"/>
    </row>
    <row r="6" spans="1:19">
      <c r="A6" s="118" t="s">
        <v>18</v>
      </c>
      <c r="B6" s="227"/>
      <c r="C6" s="228"/>
      <c r="D6" s="228"/>
      <c r="E6" s="228"/>
      <c r="F6" s="229"/>
      <c r="G6" s="224" t="s">
        <v>45</v>
      </c>
      <c r="H6" s="225"/>
      <c r="I6" s="226"/>
      <c r="J6" s="4" t="s">
        <v>18</v>
      </c>
      <c r="K6" s="227" t="s">
        <v>324</v>
      </c>
      <c r="L6" s="228"/>
      <c r="M6" s="228"/>
      <c r="N6" s="228"/>
      <c r="O6" s="229"/>
    </row>
    <row r="7" spans="1:19" ht="17.25" thickBot="1">
      <c r="A7" s="118" t="s">
        <v>21</v>
      </c>
      <c r="B7" s="227"/>
      <c r="C7" s="228"/>
      <c r="D7" s="228"/>
      <c r="E7" s="228"/>
      <c r="F7" s="229"/>
      <c r="G7" s="23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86,962 KRW (4.35%)</v>
      </c>
      <c r="H7" s="231"/>
      <c r="I7" s="232"/>
      <c r="J7" s="4" t="s">
        <v>21</v>
      </c>
      <c r="K7" s="227" t="s">
        <v>325</v>
      </c>
      <c r="L7" s="228"/>
      <c r="M7" s="228"/>
      <c r="N7" s="228"/>
      <c r="O7" s="229"/>
    </row>
    <row r="8" spans="1:19" ht="17.25" thickBot="1">
      <c r="A8" s="118" t="s">
        <v>24</v>
      </c>
      <c r="B8" s="227"/>
      <c r="C8" s="228"/>
      <c r="D8" s="228"/>
      <c r="E8" s="228"/>
      <c r="F8" s="229"/>
      <c r="G8" s="224" t="s">
        <v>255</v>
      </c>
      <c r="H8" s="225"/>
      <c r="I8" s="226"/>
      <c r="J8" s="4" t="s">
        <v>24</v>
      </c>
      <c r="K8" s="227"/>
      <c r="L8" s="228"/>
      <c r="M8" s="228"/>
      <c r="N8" s="228"/>
      <c r="O8" s="229"/>
      <c r="Q8" s="215" t="s">
        <v>27</v>
      </c>
      <c r="R8" s="217"/>
    </row>
    <row r="9" spans="1:19" ht="17.25" thickBot="1">
      <c r="A9" s="118" t="s">
        <v>28</v>
      </c>
      <c r="B9" s="227"/>
      <c r="C9" s="228"/>
      <c r="D9" s="228"/>
      <c r="E9" s="228"/>
      <c r="F9" s="229"/>
      <c r="G9" s="23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76,994 KRW (3.85%)</v>
      </c>
      <c r="H9" s="231"/>
      <c r="I9" s="232"/>
      <c r="J9" s="4" t="s">
        <v>28</v>
      </c>
      <c r="K9" s="227"/>
      <c r="L9" s="228"/>
      <c r="M9" s="228"/>
      <c r="N9" s="228"/>
      <c r="O9" s="229"/>
      <c r="Q9" s="2" t="s">
        <v>29</v>
      </c>
      <c r="R9" s="6">
        <v>10</v>
      </c>
    </row>
    <row r="10" spans="1:19">
      <c r="A10" s="118" t="s">
        <v>30</v>
      </c>
      <c r="B10" s="227"/>
      <c r="C10" s="228"/>
      <c r="D10" s="228"/>
      <c r="E10" s="228"/>
      <c r="F10" s="229"/>
      <c r="G10" s="224" t="s">
        <v>47</v>
      </c>
      <c r="H10" s="225"/>
      <c r="I10" s="226"/>
      <c r="J10" s="4" t="s">
        <v>30</v>
      </c>
      <c r="K10" s="227" t="s">
        <v>326</v>
      </c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1"/>
      <c r="I11" s="232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36"/>
      <c r="R13" s="236"/>
      <c r="S13" s="236"/>
    </row>
    <row r="14" spans="1:19" ht="17.25" customHeight="1" thickBot="1">
      <c r="A14" s="207" t="s">
        <v>35</v>
      </c>
      <c r="B14" s="215" t="s">
        <v>36</v>
      </c>
      <c r="C14" s="217"/>
      <c r="D14" s="215" t="s">
        <v>37</v>
      </c>
      <c r="E14" s="216"/>
      <c r="F14" s="217"/>
      <c r="G14" s="242">
        <f>_xlfn.IFNA(VLOOKUP(B14, 현재가테이블!$B$2:$D$200, 2, FALSE), "-")</f>
        <v>53976000</v>
      </c>
      <c r="H14" s="243"/>
      <c r="I14" s="244"/>
      <c r="J14" s="215" t="s">
        <v>38</v>
      </c>
      <c r="K14" s="216"/>
      <c r="L14" s="217"/>
      <c r="M14" s="245">
        <f>_xlfn.IFNA(VLOOKUP(B14, 현재가테이블!$B$2:$D$200, 3, FALSE), "-")</f>
        <v>-2.1216407400000001E-2</v>
      </c>
      <c r="N14" s="246"/>
      <c r="O14" s="247"/>
      <c r="Q14" s="236"/>
      <c r="R14" s="236"/>
      <c r="S14" s="236"/>
    </row>
    <row r="15" spans="1:19" ht="17.25" customHeight="1" thickBot="1">
      <c r="A15" s="280" t="s">
        <v>39</v>
      </c>
      <c r="B15" s="281" t="str">
        <f>TEXT($G$1, "[$-ko-KR]yyyy-mm-dd(ddd) ") &amp; "오전 00:00"</f>
        <v>2021-08-13(금) 오전 00:00</v>
      </c>
      <c r="C15" s="282"/>
      <c r="D15" s="238" t="str">
        <f>TEXT($G$1, "[$-ko-KR]yyyy-mm-dd(ddd) ") &amp; "오후 14:00"</f>
        <v>2021-08-13(금) 오후 14:00</v>
      </c>
      <c r="E15" s="239"/>
      <c r="F15" s="240"/>
      <c r="G15" s="238" t="str">
        <f>TEXT($G$1, "[$-ko-KR]yyyy-mm-dd(ddd) ") &amp; "오후 19:00"</f>
        <v>2021-08-13(금) 오후 19:00</v>
      </c>
      <c r="H15" s="239"/>
      <c r="I15" s="240"/>
      <c r="J15" s="238" t="str">
        <f>TEXT($G$1, "[$-ko-KR]yyyy-mm-dd(ddd) ") &amp; "오후 21:00"</f>
        <v>2021-08-13(금) 오후 21:00</v>
      </c>
      <c r="K15" s="239"/>
      <c r="L15" s="240"/>
      <c r="M15" s="238" t="str">
        <f>TEXT($G$1+1, "[$-ko-KR]yyyy-mm-dd(ddd) ") &amp; "오전 00:00"</f>
        <v>2021-08-14(토) 오전 00:00</v>
      </c>
      <c r="N15" s="239"/>
      <c r="O15" s="240"/>
      <c r="Q15" s="236"/>
      <c r="R15" s="236"/>
      <c r="S15" s="236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8" t="s">
        <v>37</v>
      </c>
      <c r="H16" s="209" t="s">
        <v>40</v>
      </c>
      <c r="I16" s="21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1"/>
      <c r="R16" s="241"/>
      <c r="S16" s="24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6"/>
      <c r="R17" s="236"/>
      <c r="S17" s="23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6"/>
      <c r="R18" s="236"/>
      <c r="S18" s="23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1"/>
      <c r="R19" s="241"/>
      <c r="S19" s="24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1"/>
      <c r="R20" s="241"/>
      <c r="S20" s="24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1"/>
      <c r="R21" s="241"/>
      <c r="S21" s="24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1"/>
      <c r="R22" s="241"/>
      <c r="S22" s="24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1"/>
      <c r="R23" s="241"/>
      <c r="S23" s="24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1"/>
      <c r="R24" s="241"/>
      <c r="S24" s="24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0"/>
      <c r="R26" s="251"/>
      <c r="S26" s="25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3"/>
      <c r="R27" s="254"/>
      <c r="S27" s="25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6"/>
      <c r="R28" s="257"/>
      <c r="S28" s="25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1"/>
      <c r="R29" s="241"/>
      <c r="S29" s="24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6"/>
      <c r="R30" s="236"/>
      <c r="S30" s="23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6"/>
      <c r="R31" s="236"/>
      <c r="S31" s="23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1"/>
      <c r="R32" s="241"/>
      <c r="S32" s="24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1"/>
      <c r="R33" s="241"/>
      <c r="S33" s="24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1"/>
      <c r="R34" s="241"/>
      <c r="S34" s="24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3"/>
      <c r="R35" s="264"/>
      <c r="S35" s="26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6"/>
      <c r="R36" s="267"/>
      <c r="S36" s="268"/>
    </row>
    <row r="37" spans="1:19" ht="17.25" customHeight="1" thickBot="1">
      <c r="A37" s="132" t="s">
        <v>42</v>
      </c>
      <c r="B37" s="274">
        <v>100000</v>
      </c>
      <c r="C37" s="27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9"/>
      <c r="R37" s="270"/>
      <c r="S37" s="27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36"/>
      <c r="R40" s="236"/>
      <c r="S40" s="236"/>
    </row>
    <row r="41" spans="1:19" ht="17.25" customHeight="1" thickBot="1">
      <c r="A41" s="207" t="s">
        <v>267</v>
      </c>
      <c r="B41" s="215" t="s">
        <v>49</v>
      </c>
      <c r="C41" s="217"/>
      <c r="D41" s="215" t="s">
        <v>58</v>
      </c>
      <c r="E41" s="216"/>
      <c r="F41" s="217"/>
      <c r="G41" s="242">
        <f>_xlfn.IFNA(VLOOKUP(B41, 현재가테이블!$B$2:$D$200, 2, FALSE), "-")</f>
        <v>53976000</v>
      </c>
      <c r="H41" s="243"/>
      <c r="I41" s="244"/>
      <c r="J41" s="215" t="s">
        <v>59</v>
      </c>
      <c r="K41" s="216"/>
      <c r="L41" s="217"/>
      <c r="M41" s="245">
        <f>_xlfn.IFNA(VLOOKUP(B41, 현재가테이블!$B$2:$D$200, 3, FALSE), "-")</f>
        <v>-2.1216407400000001E-2</v>
      </c>
      <c r="N41" s="246"/>
      <c r="O41" s="247"/>
      <c r="Q41" s="236"/>
      <c r="R41" s="236"/>
      <c r="S41" s="236"/>
    </row>
    <row r="42" spans="1:19" ht="17.25" customHeight="1" thickBot="1">
      <c r="A42" s="276" t="s">
        <v>55</v>
      </c>
      <c r="B42" s="278" t="str">
        <f>TEXT($G$1, "[$-ko-KR]yyyy-mm-dd(ddd) ") &amp; "오전 00:00"</f>
        <v>2021-08-13(금) 오전 00:00</v>
      </c>
      <c r="C42" s="279"/>
      <c r="D42" s="238" t="str">
        <f>TEXT($G$1, "[$-ko-KR]yyyy-mm-dd(ddd) ") &amp; "오후 14:00"</f>
        <v>2021-08-13(금) 오후 14:00</v>
      </c>
      <c r="E42" s="239"/>
      <c r="F42" s="240"/>
      <c r="G42" s="238" t="str">
        <f>TEXT($G$1, "[$-ko-KR]yyyy-mm-dd(ddd) ") &amp; "오후 19:00"</f>
        <v>2021-08-13(금) 오후 19:00</v>
      </c>
      <c r="H42" s="239"/>
      <c r="I42" s="240"/>
      <c r="J42" s="238" t="str">
        <f>TEXT($G$1, "[$-ko-KR]yyyy-mm-dd(ddd) ") &amp; "오후 21:00"</f>
        <v>2021-08-13(금) 오후 21:00</v>
      </c>
      <c r="K42" s="239"/>
      <c r="L42" s="240"/>
      <c r="M42" s="238" t="str">
        <f>TEXT($G$1+1, "[$-ko-KR]yyyy-mm-dd(ddd) ") &amp; "오전 00:00"</f>
        <v>2021-08-14(토) 오전 00:00</v>
      </c>
      <c r="N42" s="239"/>
      <c r="O42" s="240"/>
      <c r="Q42" s="236"/>
      <c r="R42" s="236"/>
      <c r="S42" s="236"/>
    </row>
    <row r="43" spans="1:19" ht="17.25" customHeight="1" thickBot="1">
      <c r="A43" s="27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8" t="s">
        <v>58</v>
      </c>
      <c r="H43" s="209" t="s">
        <v>268</v>
      </c>
      <c r="I43" s="21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1"/>
      <c r="R43" s="241"/>
      <c r="S43" s="241"/>
    </row>
    <row r="44" spans="1:19" ht="17.25" customHeight="1" thickBot="1">
      <c r="A44" s="123" t="s">
        <v>240</v>
      </c>
      <c r="B44" s="124">
        <v>74</v>
      </c>
      <c r="C44" s="76">
        <v>8.5043988299999998E-2</v>
      </c>
      <c r="D44" s="13">
        <v>80.2</v>
      </c>
      <c r="E44" s="14">
        <f>IF(ISNUMBER(D44), (D44 - $B44) / $B44, "")</f>
        <v>8.3783783783783816E-2</v>
      </c>
      <c r="F44" s="16">
        <f>IF(ISNUMBER(D44), $B64 * E44, "")</f>
        <v>8378.378378378382</v>
      </c>
      <c r="G44" s="29">
        <v>78.8</v>
      </c>
      <c r="H44" s="14">
        <f>IF(ISNUMBER(G44), (G44 - $B44) / $B44, "")</f>
        <v>6.4864864864864827E-2</v>
      </c>
      <c r="I44" s="100">
        <f>IF(ISNUMBER(G44), $B64 * H44, "")</f>
        <v>6486.486486486483</v>
      </c>
      <c r="J44" s="13">
        <v>78.8</v>
      </c>
      <c r="K44" s="14">
        <f>IF(ISNUMBER(J44), (J44 - $B44) / $B44, "")</f>
        <v>6.4864864864864827E-2</v>
      </c>
      <c r="L44" s="16">
        <f>IF(ISNUMBER(J44), $B64 * K44, "")</f>
        <v>6486.486486486483</v>
      </c>
      <c r="M44" s="29">
        <v>78.099999999999994</v>
      </c>
      <c r="N44" s="14">
        <f>IF(ISNUMBER(M44), (M44 - $B44) / $B44, "")</f>
        <v>5.5405405405405325E-2</v>
      </c>
      <c r="O44" s="16">
        <f>IF(ISNUMBER(M44), $B64 * N44, "")</f>
        <v>5540.5405405405327</v>
      </c>
      <c r="Q44" s="236"/>
      <c r="R44" s="236"/>
      <c r="S44" s="236"/>
    </row>
    <row r="45" spans="1:19" ht="17.25" customHeight="1" thickBot="1">
      <c r="A45" s="125" t="s">
        <v>190</v>
      </c>
      <c r="B45" s="126">
        <v>18.5</v>
      </c>
      <c r="C45" s="77">
        <v>2.77777778E-2</v>
      </c>
      <c r="D45" s="15">
        <v>20</v>
      </c>
      <c r="E45" s="32">
        <f t="shared" ref="E45:E48" si="14">IF(ISNUMBER(D45), (D45 - $B45) / $B45, "")</f>
        <v>8.1081081081081086E-2</v>
      </c>
      <c r="F45" s="18">
        <f>IF(ISNUMBER(D45), $B64 * E45, "")</f>
        <v>8108.1081081081084</v>
      </c>
      <c r="G45" s="31">
        <v>20.100000000000001</v>
      </c>
      <c r="H45" s="32">
        <f t="shared" ref="H45:H48" si="15">IF(ISNUMBER(G45), (G45 - $B45) / $B45, "")</f>
        <v>8.6486486486486561E-2</v>
      </c>
      <c r="I45" s="101">
        <f>IF(ISNUMBER(G45), $B64 * H45, "")</f>
        <v>8648.6486486486556</v>
      </c>
      <c r="J45" s="15">
        <v>20</v>
      </c>
      <c r="K45" s="32">
        <f t="shared" ref="K45:K48" si="16">IF(ISNUMBER(J45), (J45 - $B45) / $B45, "")</f>
        <v>8.1081081081081086E-2</v>
      </c>
      <c r="L45" s="18">
        <f>IF(ISNUMBER(J45), $B64 * K45, "")</f>
        <v>8108.1081081081084</v>
      </c>
      <c r="M45" s="31">
        <v>19.899999999999999</v>
      </c>
      <c r="N45" s="32">
        <f t="shared" ref="N45:N48" si="17">IF(ISNUMBER(M45), (M45 - $B45) / $B45, "")</f>
        <v>7.5675675675675597E-2</v>
      </c>
      <c r="O45" s="18">
        <f>IF(ISNUMBER(M45), $B64 * N45, "")</f>
        <v>7567.5675675675593</v>
      </c>
      <c r="Q45" s="236"/>
      <c r="R45" s="236"/>
      <c r="S45" s="236"/>
    </row>
    <row r="46" spans="1:19" ht="17.25" customHeight="1" thickBot="1">
      <c r="A46" s="125" t="s">
        <v>98</v>
      </c>
      <c r="B46" s="126">
        <v>5.2</v>
      </c>
      <c r="C46" s="77">
        <v>1.36452242E-2</v>
      </c>
      <c r="D46" s="15">
        <v>5.4</v>
      </c>
      <c r="E46" s="32">
        <f t="shared" si="14"/>
        <v>3.8461538461538491E-2</v>
      </c>
      <c r="F46" s="18">
        <f>IF(ISNUMBER(D46), $B64 * E46, "")</f>
        <v>3846.1538461538489</v>
      </c>
      <c r="G46" s="31">
        <v>5.5</v>
      </c>
      <c r="H46" s="32">
        <f t="shared" si="15"/>
        <v>5.7692307692307654E-2</v>
      </c>
      <c r="I46" s="101">
        <f>IF(ISNUMBER(G46), $B64 * H46, "")</f>
        <v>5769.230769230765</v>
      </c>
      <c r="J46" s="15">
        <v>5.45</v>
      </c>
      <c r="K46" s="32">
        <f t="shared" si="16"/>
        <v>4.8076923076923073E-2</v>
      </c>
      <c r="L46" s="18">
        <f>IF(ISNUMBER(J46), $B64 * K46, "")</f>
        <v>4807.6923076923076</v>
      </c>
      <c r="M46" s="31">
        <v>5.39</v>
      </c>
      <c r="N46" s="32">
        <f t="shared" si="17"/>
        <v>3.6538461538461443E-2</v>
      </c>
      <c r="O46" s="18">
        <f>IF(ISNUMBER(M46), $B64 * N46, "")</f>
        <v>3653.8461538461443</v>
      </c>
      <c r="Q46" s="241"/>
      <c r="R46" s="241"/>
      <c r="S46" s="241"/>
    </row>
    <row r="47" spans="1:19" ht="17.25" customHeight="1" thickBot="1">
      <c r="A47" s="125" t="s">
        <v>202</v>
      </c>
      <c r="B47" s="126">
        <v>95.9</v>
      </c>
      <c r="C47" s="77">
        <v>1.2671594499999999E-2</v>
      </c>
      <c r="D47" s="15">
        <v>97.4</v>
      </c>
      <c r="E47" s="32">
        <f t="shared" si="14"/>
        <v>1.5641293013555786E-2</v>
      </c>
      <c r="F47" s="18">
        <f>IF(ISNUMBER(D47), $B64 * E47, "")</f>
        <v>1564.1293013555785</v>
      </c>
      <c r="G47" s="31">
        <v>98.8</v>
      </c>
      <c r="H47" s="32">
        <f t="shared" si="15"/>
        <v>3.02398331595411E-2</v>
      </c>
      <c r="I47" s="101">
        <f>IF(ISNUMBER(G47), $B64 * H47, "")</f>
        <v>3023.9833159541099</v>
      </c>
      <c r="J47" s="15">
        <v>98.3</v>
      </c>
      <c r="K47" s="32">
        <f t="shared" si="16"/>
        <v>2.502606882168917E-2</v>
      </c>
      <c r="L47" s="18">
        <f>IF(ISNUMBER(J47), $B64 * K47, "")</f>
        <v>2502.6068821689169</v>
      </c>
      <c r="M47" s="31">
        <v>97.6</v>
      </c>
      <c r="N47" s="32">
        <f t="shared" si="17"/>
        <v>1.772679874869644E-2</v>
      </c>
      <c r="O47" s="18">
        <f>IF(ISNUMBER(M47), $B64 * N47, "")</f>
        <v>1772.679874869644</v>
      </c>
      <c r="Q47" s="241"/>
      <c r="R47" s="241"/>
      <c r="S47" s="241"/>
    </row>
    <row r="48" spans="1:19" ht="17.25" customHeight="1" thickBot="1">
      <c r="A48" s="127" t="s">
        <v>208</v>
      </c>
      <c r="B48" s="128">
        <v>13.8</v>
      </c>
      <c r="C48" s="78">
        <v>7.2992700999999997E-3</v>
      </c>
      <c r="D48" s="20">
        <v>14.2</v>
      </c>
      <c r="E48" s="21">
        <f t="shared" si="14"/>
        <v>2.8985507246376708E-2</v>
      </c>
      <c r="F48" s="22">
        <f>IF(ISNUMBER(D48), $B64 * E48, "")</f>
        <v>2898.550724637671</v>
      </c>
      <c r="G48" s="30">
        <v>14.4</v>
      </c>
      <c r="H48" s="21">
        <f t="shared" si="15"/>
        <v>4.3478260869565188E-2</v>
      </c>
      <c r="I48" s="105">
        <f>IF(ISNUMBER(G48), $B64 * H48, "")</f>
        <v>4347.8260869565192</v>
      </c>
      <c r="J48" s="20">
        <v>14.3</v>
      </c>
      <c r="K48" s="21">
        <f t="shared" si="16"/>
        <v>3.6231884057971016E-2</v>
      </c>
      <c r="L48" s="22">
        <f>IF(ISNUMBER(J48), $B64 * K48, "")</f>
        <v>3623.1884057971015</v>
      </c>
      <c r="M48" s="30">
        <v>14.3</v>
      </c>
      <c r="N48" s="21">
        <f t="shared" si="17"/>
        <v>3.6231884057971016E-2</v>
      </c>
      <c r="O48" s="22">
        <f>IF(ISNUMBER(M48), $B64 * N48, "")</f>
        <v>3623.1884057971015</v>
      </c>
      <c r="Q48" s="241"/>
      <c r="R48" s="241"/>
      <c r="S48" s="241"/>
    </row>
    <row r="49" spans="1:19" ht="17.25" customHeight="1" thickBot="1">
      <c r="A49" s="125" t="s">
        <v>152</v>
      </c>
      <c r="B49" s="129">
        <v>96.4</v>
      </c>
      <c r="C49" s="80">
        <v>-1.0362694E-3</v>
      </c>
      <c r="D49" s="106">
        <v>99.7</v>
      </c>
      <c r="E49" s="107">
        <f>IF(ISNUMBER(D49), (D49 - $B49) / $B49, "")</f>
        <v>3.4232365145228184E-2</v>
      </c>
      <c r="F49" s="108">
        <f>IF(ISNUMBER(D49), $B64 * E49, "")</f>
        <v>3423.2365145228187</v>
      </c>
      <c r="G49" s="109">
        <v>101</v>
      </c>
      <c r="H49" s="107">
        <f>IF(ISNUMBER(G49), (G49 - $B49) / $B49, "")</f>
        <v>4.7717842323651394E-2</v>
      </c>
      <c r="I49" s="110">
        <f>IF(ISNUMBER(G49), $B64 * H49, "")</f>
        <v>4771.7842323651394</v>
      </c>
      <c r="J49" s="106">
        <v>101</v>
      </c>
      <c r="K49" s="107">
        <f>IF(ISNUMBER(J49), (J49 - $B49) / $B49, "")</f>
        <v>4.7717842323651394E-2</v>
      </c>
      <c r="L49" s="108">
        <f>IF(ISNUMBER(J49), $B64 * K49, "")</f>
        <v>4771.7842323651394</v>
      </c>
      <c r="M49" s="109">
        <v>101</v>
      </c>
      <c r="N49" s="107">
        <f>IF(ISNUMBER(M49), (M49 - $B49) / $B49, "")</f>
        <v>4.7717842323651394E-2</v>
      </c>
      <c r="O49" s="108">
        <f>IF(ISNUMBER(M49), $B64 * N49, "")</f>
        <v>4771.7842323651394</v>
      </c>
      <c r="Q49" s="241"/>
      <c r="R49" s="241"/>
      <c r="S49" s="241"/>
    </row>
    <row r="50" spans="1:19" ht="17.25" customHeight="1" thickBot="1">
      <c r="A50" s="125" t="s">
        <v>250</v>
      </c>
      <c r="B50" s="126">
        <v>75.400000000000006</v>
      </c>
      <c r="C50" s="77">
        <v>-1.82291667E-2</v>
      </c>
      <c r="D50" s="15">
        <v>77.900000000000006</v>
      </c>
      <c r="E50" s="32">
        <f t="shared" ref="E50:E53" si="18">IF(ISNUMBER(D50), (D50 - $B50) / $B50, "")</f>
        <v>3.3156498673740049E-2</v>
      </c>
      <c r="F50" s="18">
        <f>IF(ISNUMBER(D50), $B64 * E50, "")</f>
        <v>3315.6498673740048</v>
      </c>
      <c r="G50" s="31">
        <v>79.599999999999994</v>
      </c>
      <c r="H50" s="32">
        <f t="shared" ref="H50:H53" si="19">IF(ISNUMBER(G50), (G50 - $B50) / $B50, "")</f>
        <v>5.5702917771883131E-2</v>
      </c>
      <c r="I50" s="101">
        <f>IF(ISNUMBER(G50), $B64 * H50, "")</f>
        <v>5570.2917771883131</v>
      </c>
      <c r="J50" s="15">
        <v>78.5</v>
      </c>
      <c r="K50" s="32">
        <f t="shared" ref="K50:K53" si="20">IF(ISNUMBER(J50), (J50 - $B50) / $B50, "")</f>
        <v>4.1114058355437584E-2</v>
      </c>
      <c r="L50" s="18">
        <f>IF(ISNUMBER(J50), $B64 * K50, "")</f>
        <v>4111.4058355437583</v>
      </c>
      <c r="M50" s="31">
        <v>78.5</v>
      </c>
      <c r="N50" s="32">
        <f t="shared" ref="N50:N53" si="21">IF(ISNUMBER(M50), (M50 - $B50) / $B50, "")</f>
        <v>4.1114058355437584E-2</v>
      </c>
      <c r="O50" s="18">
        <f>IF(ISNUMBER(M50), $B64 * N50, "")</f>
        <v>4111.4058355437583</v>
      </c>
      <c r="Q50" s="241"/>
      <c r="R50" s="241"/>
      <c r="S50" s="241"/>
    </row>
    <row r="51" spans="1:19" ht="17.25" customHeight="1" thickBot="1">
      <c r="A51" s="125" t="s">
        <v>204</v>
      </c>
      <c r="B51" s="126">
        <v>14.3</v>
      </c>
      <c r="C51" s="77">
        <v>-2.72108844E-2</v>
      </c>
      <c r="D51" s="15">
        <v>15.2</v>
      </c>
      <c r="E51" s="32">
        <f t="shared" si="18"/>
        <v>6.2937062937062832E-2</v>
      </c>
      <c r="F51" s="18">
        <f>IF(ISNUMBER(D51), $B64 * E51, "")</f>
        <v>6293.7062937062828</v>
      </c>
      <c r="G51" s="31">
        <v>15.2</v>
      </c>
      <c r="H51" s="32">
        <f t="shared" si="19"/>
        <v>6.2937062937062832E-2</v>
      </c>
      <c r="I51" s="101">
        <f>IF(ISNUMBER(G51), $B64 * H51, "")</f>
        <v>6293.7062937062828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15.2</v>
      </c>
      <c r="N51" s="32">
        <f t="shared" si="21"/>
        <v>6.2937062937062832E-2</v>
      </c>
      <c r="O51" s="18">
        <f>IF(ISNUMBER(M51), $B64 * N51, "")</f>
        <v>6293.7062937062828</v>
      </c>
      <c r="Q51" s="241"/>
      <c r="R51" s="241"/>
      <c r="S51" s="241"/>
    </row>
    <row r="52" spans="1:19" ht="17.25" customHeight="1" thickBot="1">
      <c r="A52" s="125" t="s">
        <v>234</v>
      </c>
      <c r="B52" s="126">
        <v>70.900000000000006</v>
      </c>
      <c r="C52" s="77">
        <v>-3.1420765000000003E-2</v>
      </c>
      <c r="D52" s="15">
        <v>74.2</v>
      </c>
      <c r="E52" s="32">
        <f t="shared" si="18"/>
        <v>4.654442877291956E-2</v>
      </c>
      <c r="F52" s="18">
        <f>IF(ISNUMBER(D52), $B64 * E52, "")</f>
        <v>4654.4428772919564</v>
      </c>
      <c r="G52" s="31">
        <v>76.7</v>
      </c>
      <c r="H52" s="32">
        <f t="shared" si="19"/>
        <v>8.180535966149502E-2</v>
      </c>
      <c r="I52" s="101">
        <f>IF(ISNUMBER(G52), $B64 * H52, "")</f>
        <v>8180.5359661495022</v>
      </c>
      <c r="J52" s="15">
        <v>76.3</v>
      </c>
      <c r="K52" s="32">
        <f t="shared" si="20"/>
        <v>7.6163610719322858E-2</v>
      </c>
      <c r="L52" s="18">
        <f>IF(ISNUMBER(J52), $B64 * K52, "")</f>
        <v>7616.361071932286</v>
      </c>
      <c r="M52" s="31">
        <v>75.599999999999994</v>
      </c>
      <c r="N52" s="32">
        <f t="shared" si="21"/>
        <v>6.6290550070521689E-2</v>
      </c>
      <c r="O52" s="18">
        <f>IF(ISNUMBER(M52), $B64 * N52, "")</f>
        <v>6629.0550070521685</v>
      </c>
      <c r="Q52" s="33"/>
      <c r="R52" s="33"/>
    </row>
    <row r="53" spans="1:19" ht="17.25" customHeight="1" thickBot="1">
      <c r="A53" s="130" t="s">
        <v>210</v>
      </c>
      <c r="B53" s="131">
        <v>12</v>
      </c>
      <c r="C53" s="79">
        <v>-3.2258064500000003E-2</v>
      </c>
      <c r="D53" s="24">
        <v>12.2</v>
      </c>
      <c r="E53" s="25">
        <f t="shared" si="18"/>
        <v>1.6666666666666607E-2</v>
      </c>
      <c r="F53" s="104">
        <f>IF(ISNUMBER(D53), $B64 * E53, "")</f>
        <v>1666.6666666666608</v>
      </c>
      <c r="G53" s="102">
        <v>12.7</v>
      </c>
      <c r="H53" s="25">
        <f t="shared" si="19"/>
        <v>5.8333333333333272E-2</v>
      </c>
      <c r="I53" s="103">
        <f>IF(ISNUMBER(G53), $B64 * H53, "")</f>
        <v>5833.3333333333276</v>
      </c>
      <c r="J53" s="24">
        <v>12.5</v>
      </c>
      <c r="K53" s="25">
        <f t="shared" si="20"/>
        <v>4.1666666666666664E-2</v>
      </c>
      <c r="L53" s="104">
        <f>IF(ISNUMBER(J53), $B64 * K53, "")</f>
        <v>4166.6666666666661</v>
      </c>
      <c r="M53" s="102">
        <v>12.5</v>
      </c>
      <c r="N53" s="25">
        <f t="shared" si="21"/>
        <v>4.1666666666666664E-2</v>
      </c>
      <c r="O53" s="104">
        <f>IF(ISNUMBER(M53), $B64 * N53, "")</f>
        <v>4166.6666666666661</v>
      </c>
      <c r="Q53" s="250"/>
      <c r="R53" s="251"/>
      <c r="S53" s="252"/>
    </row>
    <row r="54" spans="1:19" ht="17.25" customHeight="1">
      <c r="A54" s="123" t="s">
        <v>148</v>
      </c>
      <c r="B54" s="124">
        <v>20.3</v>
      </c>
      <c r="C54" s="76">
        <v>-3.7914691899999999E-2</v>
      </c>
      <c r="D54" s="13">
        <v>21.1</v>
      </c>
      <c r="E54" s="14">
        <f>IF(ISNUMBER(D54), (D54 - $B54) / $B54, "")</f>
        <v>3.9408866995073927E-2</v>
      </c>
      <c r="F54" s="16">
        <f>IF(ISNUMBER(D54), $B64 * E54, "")</f>
        <v>3940.8866995073927</v>
      </c>
      <c r="G54" s="29">
        <v>21.6</v>
      </c>
      <c r="H54" s="14">
        <f>IF(ISNUMBER(G54), (G54 - $B54) / $B54, "")</f>
        <v>6.4039408866995107E-2</v>
      </c>
      <c r="I54" s="100">
        <f>IF(ISNUMBER(G54), $B64 * H54, "")</f>
        <v>6403.9408866995109</v>
      </c>
      <c r="J54" s="13">
        <v>21.5</v>
      </c>
      <c r="K54" s="14">
        <f>IF(ISNUMBER(J54), (J54 - $B54) / $B54, "")</f>
        <v>5.91133004926108E-2</v>
      </c>
      <c r="L54" s="16">
        <f>IF(ISNUMBER(J54), $B64 * K54, "")</f>
        <v>5911.3300492610797</v>
      </c>
      <c r="M54" s="29">
        <v>21.2</v>
      </c>
      <c r="N54" s="14">
        <f>IF(ISNUMBER(M54), (M54 - $B54) / $B54, "")</f>
        <v>4.4334975369458053E-2</v>
      </c>
      <c r="O54" s="16">
        <f>IF(ISNUMBER(M54), $B64 * N54, "")</f>
        <v>4433.4975369458052</v>
      </c>
      <c r="Q54" s="253"/>
      <c r="R54" s="254"/>
      <c r="S54" s="255"/>
    </row>
    <row r="55" spans="1:19" ht="17.25" customHeight="1" thickBot="1">
      <c r="A55" s="125" t="s">
        <v>188</v>
      </c>
      <c r="B55" s="126">
        <v>12.6</v>
      </c>
      <c r="C55" s="77">
        <v>-3.8167938899999997E-2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13.3</v>
      </c>
      <c r="H55" s="32">
        <f t="shared" ref="H55:H58" si="23">IF(ISNUMBER(G55), (G55 - $B55) / $B55, "")</f>
        <v>5.5555555555555643E-2</v>
      </c>
      <c r="I55" s="101">
        <f>IF(ISNUMBER(G55), $B64 * H55, "")</f>
        <v>5555.5555555555638</v>
      </c>
      <c r="J55" s="15">
        <v>13.3</v>
      </c>
      <c r="K55" s="32">
        <f t="shared" ref="K55:K58" si="24">IF(ISNUMBER(J55), (J55 - $B55) / $B55, "")</f>
        <v>5.5555555555555643E-2</v>
      </c>
      <c r="L55" s="18">
        <f>IF(ISNUMBER(J55), $B64 * K55, "")</f>
        <v>5555.5555555555638</v>
      </c>
      <c r="M55" s="31">
        <v>13.3</v>
      </c>
      <c r="N55" s="32">
        <f t="shared" ref="N55:N58" si="25">IF(ISNUMBER(M55), (M55 - $B55) / $B55, "")</f>
        <v>5.5555555555555643E-2</v>
      </c>
      <c r="O55" s="18">
        <f>IF(ISNUMBER(M55), $B64 * N55, "")</f>
        <v>5555.5555555555638</v>
      </c>
      <c r="Q55" s="256"/>
      <c r="R55" s="257"/>
      <c r="S55" s="258"/>
    </row>
    <row r="56" spans="1:19" ht="17.25" customHeight="1" thickBot="1">
      <c r="A56" s="125" t="s">
        <v>65</v>
      </c>
      <c r="B56" s="126">
        <v>34.1</v>
      </c>
      <c r="C56" s="77">
        <v>-3.9436619700000002E-2</v>
      </c>
      <c r="D56" s="15">
        <v>35.700000000000003</v>
      </c>
      <c r="E56" s="32">
        <f t="shared" si="22"/>
        <v>4.6920821114369543E-2</v>
      </c>
      <c r="F56" s="18">
        <f>IF(ISNUMBER(D56), $B64 * E56, "")</f>
        <v>4692.0821114369546</v>
      </c>
      <c r="G56" s="31">
        <v>36.5</v>
      </c>
      <c r="H56" s="32">
        <f t="shared" si="23"/>
        <v>7.0381231671554204E-2</v>
      </c>
      <c r="I56" s="101">
        <f>IF(ISNUMBER(G56), $B64 * H56, "")</f>
        <v>7038.1231671554206</v>
      </c>
      <c r="J56" s="15">
        <v>36</v>
      </c>
      <c r="K56" s="32">
        <f t="shared" si="24"/>
        <v>5.571847507331374E-2</v>
      </c>
      <c r="L56" s="18">
        <f>IF(ISNUMBER(J56), $B64 * K56, "")</f>
        <v>5571.8475073313739</v>
      </c>
      <c r="M56" s="31">
        <v>35.700000000000003</v>
      </c>
      <c r="N56" s="32">
        <f t="shared" si="25"/>
        <v>4.6920821114369543E-2</v>
      </c>
      <c r="O56" s="18">
        <f>IF(ISNUMBER(M56), $B64 * N56, "")</f>
        <v>4692.0821114369546</v>
      </c>
      <c r="Q56" s="241"/>
      <c r="R56" s="241"/>
      <c r="S56" s="241"/>
    </row>
    <row r="57" spans="1:19" ht="17.25" customHeight="1" thickBot="1">
      <c r="A57" s="125" t="s">
        <v>72</v>
      </c>
      <c r="B57" s="126">
        <v>23</v>
      </c>
      <c r="C57" s="77">
        <v>-4.16666667E-2</v>
      </c>
      <c r="D57" s="15">
        <v>23.9</v>
      </c>
      <c r="E57" s="32">
        <f t="shared" si="22"/>
        <v>3.9130434782608636E-2</v>
      </c>
      <c r="F57" s="18">
        <f>IF(ISNUMBER(D57), $B64 * E57, "")</f>
        <v>3913.0434782608636</v>
      </c>
      <c r="G57" s="31">
        <v>24</v>
      </c>
      <c r="H57" s="32">
        <f t="shared" si="23"/>
        <v>4.3478260869565216E-2</v>
      </c>
      <c r="I57" s="101">
        <f>IF(ISNUMBER(G57), $B64 * H57, "")</f>
        <v>4347.826086956522</v>
      </c>
      <c r="J57" s="15">
        <v>23.9</v>
      </c>
      <c r="K57" s="32">
        <f t="shared" si="24"/>
        <v>3.9130434782608636E-2</v>
      </c>
      <c r="L57" s="18">
        <f>IF(ISNUMBER(J57), $B64 * K57, "")</f>
        <v>3913.0434782608636</v>
      </c>
      <c r="M57" s="31">
        <v>23.9</v>
      </c>
      <c r="N57" s="32">
        <f t="shared" si="25"/>
        <v>3.9130434782608636E-2</v>
      </c>
      <c r="O57" s="18">
        <f>IF(ISNUMBER(M57), $B64 * N57, "")</f>
        <v>3913.0434782608636</v>
      </c>
      <c r="Q57" s="236"/>
      <c r="R57" s="236"/>
      <c r="S57" s="236"/>
    </row>
    <row r="58" spans="1:19" ht="17.25" customHeight="1" thickBot="1">
      <c r="A58" s="127" t="s">
        <v>150</v>
      </c>
      <c r="B58" s="128">
        <v>12.7</v>
      </c>
      <c r="C58" s="78">
        <v>-4.5112781999999997E-2</v>
      </c>
      <c r="D58" s="20">
        <v>13.1</v>
      </c>
      <c r="E58" s="21">
        <f t="shared" si="22"/>
        <v>3.1496062992126012E-2</v>
      </c>
      <c r="F58" s="22">
        <f>IF(ISNUMBER(D58), $B64 * E58, "")</f>
        <v>3149.6062992126012</v>
      </c>
      <c r="G58" s="30">
        <v>13.2</v>
      </c>
      <c r="H58" s="21">
        <f t="shared" si="23"/>
        <v>3.937007874015748E-2</v>
      </c>
      <c r="I58" s="105">
        <f>IF(ISNUMBER(G58), $B64 * H58, "")</f>
        <v>3937.0078740157478</v>
      </c>
      <c r="J58" s="20">
        <v>13.1</v>
      </c>
      <c r="K58" s="21">
        <f t="shared" si="24"/>
        <v>3.1496062992126012E-2</v>
      </c>
      <c r="L58" s="22">
        <f>IF(ISNUMBER(J58), $B64 * K58, "")</f>
        <v>3149.6062992126012</v>
      </c>
      <c r="M58" s="30">
        <v>13</v>
      </c>
      <c r="N58" s="21">
        <f t="shared" si="25"/>
        <v>2.3622047244094547E-2</v>
      </c>
      <c r="O58" s="22">
        <f>IF(ISNUMBER(M58), $B64 * N58, "")</f>
        <v>2362.2047244094547</v>
      </c>
      <c r="Q58" s="236"/>
      <c r="R58" s="236"/>
      <c r="S58" s="236"/>
    </row>
    <row r="59" spans="1:19" ht="17.25" customHeight="1" thickBot="1">
      <c r="A59" s="125" t="s">
        <v>216</v>
      </c>
      <c r="B59" s="129">
        <v>10.6</v>
      </c>
      <c r="C59" s="80">
        <v>-5.3571428599999998E-2</v>
      </c>
      <c r="D59" s="106">
        <v>11</v>
      </c>
      <c r="E59" s="107">
        <f>IF(ISNUMBER(D59), (D59 - $B59) / $B59, "")</f>
        <v>3.7735849056603807E-2</v>
      </c>
      <c r="F59" s="108">
        <f>IF(ISNUMBER(D59), $B64 * E59, "")</f>
        <v>3773.5849056603806</v>
      </c>
      <c r="G59" s="109">
        <v>11.2</v>
      </c>
      <c r="H59" s="107">
        <f>IF(ISNUMBER(G59), (G59 - $B59) / $B59, "")</f>
        <v>5.6603773584905627E-2</v>
      </c>
      <c r="I59" s="110">
        <f>IF(ISNUMBER(G59), $B64 * H59, "")</f>
        <v>5660.377358490563</v>
      </c>
      <c r="J59" s="106">
        <v>11.2</v>
      </c>
      <c r="K59" s="107">
        <f>IF(ISNUMBER(J59), (J59 - $B59) / $B59, "")</f>
        <v>5.6603773584905627E-2</v>
      </c>
      <c r="L59" s="108">
        <f>IF(ISNUMBER(J59), $B64 * K59, "")</f>
        <v>5660.377358490563</v>
      </c>
      <c r="M59" s="109">
        <v>11.2</v>
      </c>
      <c r="N59" s="107">
        <f>IF(ISNUMBER(M59), (M59 - $B59) / $B59, "")</f>
        <v>5.6603773584905627E-2</v>
      </c>
      <c r="O59" s="108">
        <f>IF(ISNUMBER(M59), $B64 * N59, "")</f>
        <v>5660.377358490563</v>
      </c>
      <c r="Q59" s="241"/>
      <c r="R59" s="241"/>
      <c r="S59" s="241"/>
    </row>
    <row r="60" spans="1:19" ht="17.25" customHeight="1" thickBot="1">
      <c r="A60" s="125" t="s">
        <v>178</v>
      </c>
      <c r="B60" s="126">
        <v>16.3</v>
      </c>
      <c r="C60" s="77">
        <v>-5.7803468199999999E-2</v>
      </c>
      <c r="D60" s="15">
        <v>17</v>
      </c>
      <c r="E60" s="32">
        <f t="shared" ref="E60:E63" si="26">IF(ISNUMBER(D60), (D60 - $B60) / $B60, "")</f>
        <v>4.2944785276073573E-2</v>
      </c>
      <c r="F60" s="18">
        <f>IF(ISNUMBER(D60), $B64 * E60, "")</f>
        <v>4294.4785276073571</v>
      </c>
      <c r="G60" s="31">
        <v>17.100000000000001</v>
      </c>
      <c r="H60" s="32">
        <f t="shared" ref="H60:H63" si="27">IF(ISNUMBER(G60), (G60 - $B60) / $B60, "")</f>
        <v>4.9079754601227037E-2</v>
      </c>
      <c r="I60" s="101">
        <f>IF(ISNUMBER(G60), $B64 * H60, "")</f>
        <v>4907.9754601227032</v>
      </c>
      <c r="J60" s="15">
        <v>17.100000000000001</v>
      </c>
      <c r="K60" s="32">
        <f t="shared" ref="K60:K63" si="28">IF(ISNUMBER(J60), (J60 - $B60) / $B60, "")</f>
        <v>4.9079754601227037E-2</v>
      </c>
      <c r="L60" s="18">
        <f>IF(ISNUMBER(J60), $B64 * K60, "")</f>
        <v>4907.9754601227032</v>
      </c>
      <c r="M60" s="31">
        <v>17</v>
      </c>
      <c r="N60" s="32">
        <f t="shared" ref="N60:N63" si="29">IF(ISNUMBER(M60), (M60 - $B60) / $B60, "")</f>
        <v>4.2944785276073573E-2</v>
      </c>
      <c r="O60" s="18">
        <f>IF(ISNUMBER(M60), $B64 * N60, "")</f>
        <v>4294.4785276073571</v>
      </c>
      <c r="Q60" s="241"/>
      <c r="R60" s="241"/>
      <c r="S60" s="241"/>
    </row>
    <row r="61" spans="1:19" ht="17.25" customHeight="1" thickBot="1">
      <c r="A61" s="125" t="s">
        <v>122</v>
      </c>
      <c r="B61" s="126">
        <v>32.6</v>
      </c>
      <c r="C61" s="77">
        <v>-6.3218390799999996E-2</v>
      </c>
      <c r="D61" s="15">
        <v>33.4</v>
      </c>
      <c r="E61" s="32">
        <f t="shared" si="26"/>
        <v>2.4539877300613407E-2</v>
      </c>
      <c r="F61" s="18">
        <f>IF(ISNUMBER(D61), $B64 * E61, "")</f>
        <v>2453.9877300613407</v>
      </c>
      <c r="G61" s="31">
        <v>35.1</v>
      </c>
      <c r="H61" s="32">
        <f t="shared" si="27"/>
        <v>7.6687116564417179E-2</v>
      </c>
      <c r="I61" s="101">
        <f>IF(ISNUMBER(G61), $B64 * H61, "")</f>
        <v>7668.7116564417183</v>
      </c>
      <c r="J61" s="15">
        <v>34.700000000000003</v>
      </c>
      <c r="K61" s="32">
        <f t="shared" si="28"/>
        <v>6.4417177914110474E-2</v>
      </c>
      <c r="L61" s="18">
        <f>IF(ISNUMBER(J61), $B64 * K61, "")</f>
        <v>6441.7177914110471</v>
      </c>
      <c r="M61" s="31">
        <v>33.799999999999997</v>
      </c>
      <c r="N61" s="32">
        <f t="shared" si="29"/>
        <v>3.6809815950920116E-2</v>
      </c>
      <c r="O61" s="18">
        <f>IF(ISNUMBER(M61), $B64 * N61, "")</f>
        <v>3680.9815950920115</v>
      </c>
      <c r="Q61" s="241"/>
      <c r="R61" s="241"/>
      <c r="S61" s="24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63"/>
      <c r="R62" s="264"/>
      <c r="S62" s="26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6"/>
      <c r="R63" s="267"/>
      <c r="S63" s="268"/>
    </row>
    <row r="64" spans="1:19" ht="17.25" customHeight="1" thickBot="1">
      <c r="A64" s="132" t="s">
        <v>270</v>
      </c>
      <c r="B64" s="274">
        <f>$B$37</f>
        <v>100000</v>
      </c>
      <c r="C64" s="275"/>
      <c r="D64" s="26" t="s">
        <v>271</v>
      </c>
      <c r="E64" s="27">
        <f>IF(COUNT(E44:E63), SUM(E44:E63) / COUNT(E44:E63), 0)</f>
        <v>4.085627528030298E-2</v>
      </c>
      <c r="F64" s="28">
        <f>SUM(F44:F63)</f>
        <v>73541.295504545385</v>
      </c>
      <c r="G64" s="26" t="s">
        <v>271</v>
      </c>
      <c r="H64" s="27">
        <f>IF(COUNT(H44:H63), SUM(H44:H63) / COUNT(H44:H63), 0)</f>
        <v>5.8025191641920472E-2</v>
      </c>
      <c r="I64" s="28">
        <f>SUM(I44:I63)</f>
        <v>104445.34495545685</v>
      </c>
      <c r="J64" s="26" t="s">
        <v>271</v>
      </c>
      <c r="K64" s="27">
        <f>IF(COUNT(K44:K63), SUM(K44:K63) / COUNT(K44:K63), 0)</f>
        <v>5.1611199494895642E-2</v>
      </c>
      <c r="L64" s="28">
        <f>SUM(L44:L63)</f>
        <v>92900.159090812143</v>
      </c>
      <c r="M64" s="26" t="s">
        <v>271</v>
      </c>
      <c r="N64" s="27">
        <f>IF(COUNT(N44:N63), SUM(N44:N63) / COUNT(N44:N63), 0)</f>
        <v>4.5957034147640886E-2</v>
      </c>
      <c r="O64" s="28">
        <f>SUM(O44:O63)</f>
        <v>82722.661465753568</v>
      </c>
      <c r="Q64" s="269"/>
      <c r="R64" s="270"/>
      <c r="S64" s="27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36"/>
      <c r="R67" s="236"/>
      <c r="S67" s="236"/>
    </row>
    <row r="68" spans="1:19" ht="17.25" thickBot="1">
      <c r="A68" s="207" t="s">
        <v>267</v>
      </c>
      <c r="B68" s="215" t="s">
        <v>49</v>
      </c>
      <c r="C68" s="217"/>
      <c r="D68" s="215" t="s">
        <v>58</v>
      </c>
      <c r="E68" s="216"/>
      <c r="F68" s="217"/>
      <c r="G68" s="242">
        <f>_xlfn.IFNA(VLOOKUP(B68, 현재가테이블!$B$2:$D$200, 2, FALSE), "-")</f>
        <v>53976000</v>
      </c>
      <c r="H68" s="243"/>
      <c r="I68" s="244"/>
      <c r="J68" s="215" t="s">
        <v>59</v>
      </c>
      <c r="K68" s="216"/>
      <c r="L68" s="217"/>
      <c r="M68" s="245">
        <f>_xlfn.IFNA(VLOOKUP(B68, 현재가테이블!$B$2:$D$200, 3, FALSE), "-")</f>
        <v>-2.1216407400000001E-2</v>
      </c>
      <c r="N68" s="246"/>
      <c r="O68" s="247"/>
      <c r="Q68" s="236"/>
      <c r="R68" s="236"/>
      <c r="S68" s="236"/>
    </row>
    <row r="69" spans="1:19" ht="17.25" thickBot="1">
      <c r="A69" s="276" t="s">
        <v>55</v>
      </c>
      <c r="B69" s="278" t="str">
        <f>TEXT($G$1, "[$-ko-KR]yyyy-mm-dd(ddd) ") &amp; "오전 00:00"</f>
        <v>2021-08-13(금) 오전 00:00</v>
      </c>
      <c r="C69" s="279"/>
      <c r="D69" s="238" t="str">
        <f>TEXT($G$1, "[$-ko-KR]yyyy-mm-dd(ddd) ") &amp; "오후 14:00"</f>
        <v>2021-08-13(금) 오후 14:00</v>
      </c>
      <c r="E69" s="239"/>
      <c r="F69" s="240"/>
      <c r="G69" s="238" t="str">
        <f>TEXT($G$1, "[$-ko-KR]yyyy-mm-dd(ddd) ") &amp; "오후 19:00"</f>
        <v>2021-08-13(금) 오후 19:00</v>
      </c>
      <c r="H69" s="239"/>
      <c r="I69" s="240"/>
      <c r="J69" s="238" t="str">
        <f>TEXT($G$1, "[$-ko-KR]yyyy-mm-dd(ddd) ") &amp; "오후 21:00"</f>
        <v>2021-08-13(금) 오후 21:00</v>
      </c>
      <c r="K69" s="239"/>
      <c r="L69" s="240"/>
      <c r="M69" s="238" t="str">
        <f>TEXT($G$1+1, "[$-ko-KR]yyyy-mm-dd(ddd) ") &amp; "오전 00:00"</f>
        <v>2021-08-14(토) 오전 00:00</v>
      </c>
      <c r="N69" s="239"/>
      <c r="O69" s="240"/>
      <c r="Q69" s="236"/>
      <c r="R69" s="236"/>
      <c r="S69" s="236"/>
    </row>
    <row r="70" spans="1:19" ht="17.25" thickBot="1">
      <c r="A70" s="27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8" t="s">
        <v>58</v>
      </c>
      <c r="H70" s="209" t="s">
        <v>268</v>
      </c>
      <c r="I70" s="21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1"/>
      <c r="R70" s="241"/>
      <c r="S70" s="241"/>
    </row>
    <row r="71" spans="1:19" ht="17.25" thickBot="1">
      <c r="A71" s="123" t="s">
        <v>86</v>
      </c>
      <c r="B71" s="124">
        <v>389</v>
      </c>
      <c r="C71" s="76">
        <v>2.6385224299999999E-2</v>
      </c>
      <c r="D71" s="13">
        <v>426</v>
      </c>
      <c r="E71" s="14">
        <f>IF(ISNUMBER(D71), (D71 - $B71) / $B71, "")</f>
        <v>9.5115681233933158E-2</v>
      </c>
      <c r="F71" s="16">
        <f>IF(ISNUMBER(D71), $B91 * E71, "")</f>
        <v>9511.5681233933155</v>
      </c>
      <c r="G71" s="29">
        <v>435</v>
      </c>
      <c r="H71" s="14">
        <f>IF(ISNUMBER(G71), (G71 - $B71) / $B71, "")</f>
        <v>0.11825192802056556</v>
      </c>
      <c r="I71" s="100">
        <f>IF(ISNUMBER(G71), $B91 * H71, "")</f>
        <v>11825.192802056556</v>
      </c>
      <c r="J71" s="13">
        <v>433</v>
      </c>
      <c r="K71" s="14">
        <f>IF(ISNUMBER(J71), (J71 - $B71) / $B71, "")</f>
        <v>0.11311053984575835</v>
      </c>
      <c r="L71" s="16">
        <f>IF(ISNUMBER(J71), $B91 * K71, "")</f>
        <v>11311.053984575834</v>
      </c>
      <c r="M71" s="29">
        <v>426</v>
      </c>
      <c r="N71" s="14">
        <f>IF(ISNUMBER(M71), (M71 - $B71) / $B71, "")</f>
        <v>9.5115681233933158E-2</v>
      </c>
      <c r="O71" s="16">
        <f>IF(ISNUMBER(M71), $B91 * N71, "")</f>
        <v>9511.5681233933155</v>
      </c>
      <c r="Q71" s="236"/>
      <c r="R71" s="236"/>
      <c r="S71" s="236"/>
    </row>
    <row r="72" spans="1:19" ht="17.25" thickBot="1">
      <c r="A72" s="125" t="s">
        <v>232</v>
      </c>
      <c r="B72" s="126">
        <v>533</v>
      </c>
      <c r="C72" s="77">
        <v>5.6603774000000004E-3</v>
      </c>
      <c r="D72" s="15">
        <v>566</v>
      </c>
      <c r="E72" s="32">
        <f t="shared" ref="E72:E75" si="30">IF(ISNUMBER(D72), (D72 - $B72) / $B72, "")</f>
        <v>6.1913696060037521E-2</v>
      </c>
      <c r="F72" s="18">
        <f>IF(ISNUMBER(D72), $B91 * E72, "")</f>
        <v>6191.3696060037519</v>
      </c>
      <c r="G72" s="31">
        <v>563</v>
      </c>
      <c r="H72" s="32">
        <f t="shared" ref="H72:H75" si="31">IF(ISNUMBER(G72), (G72 - $B72) / $B72, "")</f>
        <v>5.6285178236397747E-2</v>
      </c>
      <c r="I72" s="101">
        <f>IF(ISNUMBER(G72), $B91 * H72, "")</f>
        <v>5628.5178236397751</v>
      </c>
      <c r="J72" s="15">
        <v>561</v>
      </c>
      <c r="K72" s="32">
        <f t="shared" ref="K72:K75" si="32">IF(ISNUMBER(J72), (J72 - $B72) / $B72, "")</f>
        <v>5.2532833020637902E-2</v>
      </c>
      <c r="L72" s="18">
        <f>IF(ISNUMBER(J72), $B91 * K72, "")</f>
        <v>5253.28330206379</v>
      </c>
      <c r="M72" s="31">
        <v>554</v>
      </c>
      <c r="N72" s="32">
        <f t="shared" ref="N72:N75" si="33">IF(ISNUMBER(M72), (M72 - $B72) / $B72, "")</f>
        <v>3.9399624765478425E-2</v>
      </c>
      <c r="O72" s="18">
        <f>IF(ISNUMBER(M72), $B91 * N72, "")</f>
        <v>3939.9624765478425</v>
      </c>
      <c r="Q72" s="236"/>
      <c r="R72" s="236"/>
      <c r="S72" s="236"/>
    </row>
    <row r="73" spans="1:19" ht="17.25" thickBot="1">
      <c r="A73" s="125" t="s">
        <v>266</v>
      </c>
      <c r="B73" s="126">
        <v>306</v>
      </c>
      <c r="C73" s="77">
        <v>0</v>
      </c>
      <c r="D73" s="15">
        <v>315</v>
      </c>
      <c r="E73" s="32">
        <f t="shared" si="30"/>
        <v>2.9411764705882353E-2</v>
      </c>
      <c r="F73" s="18">
        <f>IF(ISNUMBER(D73), $B91 * E73, "")</f>
        <v>2941.1764705882351</v>
      </c>
      <c r="G73" s="31">
        <v>319</v>
      </c>
      <c r="H73" s="32">
        <f t="shared" si="31"/>
        <v>4.2483660130718956E-2</v>
      </c>
      <c r="I73" s="101">
        <f>IF(ISNUMBER(G73), $B91 * H73, "")</f>
        <v>4248.3660130718954</v>
      </c>
      <c r="J73" s="15">
        <v>319</v>
      </c>
      <c r="K73" s="32">
        <f t="shared" si="32"/>
        <v>4.2483660130718956E-2</v>
      </c>
      <c r="L73" s="18">
        <f>IF(ISNUMBER(J73), $B91 * K73, "")</f>
        <v>4248.3660130718954</v>
      </c>
      <c r="M73" s="31">
        <v>317</v>
      </c>
      <c r="N73" s="32">
        <f t="shared" si="33"/>
        <v>3.5947712418300651E-2</v>
      </c>
      <c r="O73" s="18">
        <f>IF(ISNUMBER(M73), $B91 * N73, "")</f>
        <v>3594.7712418300653</v>
      </c>
      <c r="Q73" s="241"/>
      <c r="R73" s="241"/>
      <c r="S73" s="241"/>
    </row>
    <row r="74" spans="1:19" ht="17.25" thickBot="1">
      <c r="A74" s="125" t="s">
        <v>51</v>
      </c>
      <c r="B74" s="126">
        <v>379</v>
      </c>
      <c r="C74" s="77">
        <v>-2.5706940899999999E-2</v>
      </c>
      <c r="D74" s="15">
        <v>404</v>
      </c>
      <c r="E74" s="32">
        <f t="shared" si="30"/>
        <v>6.5963060686015831E-2</v>
      </c>
      <c r="F74" s="18">
        <f>IF(ISNUMBER(D74), $B91 * E74, "")</f>
        <v>6596.3060686015833</v>
      </c>
      <c r="G74" s="31">
        <v>417</v>
      </c>
      <c r="H74" s="32">
        <f t="shared" si="31"/>
        <v>0.10026385224274406</v>
      </c>
      <c r="I74" s="101">
        <f>IF(ISNUMBER(G74), $B91 * H74, "")</f>
        <v>10026.385224274407</v>
      </c>
      <c r="J74" s="15">
        <v>413</v>
      </c>
      <c r="K74" s="32">
        <f t="shared" si="32"/>
        <v>8.9709762532981532E-2</v>
      </c>
      <c r="L74" s="18">
        <f>IF(ISNUMBER(J74), $B91 * K74, "")</f>
        <v>8970.9762532981531</v>
      </c>
      <c r="M74" s="31">
        <v>403</v>
      </c>
      <c r="N74" s="32">
        <f t="shared" si="33"/>
        <v>6.3324538258575203E-2</v>
      </c>
      <c r="O74" s="18">
        <f>IF(ISNUMBER(M74), $B91 * N74, "")</f>
        <v>6332.4538258575203</v>
      </c>
      <c r="Q74" s="241"/>
      <c r="R74" s="241"/>
      <c r="S74" s="241"/>
    </row>
    <row r="75" spans="1:19" ht="17.25" thickBot="1">
      <c r="A75" s="127" t="s">
        <v>144</v>
      </c>
      <c r="B75" s="128">
        <v>110</v>
      </c>
      <c r="C75" s="78">
        <v>-2.65486726E-2</v>
      </c>
      <c r="D75" s="20">
        <v>112</v>
      </c>
      <c r="E75" s="21">
        <f t="shared" si="30"/>
        <v>1.8181818181818181E-2</v>
      </c>
      <c r="F75" s="22">
        <f>IF(ISNUMBER(D75), $B91 * E75, "")</f>
        <v>1818.181818181818</v>
      </c>
      <c r="G75" s="30">
        <v>117</v>
      </c>
      <c r="H75" s="21">
        <f t="shared" si="31"/>
        <v>6.363636363636363E-2</v>
      </c>
      <c r="I75" s="105">
        <f>IF(ISNUMBER(G75), $B91 * H75, "")</f>
        <v>6363.6363636363631</v>
      </c>
      <c r="J75" s="20">
        <v>117</v>
      </c>
      <c r="K75" s="21">
        <f t="shared" si="32"/>
        <v>6.363636363636363E-2</v>
      </c>
      <c r="L75" s="22">
        <f>IF(ISNUMBER(J75), $B91 * K75, "")</f>
        <v>6363.6363636363631</v>
      </c>
      <c r="M75" s="30">
        <v>117</v>
      </c>
      <c r="N75" s="21">
        <f t="shared" si="33"/>
        <v>6.363636363636363E-2</v>
      </c>
      <c r="O75" s="22">
        <f>IF(ISNUMBER(M75), $B91 * N75, "")</f>
        <v>6363.6363636363631</v>
      </c>
      <c r="Q75" s="241"/>
      <c r="R75" s="241"/>
      <c r="S75" s="241"/>
    </row>
    <row r="76" spans="1:19" ht="17.25" thickBot="1">
      <c r="A76" s="125" t="s">
        <v>54</v>
      </c>
      <c r="B76" s="129">
        <v>257</v>
      </c>
      <c r="C76" s="80">
        <v>-3.0188679199999999E-2</v>
      </c>
      <c r="D76" s="106">
        <v>259</v>
      </c>
      <c r="E76" s="107">
        <f>IF(ISNUMBER(D76), (D76 - $B76) / $B76, "")</f>
        <v>7.7821011673151752E-3</v>
      </c>
      <c r="F76" s="108">
        <f>IF(ISNUMBER(D76), $B91 * E76, "")</f>
        <v>778.21011673151747</v>
      </c>
      <c r="G76" s="109">
        <v>266</v>
      </c>
      <c r="H76" s="107">
        <f>IF(ISNUMBER(G76), (G76 - $B76) / $B76, "")</f>
        <v>3.5019455252918288E-2</v>
      </c>
      <c r="I76" s="110">
        <f>IF(ISNUMBER(G76), $B91 * H76, "")</f>
        <v>3501.9455252918287</v>
      </c>
      <c r="J76" s="106">
        <v>264</v>
      </c>
      <c r="K76" s="107">
        <f>IF(ISNUMBER(J76), (J76 - $B76) / $B76, "")</f>
        <v>2.7237354085603113E-2</v>
      </c>
      <c r="L76" s="108">
        <f>IF(ISNUMBER(J76), $B91 * K76, "")</f>
        <v>2723.7354085603115</v>
      </c>
      <c r="M76" s="109">
        <v>260</v>
      </c>
      <c r="N76" s="107">
        <f>IF(ISNUMBER(M76), (M76 - $B76) / $B76, "")</f>
        <v>1.1673151750972763E-2</v>
      </c>
      <c r="O76" s="108">
        <f>IF(ISNUMBER(M76), $B91 * N76, "")</f>
        <v>1167.3151750972763</v>
      </c>
      <c r="Q76" s="241"/>
      <c r="R76" s="241"/>
      <c r="S76" s="241"/>
    </row>
    <row r="77" spans="1:19" ht="17.25" thickBot="1">
      <c r="A77" s="125" t="s">
        <v>128</v>
      </c>
      <c r="B77" s="126">
        <v>124</v>
      </c>
      <c r="C77" s="77">
        <v>-3.125E-2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134</v>
      </c>
      <c r="H77" s="32">
        <f t="shared" ref="H77:H80" si="35">IF(ISNUMBER(G77), (G77 - $B77) / $B77, "")</f>
        <v>8.0645161290322578E-2</v>
      </c>
      <c r="I77" s="101">
        <f>IF(ISNUMBER(G77), $B91 * H77, "")</f>
        <v>8064.5161290322576</v>
      </c>
      <c r="J77" s="15">
        <v>134</v>
      </c>
      <c r="K77" s="32">
        <f t="shared" ref="K77:K80" si="36">IF(ISNUMBER(J77), (J77 - $B77) / $B77, "")</f>
        <v>8.0645161290322578E-2</v>
      </c>
      <c r="L77" s="18">
        <f>IF(ISNUMBER(J77), $B91 * K77, "")</f>
        <v>8064.5161290322576</v>
      </c>
      <c r="M77" s="31">
        <v>131</v>
      </c>
      <c r="N77" s="32">
        <f t="shared" ref="N77:N80" si="37">IF(ISNUMBER(M77), (M77 - $B77) / $B77, "")</f>
        <v>5.6451612903225805E-2</v>
      </c>
      <c r="O77" s="18">
        <f>IF(ISNUMBER(M77), $B91 * N77, "")</f>
        <v>5645.1612903225805</v>
      </c>
      <c r="Q77" s="241"/>
      <c r="R77" s="241"/>
      <c r="S77" s="241"/>
    </row>
    <row r="78" spans="1:19" ht="17.25" thickBot="1">
      <c r="A78" s="125" t="s">
        <v>118</v>
      </c>
      <c r="B78" s="126">
        <v>162</v>
      </c>
      <c r="C78" s="77">
        <v>-3.5714285700000001E-2</v>
      </c>
      <c r="D78" s="15">
        <v>166</v>
      </c>
      <c r="E78" s="32">
        <f t="shared" si="34"/>
        <v>2.4691358024691357E-2</v>
      </c>
      <c r="F78" s="18">
        <f>IF(ISNUMBER(D78), $B91 * E78, "")</f>
        <v>2469.1358024691358</v>
      </c>
      <c r="G78" s="31">
        <v>173</v>
      </c>
      <c r="H78" s="32">
        <f t="shared" si="35"/>
        <v>6.7901234567901231E-2</v>
      </c>
      <c r="I78" s="101">
        <f>IF(ISNUMBER(G78), $B91 * H78, "")</f>
        <v>6790.1234567901229</v>
      </c>
      <c r="J78" s="15">
        <v>170</v>
      </c>
      <c r="K78" s="32">
        <f t="shared" si="36"/>
        <v>4.9382716049382713E-2</v>
      </c>
      <c r="L78" s="18">
        <f>IF(ISNUMBER(J78), $B91 * K78, "")</f>
        <v>4938.2716049382716</v>
      </c>
      <c r="M78" s="31">
        <v>170</v>
      </c>
      <c r="N78" s="32">
        <f t="shared" si="37"/>
        <v>4.9382716049382713E-2</v>
      </c>
      <c r="O78" s="18">
        <f>IF(ISNUMBER(M78), $B91 * N78, "")</f>
        <v>4938.2716049382716</v>
      </c>
      <c r="Q78" s="241"/>
      <c r="R78" s="241"/>
      <c r="S78" s="241"/>
    </row>
    <row r="79" spans="1:19" ht="17.25" thickBot="1">
      <c r="A79" s="125" t="s">
        <v>61</v>
      </c>
      <c r="B79" s="126">
        <v>913</v>
      </c>
      <c r="C79" s="77">
        <v>-3.8947368400000001E-2</v>
      </c>
      <c r="D79" s="15">
        <v>942</v>
      </c>
      <c r="E79" s="32">
        <f t="shared" si="34"/>
        <v>3.1763417305585982E-2</v>
      </c>
      <c r="F79" s="18">
        <f>IF(ISNUMBER(D79), $B91 * E79, "")</f>
        <v>3176.3417305585981</v>
      </c>
      <c r="G79" s="31">
        <v>963</v>
      </c>
      <c r="H79" s="32">
        <f t="shared" si="35"/>
        <v>5.4764512595837894E-2</v>
      </c>
      <c r="I79" s="101">
        <f>IF(ISNUMBER(G79), $B91 * H79, "")</f>
        <v>5476.4512595837896</v>
      </c>
      <c r="J79" s="15">
        <v>956</v>
      </c>
      <c r="K79" s="32">
        <f t="shared" si="36"/>
        <v>4.7097480832420595E-2</v>
      </c>
      <c r="L79" s="18">
        <f>IF(ISNUMBER(J79), $B91 * K79, "")</f>
        <v>4709.7480832420597</v>
      </c>
      <c r="M79" s="31">
        <v>941</v>
      </c>
      <c r="N79" s="32">
        <f t="shared" si="37"/>
        <v>3.0668127053669222E-2</v>
      </c>
      <c r="O79" s="18">
        <f>IF(ISNUMBER(M79), $B91 * N79, "")</f>
        <v>3066.8127053669223</v>
      </c>
      <c r="Q79" s="33"/>
      <c r="R79" s="33"/>
    </row>
    <row r="80" spans="1:19" ht="17.25" thickBot="1">
      <c r="A80" s="130" t="s">
        <v>57</v>
      </c>
      <c r="B80" s="131">
        <v>217</v>
      </c>
      <c r="C80" s="79">
        <v>-3.9823008799999997E-2</v>
      </c>
      <c r="D80" s="24">
        <v>225</v>
      </c>
      <c r="E80" s="25">
        <f t="shared" si="34"/>
        <v>3.6866359447004608E-2</v>
      </c>
      <c r="F80" s="104">
        <f>IF(ISNUMBER(D80), $B91 * E80, "")</f>
        <v>3686.6359447004606</v>
      </c>
      <c r="G80" s="102">
        <v>229</v>
      </c>
      <c r="H80" s="25">
        <f t="shared" si="35"/>
        <v>5.5299539170506916E-2</v>
      </c>
      <c r="I80" s="103">
        <f>IF(ISNUMBER(G80), $B91 * H80, "")</f>
        <v>5529.9539170506914</v>
      </c>
      <c r="J80" s="24">
        <v>228</v>
      </c>
      <c r="K80" s="25">
        <f t="shared" si="36"/>
        <v>5.0691244239631339E-2</v>
      </c>
      <c r="L80" s="104">
        <f>IF(ISNUMBER(J80), $B91 * K80, "")</f>
        <v>5069.1244239631342</v>
      </c>
      <c r="M80" s="102">
        <v>226</v>
      </c>
      <c r="N80" s="25">
        <f t="shared" si="37"/>
        <v>4.1474654377880185E-2</v>
      </c>
      <c r="O80" s="104">
        <f>IF(ISNUMBER(M80), $B91 * N80, "")</f>
        <v>4147.4654377880188</v>
      </c>
      <c r="Q80" s="250"/>
      <c r="R80" s="251"/>
      <c r="S80" s="252"/>
    </row>
    <row r="81" spans="1:19">
      <c r="A81" s="123" t="s">
        <v>194</v>
      </c>
      <c r="B81" s="124">
        <v>142</v>
      </c>
      <c r="C81" s="76">
        <v>-4.05405405E-2</v>
      </c>
      <c r="D81" s="13">
        <v>144</v>
      </c>
      <c r="E81" s="14">
        <f>IF(ISNUMBER(D81), (D81 - $B81) / $B81, "")</f>
        <v>1.4084507042253521E-2</v>
      </c>
      <c r="F81" s="16">
        <f>IF(ISNUMBER(D81), $B91 * E81, "")</f>
        <v>1408.4507042253522</v>
      </c>
      <c r="G81" s="29">
        <v>146</v>
      </c>
      <c r="H81" s="14">
        <f>IF(ISNUMBER(G81), (G81 - $B81) / $B81, "")</f>
        <v>2.8169014084507043E-2</v>
      </c>
      <c r="I81" s="100">
        <f>IF(ISNUMBER(G81), $B91 * H81, "")</f>
        <v>2816.9014084507044</v>
      </c>
      <c r="J81" s="13">
        <v>144</v>
      </c>
      <c r="K81" s="14">
        <f>IF(ISNUMBER(J81), (J81 - $B81) / $B81, "")</f>
        <v>1.4084507042253521E-2</v>
      </c>
      <c r="L81" s="16">
        <f>IF(ISNUMBER(J81), $B91 * K81, "")</f>
        <v>1408.4507042253522</v>
      </c>
      <c r="M81" s="29">
        <v>144</v>
      </c>
      <c r="N81" s="14">
        <f>IF(ISNUMBER(M81), (M81 - $B81) / $B81, "")</f>
        <v>1.4084507042253521E-2</v>
      </c>
      <c r="O81" s="16">
        <f>IF(ISNUMBER(M81), $B91 * N81, "")</f>
        <v>1408.4507042253522</v>
      </c>
      <c r="Q81" s="253"/>
      <c r="R81" s="254"/>
      <c r="S81" s="255"/>
    </row>
    <row r="82" spans="1:19" ht="17.25" thickBot="1">
      <c r="A82" s="125" t="s">
        <v>138</v>
      </c>
      <c r="B82" s="126">
        <v>378</v>
      </c>
      <c r="C82" s="77">
        <v>-4.3037974700000002E-2</v>
      </c>
      <c r="D82" s="15">
        <v>392</v>
      </c>
      <c r="E82" s="32">
        <f t="shared" ref="E82:E85" si="38">IF(ISNUMBER(D82), (D82 - $B82) / $B82, "")</f>
        <v>3.7037037037037035E-2</v>
      </c>
      <c r="F82" s="18">
        <f>IF(ISNUMBER(D82), $B91 * E82, "")</f>
        <v>3703.7037037037035</v>
      </c>
      <c r="G82" s="31">
        <v>398</v>
      </c>
      <c r="H82" s="32">
        <f t="shared" ref="H82:H85" si="39">IF(ISNUMBER(G82), (G82 - $B82) / $B82, "")</f>
        <v>5.2910052910052907E-2</v>
      </c>
      <c r="I82" s="101">
        <f>IF(ISNUMBER(G82), $B91 * H82, "")</f>
        <v>5291.0052910052909</v>
      </c>
      <c r="J82" s="15">
        <v>396</v>
      </c>
      <c r="K82" s="32">
        <f t="shared" ref="K82:K85" si="40">IF(ISNUMBER(J82), (J82 - $B82) / $B82, "")</f>
        <v>4.7619047619047616E-2</v>
      </c>
      <c r="L82" s="18">
        <f>IF(ISNUMBER(J82), $B91 * K82, "")</f>
        <v>4761.9047619047615</v>
      </c>
      <c r="M82" s="31">
        <v>391</v>
      </c>
      <c r="N82" s="32">
        <f t="shared" ref="N82:N85" si="41">IF(ISNUMBER(M82), (M82 - $B82) / $B82, "")</f>
        <v>3.439153439153439E-2</v>
      </c>
      <c r="O82" s="18">
        <f>IF(ISNUMBER(M82), $B91 * N82, "")</f>
        <v>3439.1534391534387</v>
      </c>
      <c r="Q82" s="256"/>
      <c r="R82" s="257"/>
      <c r="S82" s="258"/>
    </row>
    <row r="83" spans="1:19" ht="17.25" thickBot="1">
      <c r="A83" s="125" t="s">
        <v>80</v>
      </c>
      <c r="B83" s="126">
        <v>822</v>
      </c>
      <c r="C83" s="77">
        <v>-4.3073341100000002E-2</v>
      </c>
      <c r="D83" s="15">
        <v>852</v>
      </c>
      <c r="E83" s="32">
        <f t="shared" si="38"/>
        <v>3.6496350364963501E-2</v>
      </c>
      <c r="F83" s="18">
        <f>IF(ISNUMBER(D83), $B91 * E83, "")</f>
        <v>3649.63503649635</v>
      </c>
      <c r="G83" s="31">
        <v>882</v>
      </c>
      <c r="H83" s="32">
        <f t="shared" si="39"/>
        <v>7.2992700729927001E-2</v>
      </c>
      <c r="I83" s="101">
        <f>IF(ISNUMBER(G83), $B91 * H83, "")</f>
        <v>7299.2700729927001</v>
      </c>
      <c r="J83" s="15">
        <v>875</v>
      </c>
      <c r="K83" s="32">
        <f t="shared" si="40"/>
        <v>6.4476885644768861E-2</v>
      </c>
      <c r="L83" s="18">
        <f>IF(ISNUMBER(J83), $B91 * K83, "")</f>
        <v>6447.6885644768863</v>
      </c>
      <c r="M83" s="31">
        <v>872</v>
      </c>
      <c r="N83" s="32">
        <f t="shared" si="41"/>
        <v>6.0827250608272508E-2</v>
      </c>
      <c r="O83" s="18">
        <f>IF(ISNUMBER(M83), $B91 * N83, "")</f>
        <v>6082.7250608272507</v>
      </c>
      <c r="Q83" s="241"/>
      <c r="R83" s="241"/>
      <c r="S83" s="241"/>
    </row>
    <row r="84" spans="1:19" ht="17.25" thickBot="1">
      <c r="A84" s="125" t="s">
        <v>228</v>
      </c>
      <c r="B84" s="126">
        <v>388</v>
      </c>
      <c r="C84" s="77">
        <v>-4.4334975399999997E-2</v>
      </c>
      <c r="D84" s="15">
        <v>396</v>
      </c>
      <c r="E84" s="32">
        <f t="shared" si="38"/>
        <v>2.0618556701030927E-2</v>
      </c>
      <c r="F84" s="18">
        <f>IF(ISNUMBER(D84), $B91 * E84, "")</f>
        <v>2061.855670103093</v>
      </c>
      <c r="G84" s="31">
        <v>402</v>
      </c>
      <c r="H84" s="32">
        <f t="shared" si="39"/>
        <v>3.608247422680412E-2</v>
      </c>
      <c r="I84" s="101">
        <f>IF(ISNUMBER(G84), $B91 * H84, "")</f>
        <v>3608.247422680412</v>
      </c>
      <c r="J84" s="15">
        <v>400</v>
      </c>
      <c r="K84" s="32">
        <f t="shared" si="40"/>
        <v>3.0927835051546393E-2</v>
      </c>
      <c r="L84" s="18">
        <f>IF(ISNUMBER(J84), $B91 * K84, "")</f>
        <v>3092.7835051546394</v>
      </c>
      <c r="M84" s="31">
        <v>398</v>
      </c>
      <c r="N84" s="32">
        <f t="shared" si="41"/>
        <v>2.5773195876288658E-2</v>
      </c>
      <c r="O84" s="18">
        <f>IF(ISNUMBER(M84), $B91 * N84, "")</f>
        <v>2577.319587628866</v>
      </c>
      <c r="Q84" s="236"/>
      <c r="R84" s="236"/>
      <c r="S84" s="236"/>
    </row>
    <row r="85" spans="1:19" ht="17.25" thickBot="1">
      <c r="A85" s="127" t="s">
        <v>254</v>
      </c>
      <c r="B85" s="128">
        <v>299</v>
      </c>
      <c r="C85" s="78">
        <v>-4.4728434499999997E-2</v>
      </c>
      <c r="D85" s="20">
        <v>303</v>
      </c>
      <c r="E85" s="21">
        <f t="shared" si="38"/>
        <v>1.3377926421404682E-2</v>
      </c>
      <c r="F85" s="22">
        <f>IF(ISNUMBER(D85), $B91 * E85, "")</f>
        <v>1337.7926421404682</v>
      </c>
      <c r="G85" s="30">
        <v>308</v>
      </c>
      <c r="H85" s="21">
        <f t="shared" si="39"/>
        <v>3.0100334448160536E-2</v>
      </c>
      <c r="I85" s="105">
        <f>IF(ISNUMBER(G85), $B91 * H85, "")</f>
        <v>3010.0334448160534</v>
      </c>
      <c r="J85" s="20">
        <v>306</v>
      </c>
      <c r="K85" s="21">
        <f t="shared" si="40"/>
        <v>2.3411371237458192E-2</v>
      </c>
      <c r="L85" s="22">
        <f>IF(ISNUMBER(J85), $B91 * K85, "")</f>
        <v>2341.1371237458193</v>
      </c>
      <c r="M85" s="30">
        <v>315</v>
      </c>
      <c r="N85" s="21">
        <f t="shared" si="41"/>
        <v>5.3511705685618728E-2</v>
      </c>
      <c r="O85" s="22">
        <f>IF(ISNUMBER(M85), $B91 * N85, "")</f>
        <v>5351.1705685618726</v>
      </c>
      <c r="Q85" s="236"/>
      <c r="R85" s="236"/>
      <c r="S85" s="236"/>
    </row>
    <row r="86" spans="1:19" ht="17.25" thickBot="1">
      <c r="A86" s="125" t="s">
        <v>130</v>
      </c>
      <c r="B86" s="129">
        <v>106</v>
      </c>
      <c r="C86" s="80">
        <v>-4.5045044999999999E-2</v>
      </c>
      <c r="D86" s="106">
        <v>114</v>
      </c>
      <c r="E86" s="107">
        <f>IF(ISNUMBER(D86), (D86 - $B86) / $B86, "")</f>
        <v>7.5471698113207544E-2</v>
      </c>
      <c r="F86" s="108">
        <f>IF(ISNUMBER(D86), $B91 * E86, "")</f>
        <v>7547.169811320754</v>
      </c>
      <c r="G86" s="109">
        <v>117</v>
      </c>
      <c r="H86" s="107">
        <f>IF(ISNUMBER(G86), (G86 - $B86) / $B86, "")</f>
        <v>0.10377358490566038</v>
      </c>
      <c r="I86" s="110">
        <f>IF(ISNUMBER(G86), $B91 * H86, "")</f>
        <v>10377.358490566039</v>
      </c>
      <c r="J86" s="106">
        <v>117</v>
      </c>
      <c r="K86" s="107">
        <f>IF(ISNUMBER(J86), (J86 - $B86) / $B86, "")</f>
        <v>0.10377358490566038</v>
      </c>
      <c r="L86" s="108">
        <f>IF(ISNUMBER(J86), $B91 * K86, "")</f>
        <v>10377.358490566039</v>
      </c>
      <c r="M86" s="109">
        <v>115</v>
      </c>
      <c r="N86" s="107">
        <f>IF(ISNUMBER(M86), (M86 - $B86) / $B86, "")</f>
        <v>8.4905660377358486E-2</v>
      </c>
      <c r="O86" s="108">
        <f>IF(ISNUMBER(M86), $B91 * N86, "")</f>
        <v>8490.566037735849</v>
      </c>
      <c r="Q86" s="241"/>
      <c r="R86" s="241"/>
      <c r="S86" s="241"/>
    </row>
    <row r="87" spans="1:19" ht="17.25" thickBot="1">
      <c r="A87" s="125" t="s">
        <v>162</v>
      </c>
      <c r="B87" s="126">
        <v>105</v>
      </c>
      <c r="C87" s="77">
        <v>-4.5454545499999999E-2</v>
      </c>
      <c r="D87" s="15">
        <v>110</v>
      </c>
      <c r="E87" s="32">
        <f t="shared" ref="E87:E90" si="42">IF(ISNUMBER(D87), (D87 - $B87) / $B87, "")</f>
        <v>4.7619047619047616E-2</v>
      </c>
      <c r="F87" s="18">
        <f>IF(ISNUMBER(D87), $B91 * E87, "")</f>
        <v>4761.9047619047615</v>
      </c>
      <c r="G87" s="31">
        <v>113</v>
      </c>
      <c r="H87" s="32">
        <f t="shared" ref="H87:H90" si="43">IF(ISNUMBER(G87), (G87 - $B87) / $B87, "")</f>
        <v>7.6190476190476197E-2</v>
      </c>
      <c r="I87" s="101">
        <f>IF(ISNUMBER(G87), $B91 * H87, "")</f>
        <v>7619.0476190476202</v>
      </c>
      <c r="J87" s="15">
        <v>113</v>
      </c>
      <c r="K87" s="32">
        <f t="shared" ref="K87:K90" si="44">IF(ISNUMBER(J87), (J87 - $B87) / $B87, "")</f>
        <v>7.6190476190476197E-2</v>
      </c>
      <c r="L87" s="18">
        <f>IF(ISNUMBER(J87), $B91 * K87, "")</f>
        <v>7619.0476190476202</v>
      </c>
      <c r="M87" s="31">
        <v>111</v>
      </c>
      <c r="N87" s="32">
        <f t="shared" ref="N87:N90" si="45">IF(ISNUMBER(M87), (M87 - $B87) / $B87, "")</f>
        <v>5.7142857142857141E-2</v>
      </c>
      <c r="O87" s="18">
        <f>IF(ISNUMBER(M87), $B91 * N87, "")</f>
        <v>5714.2857142857138</v>
      </c>
      <c r="Q87" s="241"/>
      <c r="R87" s="241"/>
      <c r="S87" s="241"/>
    </row>
    <row r="88" spans="1:19" ht="17.25" thickBot="1">
      <c r="A88" s="125" t="s">
        <v>230</v>
      </c>
      <c r="B88" s="126">
        <v>208</v>
      </c>
      <c r="C88" s="77">
        <v>-4.58715596E-2</v>
      </c>
      <c r="D88" s="15">
        <v>211</v>
      </c>
      <c r="E88" s="32">
        <f t="shared" si="42"/>
        <v>1.4423076923076924E-2</v>
      </c>
      <c r="F88" s="18">
        <f>IF(ISNUMBER(D88), $B91 * E88, "")</f>
        <v>1442.3076923076924</v>
      </c>
      <c r="G88" s="31">
        <v>213</v>
      </c>
      <c r="H88" s="32">
        <f t="shared" si="43"/>
        <v>2.403846153846154E-2</v>
      </c>
      <c r="I88" s="101">
        <f>IF(ISNUMBER(G88), $B91 * H88, "")</f>
        <v>2403.8461538461538</v>
      </c>
      <c r="J88" s="15">
        <v>211</v>
      </c>
      <c r="K88" s="32">
        <f t="shared" si="44"/>
        <v>1.4423076923076924E-2</v>
      </c>
      <c r="L88" s="18">
        <f>IF(ISNUMBER(J88), $B91 * K88, "")</f>
        <v>1442.3076923076924</v>
      </c>
      <c r="M88" s="31">
        <v>211</v>
      </c>
      <c r="N88" s="32">
        <f t="shared" si="45"/>
        <v>1.4423076923076924E-2</v>
      </c>
      <c r="O88" s="18">
        <f>IF(ISNUMBER(M88), $B91 * N88, "")</f>
        <v>1442.3076923076924</v>
      </c>
      <c r="Q88" s="241"/>
      <c r="R88" s="241"/>
      <c r="S88" s="241"/>
    </row>
    <row r="89" spans="1:19">
      <c r="A89" s="125" t="s">
        <v>238</v>
      </c>
      <c r="B89" s="126">
        <v>103</v>
      </c>
      <c r="C89" s="77">
        <v>-4.6296296299999998E-2</v>
      </c>
      <c r="D89" s="15">
        <v>106</v>
      </c>
      <c r="E89" s="32">
        <f t="shared" si="42"/>
        <v>2.9126213592233011E-2</v>
      </c>
      <c r="F89" s="18">
        <f>IF(ISNUMBER(D89), $B91 * E89, "")</f>
        <v>2912.6213592233012</v>
      </c>
      <c r="G89" s="31">
        <v>108</v>
      </c>
      <c r="H89" s="32">
        <f t="shared" si="43"/>
        <v>4.8543689320388349E-2</v>
      </c>
      <c r="I89" s="101">
        <f>IF(ISNUMBER(G89), $B91 * H89, "")</f>
        <v>4854.3689320388348</v>
      </c>
      <c r="J89" s="15">
        <v>108</v>
      </c>
      <c r="K89" s="32">
        <f t="shared" si="44"/>
        <v>4.8543689320388349E-2</v>
      </c>
      <c r="L89" s="18">
        <f>IF(ISNUMBER(J89), $B91 * K89, "")</f>
        <v>4854.3689320388348</v>
      </c>
      <c r="M89" s="31">
        <v>107</v>
      </c>
      <c r="N89" s="32">
        <f t="shared" si="45"/>
        <v>3.8834951456310676E-2</v>
      </c>
      <c r="O89" s="18">
        <f>IF(ISNUMBER(M89), $B91 * N89, "")</f>
        <v>3883.4951456310678</v>
      </c>
      <c r="Q89" s="263"/>
      <c r="R89" s="264"/>
      <c r="S89" s="265"/>
    </row>
    <row r="90" spans="1:19" ht="17.25" thickBot="1">
      <c r="A90" s="130" t="s">
        <v>114</v>
      </c>
      <c r="B90" s="131">
        <v>744</v>
      </c>
      <c r="C90" s="79">
        <v>-4.7375160100000001E-2</v>
      </c>
      <c r="D90" s="24">
        <v>749</v>
      </c>
      <c r="E90" s="25">
        <f t="shared" si="42"/>
        <v>6.7204301075268818E-3</v>
      </c>
      <c r="F90" s="104">
        <f>IF(ISNUMBER(D90), $B91 * E90, "")</f>
        <v>672.04301075268813</v>
      </c>
      <c r="G90" s="102">
        <v>763</v>
      </c>
      <c r="H90" s="25">
        <f t="shared" si="43"/>
        <v>2.5537634408602152E-2</v>
      </c>
      <c r="I90" s="103">
        <f>IF(ISNUMBER(G90), $B91 * H90, "")</f>
        <v>2553.7634408602153</v>
      </c>
      <c r="J90" s="24">
        <v>754</v>
      </c>
      <c r="K90" s="25">
        <f t="shared" si="44"/>
        <v>1.3440860215053764E-2</v>
      </c>
      <c r="L90" s="104">
        <f>IF(ISNUMBER(J90), $B91 * K90, "")</f>
        <v>1344.0860215053763</v>
      </c>
      <c r="M90" s="102">
        <v>743</v>
      </c>
      <c r="N90" s="25">
        <f t="shared" si="45"/>
        <v>-1.3440860215053765E-3</v>
      </c>
      <c r="O90" s="104">
        <f>IF(ISNUMBER(M90), $B91 * N90, "")</f>
        <v>-134.40860215053763</v>
      </c>
      <c r="Q90" s="266"/>
      <c r="R90" s="267"/>
      <c r="S90" s="268"/>
    </row>
    <row r="91" spans="1:19" ht="17.25" thickBot="1">
      <c r="A91" s="132" t="s">
        <v>270</v>
      </c>
      <c r="B91" s="274">
        <f>$B$37</f>
        <v>100000</v>
      </c>
      <c r="C91" s="275"/>
      <c r="D91" s="26" t="s">
        <v>271</v>
      </c>
      <c r="E91" s="27">
        <f>IF(COUNT(E71:E90), SUM(E71:E90) / COUNT(E71:E90), 0)</f>
        <v>3.5752559875412968E-2</v>
      </c>
      <c r="F91" s="28">
        <f>SUM(F71:F90)</f>
        <v>71505.119750825921</v>
      </c>
      <c r="G91" s="26" t="s">
        <v>271</v>
      </c>
      <c r="H91" s="27">
        <f>IF(COUNT(H71:H90), SUM(H71:H90) / COUNT(H71:H90), 0)</f>
        <v>5.8644465395365851E-2</v>
      </c>
      <c r="I91" s="28">
        <f>SUM(I71:I90)</f>
        <v>117288.93079073173</v>
      </c>
      <c r="J91" s="26" t="s">
        <v>271</v>
      </c>
      <c r="K91" s="27">
        <f>IF(COUNT(K71:K90), SUM(K71:K90) / COUNT(K71:K90), 0)</f>
        <v>5.2670922490677542E-2</v>
      </c>
      <c r="L91" s="28">
        <f>SUM(L71:L90)</f>
        <v>105341.8449813551</v>
      </c>
      <c r="M91" s="26" t="s">
        <v>271</v>
      </c>
      <c r="N91" s="27">
        <f>IF(COUNT(N71:N90), SUM(N71:N90) / COUNT(N71:N90), 0)</f>
        <v>4.3481241796492369E-2</v>
      </c>
      <c r="O91" s="28">
        <f>SUM(O71:O90)</f>
        <v>86962.483592984732</v>
      </c>
      <c r="Q91" s="269"/>
      <c r="R91" s="270"/>
      <c r="S91" s="27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36"/>
      <c r="R94" s="236"/>
      <c r="S94" s="236"/>
    </row>
    <row r="95" spans="1:19" ht="17.25" thickBot="1">
      <c r="A95" s="207" t="s">
        <v>267</v>
      </c>
      <c r="B95" s="215" t="s">
        <v>49</v>
      </c>
      <c r="C95" s="217"/>
      <c r="D95" s="215" t="s">
        <v>58</v>
      </c>
      <c r="E95" s="216"/>
      <c r="F95" s="217"/>
      <c r="G95" s="242">
        <f>_xlfn.IFNA(VLOOKUP(B95, 현재가테이블!$B$2:$D$200, 2, FALSE), "-")</f>
        <v>53976000</v>
      </c>
      <c r="H95" s="243"/>
      <c r="I95" s="244"/>
      <c r="J95" s="215" t="s">
        <v>59</v>
      </c>
      <c r="K95" s="216"/>
      <c r="L95" s="217"/>
      <c r="M95" s="245">
        <f>_xlfn.IFNA(VLOOKUP(B95, 현재가테이블!$B$2:$D$200, 3, FALSE), "-")</f>
        <v>-2.1216407400000001E-2</v>
      </c>
      <c r="N95" s="246"/>
      <c r="O95" s="247"/>
      <c r="Q95" s="236"/>
      <c r="R95" s="236"/>
      <c r="S95" s="236"/>
    </row>
    <row r="96" spans="1:19" ht="17.25" thickBot="1">
      <c r="A96" s="276" t="s">
        <v>55</v>
      </c>
      <c r="B96" s="278" t="str">
        <f>TEXT($G$1, "[$-ko-KR]yyyy-mm-dd(ddd) ") &amp; "오전 00:00"</f>
        <v>2021-08-13(금) 오전 00:00</v>
      </c>
      <c r="C96" s="279"/>
      <c r="D96" s="238" t="str">
        <f>TEXT($G$1, "[$-ko-KR]yyyy-mm-dd(ddd) ") &amp; "오후 14:00"</f>
        <v>2021-08-13(금) 오후 14:00</v>
      </c>
      <c r="E96" s="239"/>
      <c r="F96" s="240"/>
      <c r="G96" s="238" t="str">
        <f>TEXT($G$1, "[$-ko-KR]yyyy-mm-dd(ddd) ") &amp; "오후 19:00"</f>
        <v>2021-08-13(금) 오후 19:00</v>
      </c>
      <c r="H96" s="239"/>
      <c r="I96" s="240"/>
      <c r="J96" s="238" t="str">
        <f>TEXT($G$1, "[$-ko-KR]yyyy-mm-dd(ddd) ") &amp; "오후 21:00"</f>
        <v>2021-08-13(금) 오후 21:00</v>
      </c>
      <c r="K96" s="239"/>
      <c r="L96" s="240"/>
      <c r="M96" s="238" t="str">
        <f>TEXT($G$1+1, "[$-ko-KR]yyyy-mm-dd(ddd) ") &amp; "오전 00:00"</f>
        <v>2021-08-14(토) 오전 00:00</v>
      </c>
      <c r="N96" s="239"/>
      <c r="O96" s="240"/>
      <c r="Q96" s="236"/>
      <c r="R96" s="236"/>
      <c r="S96" s="236"/>
    </row>
    <row r="97" spans="1:19" ht="17.25" thickBot="1">
      <c r="A97" s="27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8" t="s">
        <v>58</v>
      </c>
      <c r="H97" s="209" t="s">
        <v>268</v>
      </c>
      <c r="I97" s="21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1"/>
      <c r="R97" s="241"/>
      <c r="S97" s="241"/>
    </row>
    <row r="98" spans="1:19" ht="17.25" thickBot="1">
      <c r="A98" s="123" t="s">
        <v>240</v>
      </c>
      <c r="B98" s="124">
        <v>74</v>
      </c>
      <c r="C98" s="76">
        <v>8.5043988299999998E-2</v>
      </c>
      <c r="D98" s="13">
        <v>80.2</v>
      </c>
      <c r="E98" s="14">
        <f>IF(ISNUMBER(D98), (D98 - $B98) / $B98, "")</f>
        <v>8.3783783783783816E-2</v>
      </c>
      <c r="F98" s="16">
        <f>IF(ISNUMBER(D98), $B118 * E98, "")</f>
        <v>8378.378378378382</v>
      </c>
      <c r="G98" s="29">
        <v>78.8</v>
      </c>
      <c r="H98" s="14">
        <f>IF(ISNUMBER(G98), (G98 - $B98) / $B98, "")</f>
        <v>6.4864864864864827E-2</v>
      </c>
      <c r="I98" s="100">
        <f>IF(ISNUMBER(G98), $B118 * H98, "")</f>
        <v>6486.486486486483</v>
      </c>
      <c r="J98" s="13">
        <v>78.8</v>
      </c>
      <c r="K98" s="14">
        <f>IF(ISNUMBER(J98), (J98 - $B98) / $B98, "")</f>
        <v>6.4864864864864827E-2</v>
      </c>
      <c r="L98" s="16">
        <f>IF(ISNUMBER(J98), $B118 * K98, "")</f>
        <v>6486.486486486483</v>
      </c>
      <c r="M98" s="29">
        <v>78.099999999999994</v>
      </c>
      <c r="N98" s="14">
        <f>IF(ISNUMBER(M98), (M98 - $B98) / $B98, "")</f>
        <v>5.5405405405405325E-2</v>
      </c>
      <c r="O98" s="16">
        <f>IF(ISNUMBER(M98), $B118 * N98, "")</f>
        <v>5540.5405405405327</v>
      </c>
      <c r="Q98" s="236"/>
      <c r="R98" s="236"/>
      <c r="S98" s="236"/>
    </row>
    <row r="99" spans="1:19" ht="17.25" thickBot="1">
      <c r="A99" s="125" t="s">
        <v>154</v>
      </c>
      <c r="B99" s="126">
        <v>82460</v>
      </c>
      <c r="C99" s="77">
        <v>7.43973941E-2</v>
      </c>
      <c r="D99" s="15">
        <v>77890</v>
      </c>
      <c r="E99" s="32">
        <f t="shared" ref="E99:E102" si="46">IF(ISNUMBER(D99), (D99 - $B99) / $B99, "")</f>
        <v>-5.542081008974048E-2</v>
      </c>
      <c r="F99" s="18">
        <f>IF(ISNUMBER(D99), $B118 * E99, "")</f>
        <v>-5542.081008974048</v>
      </c>
      <c r="G99" s="31">
        <v>82930</v>
      </c>
      <c r="H99" s="32">
        <f t="shared" ref="H99:H102" si="47">IF(ISNUMBER(G99), (G99 - $B99) / $B99, "")</f>
        <v>5.6997332039776865E-3</v>
      </c>
      <c r="I99" s="101">
        <f>IF(ISNUMBER(G99), $B118 * H99, "")</f>
        <v>569.9733203977687</v>
      </c>
      <c r="J99" s="15">
        <v>81930</v>
      </c>
      <c r="K99" s="32">
        <f t="shared" ref="K99:K102" si="48">IF(ISNUMBER(J99), (J99 - $B99) / $B99, "")</f>
        <v>-6.427358719379093E-3</v>
      </c>
      <c r="L99" s="18">
        <f>IF(ISNUMBER(J99), $B118 * K99, "")</f>
        <v>-642.73587193790934</v>
      </c>
      <c r="M99" s="31">
        <v>79520</v>
      </c>
      <c r="N99" s="32">
        <f t="shared" ref="N99:N102" si="49">IF(ISNUMBER(M99), (M99 - $B99) / $B99, "")</f>
        <v>-3.5653650254668934E-2</v>
      </c>
      <c r="O99" s="18">
        <f>IF(ISNUMBER(M99), $B118 * N99, "")</f>
        <v>-3565.3650254668933</v>
      </c>
      <c r="Q99" s="236"/>
      <c r="R99" s="236"/>
      <c r="S99" s="236"/>
    </row>
    <row r="100" spans="1:19" ht="17.25" thickBot="1">
      <c r="A100" s="125" t="s">
        <v>226</v>
      </c>
      <c r="B100" s="126">
        <v>2025</v>
      </c>
      <c r="C100" s="77">
        <v>4.11311054E-2</v>
      </c>
      <c r="D100" s="15">
        <v>2115</v>
      </c>
      <c r="E100" s="32">
        <f t="shared" si="46"/>
        <v>4.4444444444444446E-2</v>
      </c>
      <c r="F100" s="18">
        <f>IF(ISNUMBER(D100), $B118 * E100, "")</f>
        <v>4444.4444444444443</v>
      </c>
      <c r="G100" s="31">
        <v>2145</v>
      </c>
      <c r="H100" s="32">
        <f t="shared" si="47"/>
        <v>5.9259259259259262E-2</v>
      </c>
      <c r="I100" s="101">
        <f>IF(ISNUMBER(G100), $B118 * H100, "")</f>
        <v>5925.9259259259261</v>
      </c>
      <c r="J100" s="15">
        <v>2115</v>
      </c>
      <c r="K100" s="32">
        <f t="shared" si="48"/>
        <v>4.4444444444444446E-2</v>
      </c>
      <c r="L100" s="18">
        <f>IF(ISNUMBER(J100), $B118 * K100, "")</f>
        <v>4444.4444444444443</v>
      </c>
      <c r="M100" s="31">
        <v>2085</v>
      </c>
      <c r="N100" s="32">
        <f t="shared" si="49"/>
        <v>2.9629629629629631E-2</v>
      </c>
      <c r="O100" s="18">
        <f>IF(ISNUMBER(M100), $B118 * N100, "")</f>
        <v>2962.962962962963</v>
      </c>
      <c r="Q100" s="241"/>
      <c r="R100" s="241"/>
      <c r="S100" s="241"/>
    </row>
    <row r="101" spans="1:19" ht="17.25" thickBot="1">
      <c r="A101" s="125" t="s">
        <v>190</v>
      </c>
      <c r="B101" s="126">
        <v>18.5</v>
      </c>
      <c r="C101" s="77">
        <v>2.77777778E-2</v>
      </c>
      <c r="D101" s="15">
        <v>20</v>
      </c>
      <c r="E101" s="32">
        <f t="shared" si="46"/>
        <v>8.1081081081081086E-2</v>
      </c>
      <c r="F101" s="18">
        <f>IF(ISNUMBER(D101), $B118 * E101, "")</f>
        <v>8108.1081081081084</v>
      </c>
      <c r="G101" s="31">
        <v>20.100000000000001</v>
      </c>
      <c r="H101" s="32">
        <f t="shared" si="47"/>
        <v>8.6486486486486561E-2</v>
      </c>
      <c r="I101" s="101">
        <f>IF(ISNUMBER(G101), $B118 * H101, "")</f>
        <v>8648.6486486486556</v>
      </c>
      <c r="J101" s="15">
        <v>20</v>
      </c>
      <c r="K101" s="32">
        <f t="shared" si="48"/>
        <v>8.1081081081081086E-2</v>
      </c>
      <c r="L101" s="18">
        <f>IF(ISNUMBER(J101), $B118 * K101, "")</f>
        <v>8108.1081081081084</v>
      </c>
      <c r="M101" s="31">
        <v>19.899999999999999</v>
      </c>
      <c r="N101" s="32">
        <f t="shared" si="49"/>
        <v>7.5675675675675597E-2</v>
      </c>
      <c r="O101" s="18">
        <f>IF(ISNUMBER(M101), $B118 * N101, "")</f>
        <v>7567.5675675675593</v>
      </c>
      <c r="Q101" s="241"/>
      <c r="R101" s="241"/>
      <c r="S101" s="241"/>
    </row>
    <row r="102" spans="1:19" ht="17.25" thickBot="1">
      <c r="A102" s="127" t="s">
        <v>86</v>
      </c>
      <c r="B102" s="128">
        <v>389</v>
      </c>
      <c r="C102" s="78">
        <v>2.6385224299999999E-2</v>
      </c>
      <c r="D102" s="20">
        <v>426</v>
      </c>
      <c r="E102" s="21">
        <f t="shared" si="46"/>
        <v>9.5115681233933158E-2</v>
      </c>
      <c r="F102" s="22">
        <f>IF(ISNUMBER(D102), $B118 * E102, "")</f>
        <v>9511.5681233933155</v>
      </c>
      <c r="G102" s="30">
        <v>435</v>
      </c>
      <c r="H102" s="21">
        <f t="shared" si="47"/>
        <v>0.11825192802056556</v>
      </c>
      <c r="I102" s="105">
        <f>IF(ISNUMBER(G102), $B118 * H102, "")</f>
        <v>11825.192802056556</v>
      </c>
      <c r="J102" s="20">
        <v>433</v>
      </c>
      <c r="K102" s="21">
        <f t="shared" si="48"/>
        <v>0.11311053984575835</v>
      </c>
      <c r="L102" s="22">
        <f>IF(ISNUMBER(J102), $B118 * K102, "")</f>
        <v>11311.053984575834</v>
      </c>
      <c r="M102" s="30">
        <v>426</v>
      </c>
      <c r="N102" s="21">
        <f t="shared" si="49"/>
        <v>9.5115681233933158E-2</v>
      </c>
      <c r="O102" s="22">
        <f>IF(ISNUMBER(M102), $B118 * N102, "")</f>
        <v>9511.5681233933155</v>
      </c>
      <c r="Q102" s="241"/>
      <c r="R102" s="241"/>
      <c r="S102" s="241"/>
    </row>
    <row r="103" spans="1:19" ht="17.25" thickBot="1">
      <c r="A103" s="125" t="s">
        <v>98</v>
      </c>
      <c r="B103" s="129">
        <v>5.2</v>
      </c>
      <c r="C103" s="80">
        <v>1.36452242E-2</v>
      </c>
      <c r="D103" s="106">
        <v>5.4</v>
      </c>
      <c r="E103" s="107">
        <f>IF(ISNUMBER(D103), (D103 - $B103) / $B103, "")</f>
        <v>3.8461538461538491E-2</v>
      </c>
      <c r="F103" s="108">
        <f>IF(ISNUMBER(D103), $B118 * E103, "")</f>
        <v>3846.1538461538489</v>
      </c>
      <c r="G103" s="109">
        <v>5.5</v>
      </c>
      <c r="H103" s="107">
        <f>IF(ISNUMBER(G103), (G103 - $B103) / $B103, "")</f>
        <v>5.7692307692307654E-2</v>
      </c>
      <c r="I103" s="110">
        <f>IF(ISNUMBER(G103), $B118 * H103, "")</f>
        <v>5769.230769230765</v>
      </c>
      <c r="J103" s="106">
        <v>5.45</v>
      </c>
      <c r="K103" s="107">
        <f>IF(ISNUMBER(J103), (J103 - $B103) / $B103, "")</f>
        <v>4.8076923076923073E-2</v>
      </c>
      <c r="L103" s="108">
        <f>IF(ISNUMBER(J103), $B118 * K103, "")</f>
        <v>4807.6923076923076</v>
      </c>
      <c r="M103" s="109">
        <v>5.39</v>
      </c>
      <c r="N103" s="107">
        <f>IF(ISNUMBER(M103), (M103 - $B103) / $B103, "")</f>
        <v>3.6538461538461443E-2</v>
      </c>
      <c r="O103" s="108">
        <f>IF(ISNUMBER(M103), $B118 * N103, "")</f>
        <v>3653.8461538461443</v>
      </c>
      <c r="Q103" s="241"/>
      <c r="R103" s="241"/>
      <c r="S103" s="241"/>
    </row>
    <row r="104" spans="1:19" ht="17.25" thickBot="1">
      <c r="A104" s="125" t="s">
        <v>202</v>
      </c>
      <c r="B104" s="126">
        <v>95.9</v>
      </c>
      <c r="C104" s="77">
        <v>1.2671594499999999E-2</v>
      </c>
      <c r="D104" s="15">
        <v>97.4</v>
      </c>
      <c r="E104" s="32">
        <f t="shared" ref="E104:E107" si="50">IF(ISNUMBER(D104), (D104 - $B104) / $B104, "")</f>
        <v>1.5641293013555786E-2</v>
      </c>
      <c r="F104" s="18">
        <f>IF(ISNUMBER(D104), $B118 * E104, "")</f>
        <v>1564.1293013555785</v>
      </c>
      <c r="G104" s="31">
        <v>98.8</v>
      </c>
      <c r="H104" s="32">
        <f t="shared" ref="H104:H107" si="51">IF(ISNUMBER(G104), (G104 - $B104) / $B104, "")</f>
        <v>3.02398331595411E-2</v>
      </c>
      <c r="I104" s="101">
        <f>IF(ISNUMBER(G104), $B118 * H104, "")</f>
        <v>3023.9833159541099</v>
      </c>
      <c r="J104" s="15">
        <v>98.3</v>
      </c>
      <c r="K104" s="32">
        <f t="shared" ref="K104:K107" si="52">IF(ISNUMBER(J104), (J104 - $B104) / $B104, "")</f>
        <v>2.502606882168917E-2</v>
      </c>
      <c r="L104" s="18">
        <f>IF(ISNUMBER(J104), $B118 * K104, "")</f>
        <v>2502.6068821689169</v>
      </c>
      <c r="M104" s="31">
        <v>97.6</v>
      </c>
      <c r="N104" s="32">
        <f t="shared" ref="N104:N107" si="53">IF(ISNUMBER(M104), (M104 - $B104) / $B104, "")</f>
        <v>1.772679874869644E-2</v>
      </c>
      <c r="O104" s="18">
        <f>IF(ISNUMBER(M104), $B118 * N104, "")</f>
        <v>1772.679874869644</v>
      </c>
      <c r="Q104" s="241"/>
      <c r="R104" s="241"/>
      <c r="S104" s="241"/>
    </row>
    <row r="105" spans="1:19" ht="17.25" thickBot="1">
      <c r="A105" s="125" t="s">
        <v>208</v>
      </c>
      <c r="B105" s="126">
        <v>13.8</v>
      </c>
      <c r="C105" s="77">
        <v>7.2992700999999997E-3</v>
      </c>
      <c r="D105" s="15">
        <v>14.2</v>
      </c>
      <c r="E105" s="32">
        <f t="shared" si="50"/>
        <v>2.8985507246376708E-2</v>
      </c>
      <c r="F105" s="18">
        <f>IF(ISNUMBER(D105), $B118 * E105, "")</f>
        <v>2898.550724637671</v>
      </c>
      <c r="G105" s="31">
        <v>14.4</v>
      </c>
      <c r="H105" s="32">
        <f t="shared" si="51"/>
        <v>4.3478260869565188E-2</v>
      </c>
      <c r="I105" s="101">
        <f>IF(ISNUMBER(G105), $B118 * H105, "")</f>
        <v>4347.8260869565192</v>
      </c>
      <c r="J105" s="15">
        <v>14.3</v>
      </c>
      <c r="K105" s="32">
        <f t="shared" si="52"/>
        <v>3.6231884057971016E-2</v>
      </c>
      <c r="L105" s="18">
        <f>IF(ISNUMBER(J105), $B118 * K105, "")</f>
        <v>3623.1884057971015</v>
      </c>
      <c r="M105" s="31">
        <v>14.3</v>
      </c>
      <c r="N105" s="32">
        <f t="shared" si="53"/>
        <v>3.6231884057971016E-2</v>
      </c>
      <c r="O105" s="18">
        <f>IF(ISNUMBER(M105), $B118 * N105, "")</f>
        <v>3623.1884057971015</v>
      </c>
      <c r="Q105" s="241"/>
      <c r="R105" s="241"/>
      <c r="S105" s="241"/>
    </row>
    <row r="106" spans="1:19" ht="17.25" thickBot="1">
      <c r="A106" s="125" t="s">
        <v>232</v>
      </c>
      <c r="B106" s="126">
        <v>533</v>
      </c>
      <c r="C106" s="77">
        <v>5.6603774000000004E-3</v>
      </c>
      <c r="D106" s="15">
        <v>566</v>
      </c>
      <c r="E106" s="32">
        <f t="shared" si="50"/>
        <v>6.1913696060037521E-2</v>
      </c>
      <c r="F106" s="18">
        <f>IF(ISNUMBER(D106), $B118 * E106, "")</f>
        <v>6191.3696060037519</v>
      </c>
      <c r="G106" s="31">
        <v>563</v>
      </c>
      <c r="H106" s="32">
        <f t="shared" si="51"/>
        <v>5.6285178236397747E-2</v>
      </c>
      <c r="I106" s="101">
        <f>IF(ISNUMBER(G106), $B118 * H106, "")</f>
        <v>5628.5178236397751</v>
      </c>
      <c r="J106" s="15">
        <v>561</v>
      </c>
      <c r="K106" s="32">
        <f t="shared" si="52"/>
        <v>5.2532833020637902E-2</v>
      </c>
      <c r="L106" s="18">
        <f>IF(ISNUMBER(J106), $B118 * K106, "")</f>
        <v>5253.28330206379</v>
      </c>
      <c r="M106" s="31">
        <v>554</v>
      </c>
      <c r="N106" s="32">
        <f t="shared" si="53"/>
        <v>3.9399624765478425E-2</v>
      </c>
      <c r="O106" s="18">
        <f>IF(ISNUMBER(M106), $B118 * N106, "")</f>
        <v>3939.9624765478425</v>
      </c>
      <c r="Q106" s="33"/>
      <c r="R106" s="33"/>
    </row>
    <row r="107" spans="1:19" ht="17.25" thickBot="1">
      <c r="A107" s="130" t="s">
        <v>266</v>
      </c>
      <c r="B107" s="131">
        <v>306</v>
      </c>
      <c r="C107" s="79">
        <v>0</v>
      </c>
      <c r="D107" s="24">
        <v>315</v>
      </c>
      <c r="E107" s="25">
        <f t="shared" si="50"/>
        <v>2.9411764705882353E-2</v>
      </c>
      <c r="F107" s="104">
        <f>IF(ISNUMBER(D107), $B118 * E107, "")</f>
        <v>2941.1764705882351</v>
      </c>
      <c r="G107" s="102">
        <v>319</v>
      </c>
      <c r="H107" s="25">
        <f t="shared" si="51"/>
        <v>4.2483660130718956E-2</v>
      </c>
      <c r="I107" s="103">
        <f>IF(ISNUMBER(G107), $B118 * H107, "")</f>
        <v>4248.3660130718954</v>
      </c>
      <c r="J107" s="24">
        <v>319</v>
      </c>
      <c r="K107" s="25">
        <f t="shared" si="52"/>
        <v>4.2483660130718956E-2</v>
      </c>
      <c r="L107" s="104">
        <f>IF(ISNUMBER(J107), $B118 * K107, "")</f>
        <v>4248.3660130718954</v>
      </c>
      <c r="M107" s="102">
        <v>317</v>
      </c>
      <c r="N107" s="25">
        <f t="shared" si="53"/>
        <v>3.5947712418300651E-2</v>
      </c>
      <c r="O107" s="104">
        <f>IF(ISNUMBER(M107), $B118 * N107, "")</f>
        <v>3594.7712418300653</v>
      </c>
      <c r="Q107" s="250"/>
      <c r="R107" s="251"/>
      <c r="S107" s="252"/>
    </row>
    <row r="108" spans="1:19">
      <c r="A108" s="123" t="s">
        <v>152</v>
      </c>
      <c r="B108" s="124">
        <v>96.4</v>
      </c>
      <c r="C108" s="76">
        <v>-1.0362694E-3</v>
      </c>
      <c r="D108" s="13">
        <v>99.7</v>
      </c>
      <c r="E108" s="14">
        <f>IF(ISNUMBER(D108), (D108 - $B108) / $B108, "")</f>
        <v>3.4232365145228184E-2</v>
      </c>
      <c r="F108" s="16">
        <f>IF(ISNUMBER(D108), $B118 * E108, "")</f>
        <v>3423.2365145228187</v>
      </c>
      <c r="G108" s="29">
        <v>101</v>
      </c>
      <c r="H108" s="14">
        <f>IF(ISNUMBER(G108), (G108 - $B108) / $B108, "")</f>
        <v>4.7717842323651394E-2</v>
      </c>
      <c r="I108" s="100">
        <f>IF(ISNUMBER(G108), $B118 * H108, "")</f>
        <v>4771.7842323651394</v>
      </c>
      <c r="J108" s="13">
        <v>101</v>
      </c>
      <c r="K108" s="14">
        <f>IF(ISNUMBER(J108), (J108 - $B108) / $B108, "")</f>
        <v>4.7717842323651394E-2</v>
      </c>
      <c r="L108" s="16">
        <f>IF(ISNUMBER(J108), $B118 * K108, "")</f>
        <v>4771.7842323651394</v>
      </c>
      <c r="M108" s="29">
        <v>101</v>
      </c>
      <c r="N108" s="14">
        <f>IF(ISNUMBER(M108), (M108 - $B108) / $B108, "")</f>
        <v>4.7717842323651394E-2</v>
      </c>
      <c r="O108" s="16">
        <f>IF(ISNUMBER(M108), $B118 * N108, "")</f>
        <v>4771.7842323651394</v>
      </c>
      <c r="Q108" s="253"/>
      <c r="R108" s="254"/>
      <c r="S108" s="255"/>
    </row>
    <row r="109" spans="1:19" ht="17.25" thickBot="1">
      <c r="A109" s="125" t="s">
        <v>100</v>
      </c>
      <c r="B109" s="126">
        <v>69430</v>
      </c>
      <c r="C109" s="77">
        <v>-9.2751142000000002E-3</v>
      </c>
      <c r="D109" s="15">
        <v>71090</v>
      </c>
      <c r="E109" s="32">
        <f t="shared" ref="E109:E112" si="54">IF(ISNUMBER(D109), (D109 - $B109) / $B109, "")</f>
        <v>2.3908973066397811E-2</v>
      </c>
      <c r="F109" s="18">
        <f>IF(ISNUMBER(D109), $B118 * E109, "")</f>
        <v>2390.8973066397812</v>
      </c>
      <c r="G109" s="31">
        <v>73000</v>
      </c>
      <c r="H109" s="32">
        <f t="shared" ref="H109:H112" si="55">IF(ISNUMBER(G109), (G109 - $B109) / $B109, "")</f>
        <v>5.1418695088578423E-2</v>
      </c>
      <c r="I109" s="101">
        <f>IF(ISNUMBER(G109), $B118 * H109, "")</f>
        <v>5141.8695088578424</v>
      </c>
      <c r="J109" s="15">
        <v>72000</v>
      </c>
      <c r="K109" s="32">
        <f t="shared" ref="K109:K112" si="56">IF(ISNUMBER(J109), (J109 - $B109) / $B109, "")</f>
        <v>3.7015699265447212E-2</v>
      </c>
      <c r="L109" s="18">
        <f>IF(ISNUMBER(J109), $B118 * K109, "")</f>
        <v>3701.5699265447211</v>
      </c>
      <c r="M109" s="31">
        <v>71410</v>
      </c>
      <c r="N109" s="32">
        <f t="shared" ref="N109:N112" si="57">IF(ISNUMBER(M109), (M109 - $B109) / $B109, "")</f>
        <v>2.8517931729799797E-2</v>
      </c>
      <c r="O109" s="18">
        <f>IF(ISNUMBER(M109), $B118 * N109, "")</f>
        <v>2851.7931729799798</v>
      </c>
      <c r="Q109" s="256"/>
      <c r="R109" s="257"/>
      <c r="S109" s="258"/>
    </row>
    <row r="110" spans="1:19" ht="17.25" thickBot="1">
      <c r="A110" s="125" t="s">
        <v>78</v>
      </c>
      <c r="B110" s="126">
        <v>707400</v>
      </c>
      <c r="C110" s="77">
        <v>-1.18731666E-2</v>
      </c>
      <c r="D110" s="15">
        <v>725200</v>
      </c>
      <c r="E110" s="32">
        <f t="shared" si="54"/>
        <v>2.5162567147299971E-2</v>
      </c>
      <c r="F110" s="18">
        <f>IF(ISNUMBER(D110), $B118 * E110, "")</f>
        <v>2516.2567147299969</v>
      </c>
      <c r="G110" s="31">
        <v>742700</v>
      </c>
      <c r="H110" s="32">
        <f t="shared" si="55"/>
        <v>4.9901046084252193E-2</v>
      </c>
      <c r="I110" s="101">
        <f>IF(ISNUMBER(G110), $B118 * H110, "")</f>
        <v>4990.1046084252193</v>
      </c>
      <c r="J110" s="15">
        <v>739000</v>
      </c>
      <c r="K110" s="32">
        <f t="shared" si="56"/>
        <v>4.4670624823296576E-2</v>
      </c>
      <c r="L110" s="18">
        <f>IF(ISNUMBER(J110), $B118 * K110, "")</f>
        <v>4467.0624823296575</v>
      </c>
      <c r="M110" s="31">
        <v>727000</v>
      </c>
      <c r="N110" s="32">
        <f t="shared" si="57"/>
        <v>2.7707096409386487E-2</v>
      </c>
      <c r="O110" s="18">
        <f>IF(ISNUMBER(M110), $B118 * N110, "")</f>
        <v>2770.7096409386486</v>
      </c>
      <c r="Q110" s="241"/>
      <c r="R110" s="241"/>
      <c r="S110" s="241"/>
    </row>
    <row r="111" spans="1:19" ht="17.25" thickBot="1">
      <c r="A111" s="125" t="s">
        <v>84</v>
      </c>
      <c r="B111" s="126">
        <v>5420</v>
      </c>
      <c r="C111" s="77">
        <v>-1.36487716E-2</v>
      </c>
      <c r="D111" s="15">
        <v>5555</v>
      </c>
      <c r="E111" s="32">
        <f t="shared" si="54"/>
        <v>2.4907749077490774E-2</v>
      </c>
      <c r="F111" s="18">
        <f>IF(ISNUMBER(D111), $B118 * E111, "")</f>
        <v>2490.7749077490776</v>
      </c>
      <c r="G111" s="31">
        <v>5800</v>
      </c>
      <c r="H111" s="32">
        <f t="shared" si="55"/>
        <v>7.0110701107011064E-2</v>
      </c>
      <c r="I111" s="101">
        <f>IF(ISNUMBER(G111), $B118 * H111, "")</f>
        <v>7011.0701107011064</v>
      </c>
      <c r="J111" s="15">
        <v>5740</v>
      </c>
      <c r="K111" s="32">
        <f t="shared" si="56"/>
        <v>5.9040590405904057E-2</v>
      </c>
      <c r="L111" s="18">
        <f>IF(ISNUMBER(J111), $B118 * K111, "")</f>
        <v>5904.0590405904059</v>
      </c>
      <c r="M111" s="31">
        <v>5650</v>
      </c>
      <c r="N111" s="32">
        <f t="shared" si="57"/>
        <v>4.2435424354243544E-2</v>
      </c>
      <c r="O111" s="18">
        <f>IF(ISNUMBER(M111), $B118 * N111, "")</f>
        <v>4243.5424354243542</v>
      </c>
      <c r="Q111" s="236"/>
      <c r="R111" s="236"/>
      <c r="S111" s="236"/>
    </row>
    <row r="112" spans="1:19" ht="17.25" thickBot="1">
      <c r="A112" s="127" t="s">
        <v>63</v>
      </c>
      <c r="B112" s="128">
        <v>55530</v>
      </c>
      <c r="C112" s="78">
        <v>-1.42020238E-2</v>
      </c>
      <c r="D112" s="20">
        <v>57350</v>
      </c>
      <c r="E112" s="21">
        <f t="shared" si="54"/>
        <v>3.2775076535206192E-2</v>
      </c>
      <c r="F112" s="22">
        <f>IF(ISNUMBER(D112), $B118 * E112, "")</f>
        <v>3277.507653520619</v>
      </c>
      <c r="G112" s="30">
        <v>61300</v>
      </c>
      <c r="H112" s="21">
        <f t="shared" si="55"/>
        <v>0.10390779758688996</v>
      </c>
      <c r="I112" s="105">
        <f>IF(ISNUMBER(G112), $B118 * H112, "")</f>
        <v>10390.779758688996</v>
      </c>
      <c r="J112" s="20">
        <v>60470</v>
      </c>
      <c r="K112" s="21">
        <f t="shared" si="56"/>
        <v>8.8960922024131098E-2</v>
      </c>
      <c r="L112" s="22">
        <f>IF(ISNUMBER(J112), $B118 * K112, "")</f>
        <v>8896.0922024131105</v>
      </c>
      <c r="M112" s="30">
        <v>59300</v>
      </c>
      <c r="N112" s="21">
        <f t="shared" si="57"/>
        <v>6.7891229965784256E-2</v>
      </c>
      <c r="O112" s="22">
        <f>IF(ISNUMBER(M112), $B118 * N112, "")</f>
        <v>6789.122996578426</v>
      </c>
      <c r="Q112" s="236"/>
      <c r="R112" s="236"/>
      <c r="S112" s="236"/>
    </row>
    <row r="113" spans="1:19" ht="17.25" thickBot="1">
      <c r="A113" s="125" t="s">
        <v>158</v>
      </c>
      <c r="B113" s="129">
        <v>21150</v>
      </c>
      <c r="C113" s="80">
        <v>-1.444548E-2</v>
      </c>
      <c r="D113" s="106">
        <v>23980</v>
      </c>
      <c r="E113" s="107">
        <f>IF(ISNUMBER(D113), (D113 - $B113) / $B113, "")</f>
        <v>0.13380614657210402</v>
      </c>
      <c r="F113" s="108">
        <f>IF(ISNUMBER(D113), $B118 * E113, "")</f>
        <v>13380.614657210403</v>
      </c>
      <c r="G113" s="109">
        <v>23670</v>
      </c>
      <c r="H113" s="107">
        <f>IF(ISNUMBER(G113), (G113 - $B113) / $B113, "")</f>
        <v>0.11914893617021277</v>
      </c>
      <c r="I113" s="110">
        <f>IF(ISNUMBER(G113), $B118 * H113, "")</f>
        <v>11914.893617021276</v>
      </c>
      <c r="J113" s="106">
        <v>23520</v>
      </c>
      <c r="K113" s="107">
        <f>IF(ISNUMBER(J113), (J113 - $B113) / $B113, "")</f>
        <v>0.11205673758865248</v>
      </c>
      <c r="L113" s="108">
        <f>IF(ISNUMBER(J113), $B118 * K113, "")</f>
        <v>11205.673758865249</v>
      </c>
      <c r="M113" s="109">
        <v>23510</v>
      </c>
      <c r="N113" s="107">
        <f>IF(ISNUMBER(M113), (M113 - $B113) / $B113, "")</f>
        <v>0.11158392434988179</v>
      </c>
      <c r="O113" s="108">
        <f>IF(ISNUMBER(M113), $B118 * N113, "")</f>
        <v>11158.39243498818</v>
      </c>
      <c r="Q113" s="241"/>
      <c r="R113" s="241"/>
      <c r="S113" s="241"/>
    </row>
    <row r="114" spans="1:19" ht="17.25" thickBot="1">
      <c r="A114" s="125" t="s">
        <v>49</v>
      </c>
      <c r="B114" s="126">
        <v>51825000</v>
      </c>
      <c r="C114" s="77">
        <v>-1.4546491700000001E-2</v>
      </c>
      <c r="D114" s="15">
        <v>52807000</v>
      </c>
      <c r="E114" s="32">
        <f t="shared" ref="E114:E117" si="58">IF(ISNUMBER(D114), (D114 - $B114) / $B114, "")</f>
        <v>1.8948383984563433E-2</v>
      </c>
      <c r="F114" s="18">
        <f>IF(ISNUMBER(D114), $B118 * E114, "")</f>
        <v>1894.8383984563434</v>
      </c>
      <c r="G114" s="31">
        <v>53660000</v>
      </c>
      <c r="H114" s="32">
        <f t="shared" ref="H114:H117" si="59">IF(ISNUMBER(G114), (G114 - $B114) / $B114, "")</f>
        <v>3.5407621804148574E-2</v>
      </c>
      <c r="I114" s="101">
        <f>IF(ISNUMBER(G114), $B118 * H114, "")</f>
        <v>3540.7621804148575</v>
      </c>
      <c r="J114" s="15">
        <v>53476000</v>
      </c>
      <c r="K114" s="32">
        <f t="shared" ref="K114:K117" si="60">IF(ISNUMBER(J114), (J114 - $B114) / $B114, "")</f>
        <v>3.1857211770381089E-2</v>
      </c>
      <c r="L114" s="18">
        <f>IF(ISNUMBER(J114), $B118 * K114, "")</f>
        <v>3185.7211770381091</v>
      </c>
      <c r="M114" s="31">
        <v>53807000</v>
      </c>
      <c r="N114" s="32">
        <f t="shared" ref="N114:N117" si="61">IF(ISNUMBER(M114), (M114 - $B114) / $B114, "")</f>
        <v>3.8244090689821514E-2</v>
      </c>
      <c r="O114" s="18">
        <f>IF(ISNUMBER(M114), $B118 * N114, "")</f>
        <v>3824.4090689821514</v>
      </c>
      <c r="Q114" s="241"/>
      <c r="R114" s="241"/>
      <c r="S114" s="241"/>
    </row>
    <row r="115" spans="1:19" ht="17.25" thickBot="1">
      <c r="A115" s="125" t="s">
        <v>120</v>
      </c>
      <c r="B115" s="126">
        <v>4685</v>
      </c>
      <c r="C115" s="77">
        <v>-1.4721346E-2</v>
      </c>
      <c r="D115" s="15">
        <v>4765</v>
      </c>
      <c r="E115" s="32">
        <f t="shared" si="58"/>
        <v>1.7075773745997867E-2</v>
      </c>
      <c r="F115" s="18">
        <f>IF(ISNUMBER(D115), $B118 * E115, "")</f>
        <v>1707.5773745997867</v>
      </c>
      <c r="G115" s="31">
        <v>4840</v>
      </c>
      <c r="H115" s="32">
        <f t="shared" si="59"/>
        <v>3.3084311632870865E-2</v>
      </c>
      <c r="I115" s="101">
        <f>IF(ISNUMBER(G115), $B118 * H115, "")</f>
        <v>3308.4311632870863</v>
      </c>
      <c r="J115" s="15">
        <v>4840</v>
      </c>
      <c r="K115" s="32">
        <f t="shared" si="60"/>
        <v>3.3084311632870865E-2</v>
      </c>
      <c r="L115" s="18">
        <f>IF(ISNUMBER(J115), $B118 * K115, "")</f>
        <v>3308.4311632870863</v>
      </c>
      <c r="M115" s="31">
        <v>4815</v>
      </c>
      <c r="N115" s="32">
        <f t="shared" si="61"/>
        <v>2.7748132337246531E-2</v>
      </c>
      <c r="O115" s="18">
        <f>IF(ISNUMBER(M115), $B118 * N115, "")</f>
        <v>2774.8132337246529</v>
      </c>
      <c r="Q115" s="241"/>
      <c r="R115" s="241"/>
      <c r="S115" s="241"/>
    </row>
    <row r="116" spans="1:19">
      <c r="A116" s="125" t="s">
        <v>250</v>
      </c>
      <c r="B116" s="126">
        <v>75.400000000000006</v>
      </c>
      <c r="C116" s="77">
        <v>-1.82291667E-2</v>
      </c>
      <c r="D116" s="15">
        <v>77.900000000000006</v>
      </c>
      <c r="E116" s="32">
        <f t="shared" si="58"/>
        <v>3.3156498673740049E-2</v>
      </c>
      <c r="F116" s="18">
        <f>IF(ISNUMBER(D116), $B118 * E116, "")</f>
        <v>3315.6498673740048</v>
      </c>
      <c r="G116" s="31">
        <v>79.599999999999994</v>
      </c>
      <c r="H116" s="32">
        <f t="shared" si="59"/>
        <v>5.5702917771883131E-2</v>
      </c>
      <c r="I116" s="101">
        <f>IF(ISNUMBER(G116), $B118 * H116, "")</f>
        <v>5570.2917771883131</v>
      </c>
      <c r="J116" s="15">
        <v>78.5</v>
      </c>
      <c r="K116" s="32">
        <f t="shared" si="60"/>
        <v>4.1114058355437584E-2</v>
      </c>
      <c r="L116" s="18">
        <f>IF(ISNUMBER(J116), $B118 * K116, "")</f>
        <v>4111.4058355437583</v>
      </c>
      <c r="M116" s="31">
        <v>78.5</v>
      </c>
      <c r="N116" s="32">
        <f t="shared" si="61"/>
        <v>4.1114058355437584E-2</v>
      </c>
      <c r="O116" s="18">
        <f>IF(ISNUMBER(M116), $B118 * N116, "")</f>
        <v>4111.4058355437583</v>
      </c>
      <c r="Q116" s="263"/>
      <c r="R116" s="264"/>
      <c r="S116" s="265"/>
    </row>
    <row r="117" spans="1:19" ht="17.25" thickBot="1">
      <c r="A117" s="130" t="s">
        <v>94</v>
      </c>
      <c r="B117" s="131">
        <v>3570000</v>
      </c>
      <c r="C117" s="79">
        <v>-2.2185702500000001E-2</v>
      </c>
      <c r="D117" s="24">
        <v>3636000</v>
      </c>
      <c r="E117" s="25">
        <f t="shared" si="58"/>
        <v>1.8487394957983194E-2</v>
      </c>
      <c r="F117" s="104">
        <f>IF(ISNUMBER(D117), $B118 * E117, "")</f>
        <v>1848.7394957983192</v>
      </c>
      <c r="G117" s="102">
        <v>3750000</v>
      </c>
      <c r="H117" s="25">
        <f t="shared" si="59"/>
        <v>5.0420168067226892E-2</v>
      </c>
      <c r="I117" s="103">
        <f>IF(ISNUMBER(G117), $B118 * H117, "")</f>
        <v>5042.0168067226896</v>
      </c>
      <c r="J117" s="24">
        <v>3721000</v>
      </c>
      <c r="K117" s="25">
        <f t="shared" si="60"/>
        <v>4.2296918767507005E-2</v>
      </c>
      <c r="L117" s="104">
        <f>IF(ISNUMBER(J117), $B118 * K117, "")</f>
        <v>4229.6918767507004</v>
      </c>
      <c r="M117" s="102">
        <v>3729000</v>
      </c>
      <c r="N117" s="25">
        <f t="shared" si="61"/>
        <v>4.4537815126050422E-2</v>
      </c>
      <c r="O117" s="104">
        <f>IF(ISNUMBER(M117), $B118 * N117, "")</f>
        <v>4453.7815126050418</v>
      </c>
      <c r="Q117" s="266"/>
      <c r="R117" s="267"/>
      <c r="S117" s="268"/>
    </row>
    <row r="118" spans="1:19" ht="17.25" thickBot="1">
      <c r="A118" s="132" t="s">
        <v>270</v>
      </c>
      <c r="B118" s="274">
        <f>$B$37</f>
        <v>100000</v>
      </c>
      <c r="C118" s="275"/>
      <c r="D118" s="26" t="s">
        <v>271</v>
      </c>
      <c r="E118" s="27">
        <f>IF(COUNT(E98:E117), SUM(E98:E117) / COUNT(E98:E117), 0)</f>
        <v>3.9293945442345227E-2</v>
      </c>
      <c r="F118" s="28">
        <f>SUM(F98:F117)</f>
        <v>78587.890884690438</v>
      </c>
      <c r="G118" s="26" t="s">
        <v>271</v>
      </c>
      <c r="H118" s="27">
        <f>IF(COUNT(H98:H117), SUM(H98:H117) / COUNT(H98:H117), 0)</f>
        <v>5.9078077478020498E-2</v>
      </c>
      <c r="I118" s="28">
        <f>SUM(I98:I117)</f>
        <v>118156.15495604096</v>
      </c>
      <c r="J118" s="26" t="s">
        <v>271</v>
      </c>
      <c r="K118" s="27">
        <f>IF(COUNT(K98:K117), SUM(K98:K117) / COUNT(K98:K117), 0)</f>
        <v>5.1961992879099451E-2</v>
      </c>
      <c r="L118" s="28">
        <f>SUM(L98:L117)</f>
        <v>103923.98575819891</v>
      </c>
      <c r="M118" s="26" t="s">
        <v>271</v>
      </c>
      <c r="N118" s="27">
        <f>IF(COUNT(N98:N117), SUM(N98:N117) / COUNT(N98:N117), 0)</f>
        <v>4.3175738443009294E-2</v>
      </c>
      <c r="O118" s="28">
        <f>SUM(O98:O117)</f>
        <v>86351.476886018616</v>
      </c>
      <c r="Q118" s="269"/>
      <c r="R118" s="270"/>
      <c r="S118" s="27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36"/>
      <c r="R121" s="236"/>
      <c r="S121" s="236"/>
    </row>
    <row r="122" spans="1:19" ht="17.25" thickBot="1">
      <c r="A122" s="207" t="s">
        <v>267</v>
      </c>
      <c r="B122" s="215" t="s">
        <v>49</v>
      </c>
      <c r="C122" s="217"/>
      <c r="D122" s="215" t="s">
        <v>58</v>
      </c>
      <c r="E122" s="216"/>
      <c r="F122" s="217"/>
      <c r="G122" s="242">
        <f>_xlfn.IFNA(VLOOKUP(B122, 현재가테이블!$B$2:$D$200, 2, FALSE), "-")</f>
        <v>53976000</v>
      </c>
      <c r="H122" s="243"/>
      <c r="I122" s="244"/>
      <c r="J122" s="215" t="s">
        <v>59</v>
      </c>
      <c r="K122" s="216"/>
      <c r="L122" s="217"/>
      <c r="M122" s="245">
        <f>_xlfn.IFNA(VLOOKUP(B122, 현재가테이블!$B$2:$D$200, 3, FALSE), "-")</f>
        <v>-2.1216407400000001E-2</v>
      </c>
      <c r="N122" s="246"/>
      <c r="O122" s="247"/>
      <c r="Q122" s="236"/>
      <c r="R122" s="236"/>
      <c r="S122" s="236"/>
    </row>
    <row r="123" spans="1:19" ht="17.25" thickBot="1">
      <c r="A123" s="276" t="s">
        <v>55</v>
      </c>
      <c r="B123" s="278" t="str">
        <f>TEXT($G$1, "[$-ko-KR]yyyy-mm-dd(ddd) ") &amp; "오전 00:00"</f>
        <v>2021-08-13(금) 오전 00:00</v>
      </c>
      <c r="C123" s="279"/>
      <c r="D123" s="238" t="str">
        <f>TEXT($G$1, "[$-ko-KR]yyyy-mm-dd(ddd) ") &amp; "오후 14:00"</f>
        <v>2021-08-13(금) 오후 14:00</v>
      </c>
      <c r="E123" s="239"/>
      <c r="F123" s="240"/>
      <c r="G123" s="238" t="str">
        <f>TEXT($G$1, "[$-ko-KR]yyyy-mm-dd(ddd) ") &amp; "오후 19:00"</f>
        <v>2021-08-13(금) 오후 19:00</v>
      </c>
      <c r="H123" s="239"/>
      <c r="I123" s="240"/>
      <c r="J123" s="238" t="str">
        <f>TEXT($G$1, "[$-ko-KR]yyyy-mm-dd(ddd) ") &amp; "오후 21:00"</f>
        <v>2021-08-13(금) 오후 21:00</v>
      </c>
      <c r="K123" s="239"/>
      <c r="L123" s="240"/>
      <c r="M123" s="238" t="str">
        <f>TEXT($G$1+1, "[$-ko-KR]yyyy-mm-dd(ddd) ") &amp; "오전 00:00"</f>
        <v>2021-08-14(토) 오전 00:00</v>
      </c>
      <c r="N123" s="239"/>
      <c r="O123" s="240"/>
      <c r="Q123" s="236"/>
      <c r="R123" s="236"/>
      <c r="S123" s="236"/>
    </row>
    <row r="124" spans="1:19" ht="17.25" thickBot="1">
      <c r="A124" s="27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8" t="s">
        <v>58</v>
      </c>
      <c r="H124" s="209" t="s">
        <v>268</v>
      </c>
      <c r="I124" s="21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1"/>
      <c r="R124" s="241"/>
      <c r="S124" s="241"/>
    </row>
    <row r="125" spans="1:19" ht="17.25" thickBot="1">
      <c r="A125" s="123" t="s">
        <v>240</v>
      </c>
      <c r="B125" s="124">
        <v>74</v>
      </c>
      <c r="C125" s="76">
        <v>8.5043988299999998E-2</v>
      </c>
      <c r="D125" s="13">
        <v>80.2</v>
      </c>
      <c r="E125" s="14">
        <f>IF(ISNUMBER(D125), (D125 - $B125) / $B125, "")</f>
        <v>8.3783783783783816E-2</v>
      </c>
      <c r="F125" s="16">
        <f>IF(ISNUMBER(D125), $B145 * E125, "")</f>
        <v>8378.378378378382</v>
      </c>
      <c r="G125" s="29">
        <v>78.8</v>
      </c>
      <c r="H125" s="14">
        <f>IF(ISNUMBER(G125), (G125 - $B125) / $B125, "")</f>
        <v>6.4864864864864827E-2</v>
      </c>
      <c r="I125" s="100">
        <f>IF(ISNUMBER(G125), $B145 * H125, "")</f>
        <v>6486.486486486483</v>
      </c>
      <c r="J125" s="13">
        <v>78.8</v>
      </c>
      <c r="K125" s="14">
        <f>IF(ISNUMBER(J125), (J125 - $B125) / $B125, "")</f>
        <v>6.4864864864864827E-2</v>
      </c>
      <c r="L125" s="16">
        <f>IF(ISNUMBER(J125), $B145 * K125, "")</f>
        <v>6486.486486486483</v>
      </c>
      <c r="M125" s="29">
        <v>78.099999999999994</v>
      </c>
      <c r="N125" s="14">
        <f>IF(ISNUMBER(M125), (M125 - $B125) / $B125, "")</f>
        <v>5.5405405405405325E-2</v>
      </c>
      <c r="O125" s="16">
        <f>IF(ISNUMBER(M125), $B145 * N125, "")</f>
        <v>5540.5405405405327</v>
      </c>
      <c r="Q125" s="236"/>
      <c r="R125" s="236"/>
      <c r="S125" s="236"/>
    </row>
    <row r="126" spans="1:19" ht="17.25" thickBot="1">
      <c r="A126" s="125" t="s">
        <v>190</v>
      </c>
      <c r="B126" s="126">
        <v>18.5</v>
      </c>
      <c r="C126" s="77">
        <v>2.77777778E-2</v>
      </c>
      <c r="D126" s="15">
        <v>20</v>
      </c>
      <c r="E126" s="32">
        <f t="shared" ref="E126:E129" si="62">IF(ISNUMBER(D126), (D126 - $B126) / $B126, "")</f>
        <v>8.1081081081081086E-2</v>
      </c>
      <c r="F126" s="18">
        <f>IF(ISNUMBER(D126), $B145 * E126, "")</f>
        <v>8108.1081081081084</v>
      </c>
      <c r="G126" s="31">
        <v>20.100000000000001</v>
      </c>
      <c r="H126" s="32">
        <f t="shared" ref="H126:H129" si="63">IF(ISNUMBER(G126), (G126 - $B126) / $B126, "")</f>
        <v>8.6486486486486561E-2</v>
      </c>
      <c r="I126" s="101">
        <f>IF(ISNUMBER(G126), $B145 * H126, "")</f>
        <v>8648.6486486486556</v>
      </c>
      <c r="J126" s="15">
        <v>20</v>
      </c>
      <c r="K126" s="32">
        <f t="shared" ref="K126:K129" si="64">IF(ISNUMBER(J126), (J126 - $B126) / $B126, "")</f>
        <v>8.1081081081081086E-2</v>
      </c>
      <c r="L126" s="18">
        <f>IF(ISNUMBER(J126), $B145 * K126, "")</f>
        <v>8108.1081081081084</v>
      </c>
      <c r="M126" s="31">
        <v>19.899999999999999</v>
      </c>
      <c r="N126" s="32">
        <f t="shared" ref="N126:N129" si="65">IF(ISNUMBER(M126), (M126 - $B126) / $B126, "")</f>
        <v>7.5675675675675597E-2</v>
      </c>
      <c r="O126" s="18">
        <f>IF(ISNUMBER(M126), $B145 * N126, "")</f>
        <v>7567.5675675675593</v>
      </c>
      <c r="Q126" s="236"/>
      <c r="R126" s="236"/>
      <c r="S126" s="236"/>
    </row>
    <row r="127" spans="1:19" ht="17.25" thickBot="1">
      <c r="A127" s="125" t="s">
        <v>98</v>
      </c>
      <c r="B127" s="126">
        <v>5.2</v>
      </c>
      <c r="C127" s="77">
        <v>1.36452242E-2</v>
      </c>
      <c r="D127" s="15">
        <v>5.4</v>
      </c>
      <c r="E127" s="32">
        <f t="shared" si="62"/>
        <v>3.8461538461538491E-2</v>
      </c>
      <c r="F127" s="18">
        <f>IF(ISNUMBER(D127), $B145 * E127, "")</f>
        <v>3846.1538461538489</v>
      </c>
      <c r="G127" s="31">
        <v>5.5</v>
      </c>
      <c r="H127" s="32">
        <f t="shared" si="63"/>
        <v>5.7692307692307654E-2</v>
      </c>
      <c r="I127" s="101">
        <f>IF(ISNUMBER(G127), $B145 * H127, "")</f>
        <v>5769.230769230765</v>
      </c>
      <c r="J127" s="15">
        <v>5.45</v>
      </c>
      <c r="K127" s="32">
        <f t="shared" si="64"/>
        <v>4.8076923076923073E-2</v>
      </c>
      <c r="L127" s="18">
        <f>IF(ISNUMBER(J127), $B145 * K127, "")</f>
        <v>4807.6923076923076</v>
      </c>
      <c r="M127" s="31">
        <v>5.39</v>
      </c>
      <c r="N127" s="32">
        <f t="shared" si="65"/>
        <v>3.6538461538461443E-2</v>
      </c>
      <c r="O127" s="18">
        <f>IF(ISNUMBER(M127), $B145 * N127, "")</f>
        <v>3653.8461538461443</v>
      </c>
      <c r="Q127" s="241"/>
      <c r="R127" s="241"/>
      <c r="S127" s="241"/>
    </row>
    <row r="128" spans="1:19" ht="17.25" thickBot="1">
      <c r="A128" s="125" t="s">
        <v>202</v>
      </c>
      <c r="B128" s="126">
        <v>95.9</v>
      </c>
      <c r="C128" s="77">
        <v>1.2671594499999999E-2</v>
      </c>
      <c r="D128" s="15">
        <v>97.4</v>
      </c>
      <c r="E128" s="32">
        <f t="shared" si="62"/>
        <v>1.5641293013555786E-2</v>
      </c>
      <c r="F128" s="18">
        <f>IF(ISNUMBER(D128), $B145 * E128, "")</f>
        <v>1564.1293013555785</v>
      </c>
      <c r="G128" s="31">
        <v>98.8</v>
      </c>
      <c r="H128" s="32">
        <f t="shared" si="63"/>
        <v>3.02398331595411E-2</v>
      </c>
      <c r="I128" s="101">
        <f>IF(ISNUMBER(G128), $B145 * H128, "")</f>
        <v>3023.9833159541099</v>
      </c>
      <c r="J128" s="15">
        <v>98.3</v>
      </c>
      <c r="K128" s="32">
        <f t="shared" si="64"/>
        <v>2.502606882168917E-2</v>
      </c>
      <c r="L128" s="18">
        <f>IF(ISNUMBER(J128), $B145 * K128, "")</f>
        <v>2502.6068821689169</v>
      </c>
      <c r="M128" s="31">
        <v>97.6</v>
      </c>
      <c r="N128" s="32">
        <f t="shared" si="65"/>
        <v>1.772679874869644E-2</v>
      </c>
      <c r="O128" s="18">
        <f>IF(ISNUMBER(M128), $B145 * N128, "")</f>
        <v>1772.679874869644</v>
      </c>
      <c r="Q128" s="241"/>
      <c r="R128" s="241"/>
      <c r="S128" s="241"/>
    </row>
    <row r="129" spans="1:19" ht="17.25" thickBot="1">
      <c r="A129" s="127" t="s">
        <v>208</v>
      </c>
      <c r="B129" s="128">
        <v>13.8</v>
      </c>
      <c r="C129" s="78">
        <v>7.2992700999999997E-3</v>
      </c>
      <c r="D129" s="20">
        <v>14.2</v>
      </c>
      <c r="E129" s="21">
        <f t="shared" si="62"/>
        <v>2.8985507246376708E-2</v>
      </c>
      <c r="F129" s="22">
        <f>IF(ISNUMBER(D129), $B145 * E129, "")</f>
        <v>2898.550724637671</v>
      </c>
      <c r="G129" s="30">
        <v>14.4</v>
      </c>
      <c r="H129" s="21">
        <f t="shared" si="63"/>
        <v>4.3478260869565188E-2</v>
      </c>
      <c r="I129" s="105">
        <f>IF(ISNUMBER(G129), $B145 * H129, "")</f>
        <v>4347.8260869565192</v>
      </c>
      <c r="J129" s="20">
        <v>14.3</v>
      </c>
      <c r="K129" s="21">
        <f t="shared" si="64"/>
        <v>3.6231884057971016E-2</v>
      </c>
      <c r="L129" s="22">
        <f>IF(ISNUMBER(J129), $B145 * K129, "")</f>
        <v>3623.1884057971015</v>
      </c>
      <c r="M129" s="30">
        <v>14.3</v>
      </c>
      <c r="N129" s="21">
        <f t="shared" si="65"/>
        <v>3.6231884057971016E-2</v>
      </c>
      <c r="O129" s="22">
        <f>IF(ISNUMBER(M129), $B145 * N129, "")</f>
        <v>3623.1884057971015</v>
      </c>
      <c r="Q129" s="241"/>
      <c r="R129" s="241"/>
      <c r="S129" s="241"/>
    </row>
    <row r="130" spans="1:19" ht="17.25" thickBot="1">
      <c r="A130" s="125" t="s">
        <v>152</v>
      </c>
      <c r="B130" s="129">
        <v>96.4</v>
      </c>
      <c r="C130" s="80">
        <v>-1.0362694E-3</v>
      </c>
      <c r="D130" s="106">
        <v>99.7</v>
      </c>
      <c r="E130" s="107">
        <f>IF(ISNUMBER(D130), (D130 - $B130) / $B130, "")</f>
        <v>3.4232365145228184E-2</v>
      </c>
      <c r="F130" s="108">
        <f>IF(ISNUMBER(D130), $B145 * E130, "")</f>
        <v>3423.2365145228187</v>
      </c>
      <c r="G130" s="109">
        <v>101</v>
      </c>
      <c r="H130" s="107">
        <f>IF(ISNUMBER(G130), (G130 - $B130) / $B130, "")</f>
        <v>4.7717842323651394E-2</v>
      </c>
      <c r="I130" s="110">
        <f>IF(ISNUMBER(G130), $B145 * H130, "")</f>
        <v>4771.7842323651394</v>
      </c>
      <c r="J130" s="106">
        <v>101</v>
      </c>
      <c r="K130" s="107">
        <f>IF(ISNUMBER(J130), (J130 - $B130) / $B130, "")</f>
        <v>4.7717842323651394E-2</v>
      </c>
      <c r="L130" s="108">
        <f>IF(ISNUMBER(J130), $B145 * K130, "")</f>
        <v>4771.7842323651394</v>
      </c>
      <c r="M130" s="109">
        <v>101</v>
      </c>
      <c r="N130" s="107">
        <f>IF(ISNUMBER(M130), (M130 - $B130) / $B130, "")</f>
        <v>4.7717842323651394E-2</v>
      </c>
      <c r="O130" s="108">
        <f>IF(ISNUMBER(M130), $B145 * N130, "")</f>
        <v>4771.7842323651394</v>
      </c>
      <c r="Q130" s="241"/>
      <c r="R130" s="241"/>
      <c r="S130" s="241"/>
    </row>
    <row r="131" spans="1:19" ht="17.25" thickBot="1">
      <c r="A131" s="125" t="s">
        <v>250</v>
      </c>
      <c r="B131" s="126">
        <v>75.400000000000006</v>
      </c>
      <c r="C131" s="77">
        <v>-1.82291667E-2</v>
      </c>
      <c r="D131" s="15">
        <v>77.900000000000006</v>
      </c>
      <c r="E131" s="32">
        <f t="shared" ref="E131:E134" si="66">IF(ISNUMBER(D131), (D131 - $B131) / $B131, "")</f>
        <v>3.3156498673740049E-2</v>
      </c>
      <c r="F131" s="18">
        <f>IF(ISNUMBER(D131), $B145 * E131, "")</f>
        <v>3315.6498673740048</v>
      </c>
      <c r="G131" s="31">
        <v>79.599999999999994</v>
      </c>
      <c r="H131" s="32">
        <f t="shared" ref="H131:H134" si="67">IF(ISNUMBER(G131), (G131 - $B131) / $B131, "")</f>
        <v>5.5702917771883131E-2</v>
      </c>
      <c r="I131" s="101">
        <f>IF(ISNUMBER(G131), $B145 * H131, "")</f>
        <v>5570.2917771883131</v>
      </c>
      <c r="J131" s="15">
        <v>78.5</v>
      </c>
      <c r="K131" s="32">
        <f t="shared" ref="K131:K134" si="68">IF(ISNUMBER(J131), (J131 - $B131) / $B131, "")</f>
        <v>4.1114058355437584E-2</v>
      </c>
      <c r="L131" s="18">
        <f>IF(ISNUMBER(J131), $B145 * K131, "")</f>
        <v>4111.4058355437583</v>
      </c>
      <c r="M131" s="31">
        <v>78.5</v>
      </c>
      <c r="N131" s="32">
        <f t="shared" ref="N131:N134" si="69">IF(ISNUMBER(M131), (M131 - $B131) / $B131, "")</f>
        <v>4.1114058355437584E-2</v>
      </c>
      <c r="O131" s="18">
        <f>IF(ISNUMBER(M131), $B145 * N131, "")</f>
        <v>4111.4058355437583</v>
      </c>
      <c r="Q131" s="241"/>
      <c r="R131" s="241"/>
      <c r="S131" s="241"/>
    </row>
    <row r="132" spans="1:19" ht="17.25" thickBot="1">
      <c r="A132" s="125" t="s">
        <v>204</v>
      </c>
      <c r="B132" s="126">
        <v>14.3</v>
      </c>
      <c r="C132" s="77">
        <v>-2.72108844E-2</v>
      </c>
      <c r="D132" s="15">
        <v>15.2</v>
      </c>
      <c r="E132" s="32">
        <f t="shared" si="66"/>
        <v>6.2937062937062832E-2</v>
      </c>
      <c r="F132" s="18">
        <f>IF(ISNUMBER(D132), $B145 * E132, "")</f>
        <v>6293.7062937062828</v>
      </c>
      <c r="G132" s="31">
        <v>15.2</v>
      </c>
      <c r="H132" s="32">
        <f t="shared" si="67"/>
        <v>6.2937062937062832E-2</v>
      </c>
      <c r="I132" s="101">
        <f>IF(ISNUMBER(G132), $B145 * H132, "")</f>
        <v>6293.7062937062828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15.2</v>
      </c>
      <c r="N132" s="32">
        <f t="shared" si="69"/>
        <v>6.2937062937062832E-2</v>
      </c>
      <c r="O132" s="18">
        <f>IF(ISNUMBER(M132), $B145 * N132, "")</f>
        <v>6293.7062937062828</v>
      </c>
      <c r="Q132" s="241"/>
      <c r="R132" s="241"/>
      <c r="S132" s="241"/>
    </row>
    <row r="133" spans="1:19" ht="17.25" thickBot="1">
      <c r="A133" s="125" t="s">
        <v>234</v>
      </c>
      <c r="B133" s="126">
        <v>70.900000000000006</v>
      </c>
      <c r="C133" s="77">
        <v>-3.1420765000000003E-2</v>
      </c>
      <c r="D133" s="15">
        <v>74.2</v>
      </c>
      <c r="E133" s="32">
        <f t="shared" si="66"/>
        <v>4.654442877291956E-2</v>
      </c>
      <c r="F133" s="18">
        <f>IF(ISNUMBER(D133), $B145 * E133, "")</f>
        <v>4654.4428772919564</v>
      </c>
      <c r="G133" s="31">
        <v>76.7</v>
      </c>
      <c r="H133" s="32">
        <f t="shared" si="67"/>
        <v>8.180535966149502E-2</v>
      </c>
      <c r="I133" s="101">
        <f>IF(ISNUMBER(G133), $B145 * H133, "")</f>
        <v>8180.5359661495022</v>
      </c>
      <c r="J133" s="15">
        <v>76.3</v>
      </c>
      <c r="K133" s="32">
        <f t="shared" si="68"/>
        <v>7.6163610719322858E-2</v>
      </c>
      <c r="L133" s="18">
        <f>IF(ISNUMBER(J133), $B145 * K133, "")</f>
        <v>7616.361071932286</v>
      </c>
      <c r="M133" s="31">
        <v>75.599999999999994</v>
      </c>
      <c r="N133" s="32">
        <f t="shared" si="69"/>
        <v>6.6290550070521689E-2</v>
      </c>
      <c r="O133" s="18">
        <f>IF(ISNUMBER(M133), $B145 * N133, "")</f>
        <v>6629.0550070521685</v>
      </c>
      <c r="Q133" s="33"/>
      <c r="R133" s="33"/>
    </row>
    <row r="134" spans="1:19" ht="17.25" thickBot="1">
      <c r="A134" s="130" t="s">
        <v>210</v>
      </c>
      <c r="B134" s="131">
        <v>12</v>
      </c>
      <c r="C134" s="79">
        <v>-3.2258064500000003E-2</v>
      </c>
      <c r="D134" s="24">
        <v>12.2</v>
      </c>
      <c r="E134" s="25">
        <f t="shared" si="66"/>
        <v>1.6666666666666607E-2</v>
      </c>
      <c r="F134" s="104">
        <f>IF(ISNUMBER(D134), $B145 * E134, "")</f>
        <v>1666.6666666666608</v>
      </c>
      <c r="G134" s="102">
        <v>12.7</v>
      </c>
      <c r="H134" s="25">
        <f t="shared" si="67"/>
        <v>5.8333333333333272E-2</v>
      </c>
      <c r="I134" s="103">
        <f>IF(ISNUMBER(G134), $B145 * H134, "")</f>
        <v>5833.3333333333276</v>
      </c>
      <c r="J134" s="24">
        <v>12.5</v>
      </c>
      <c r="K134" s="25">
        <f t="shared" si="68"/>
        <v>4.1666666666666664E-2</v>
      </c>
      <c r="L134" s="104">
        <f>IF(ISNUMBER(J134), $B145 * K134, "")</f>
        <v>4166.6666666666661</v>
      </c>
      <c r="M134" s="102">
        <v>12.5</v>
      </c>
      <c r="N134" s="25">
        <f t="shared" si="69"/>
        <v>4.1666666666666664E-2</v>
      </c>
      <c r="O134" s="104">
        <f>IF(ISNUMBER(M134), $B145 * N134, "")</f>
        <v>4166.6666666666661</v>
      </c>
      <c r="Q134" s="250"/>
      <c r="R134" s="251"/>
      <c r="S134" s="252"/>
    </row>
    <row r="135" spans="1:19">
      <c r="A135" s="123" t="s">
        <v>148</v>
      </c>
      <c r="B135" s="124">
        <v>20.3</v>
      </c>
      <c r="C135" s="76">
        <v>-3.7914691899999999E-2</v>
      </c>
      <c r="D135" s="13">
        <v>21.1</v>
      </c>
      <c r="E135" s="14">
        <f>IF(ISNUMBER(D135), (D135 - $B135) / $B135, "")</f>
        <v>3.9408866995073927E-2</v>
      </c>
      <c r="F135" s="16">
        <f>IF(ISNUMBER(D135), $B145 * E135, "")</f>
        <v>3940.8866995073927</v>
      </c>
      <c r="G135" s="29">
        <v>21.6</v>
      </c>
      <c r="H135" s="14">
        <f>IF(ISNUMBER(G135), (G135 - $B135) / $B135, "")</f>
        <v>6.4039408866995107E-2</v>
      </c>
      <c r="I135" s="100">
        <f>IF(ISNUMBER(G135), $B145 * H135, "")</f>
        <v>6403.9408866995109</v>
      </c>
      <c r="J135" s="13">
        <v>21.5</v>
      </c>
      <c r="K135" s="14">
        <f>IF(ISNUMBER(J135), (J135 - $B135) / $B135, "")</f>
        <v>5.91133004926108E-2</v>
      </c>
      <c r="L135" s="16">
        <f>IF(ISNUMBER(J135), $B145 * K135, "")</f>
        <v>5911.3300492610797</v>
      </c>
      <c r="M135" s="29">
        <v>21.2</v>
      </c>
      <c r="N135" s="14">
        <f>IF(ISNUMBER(M135), (M135 - $B135) / $B135, "")</f>
        <v>4.4334975369458053E-2</v>
      </c>
      <c r="O135" s="16">
        <f>IF(ISNUMBER(M135), $B145 * N135, "")</f>
        <v>4433.4975369458052</v>
      </c>
      <c r="Q135" s="253"/>
      <c r="R135" s="254"/>
      <c r="S135" s="255"/>
    </row>
    <row r="136" spans="1:19" ht="17.25" thickBot="1">
      <c r="A136" s="125" t="s">
        <v>188</v>
      </c>
      <c r="B136" s="126">
        <v>12.6</v>
      </c>
      <c r="C136" s="77">
        <v>-3.8167938899999997E-2</v>
      </c>
      <c r="D136" s="15">
        <v>13</v>
      </c>
      <c r="E136" s="32">
        <f t="shared" ref="E136:E139" si="70">IF(ISNUMBER(D136), (D136 - $B136) / $B136, "")</f>
        <v>3.1746031746031772E-2</v>
      </c>
      <c r="F136" s="18">
        <f>IF(ISNUMBER(D136), $B145 * E136, "")</f>
        <v>3174.6031746031772</v>
      </c>
      <c r="G136" s="31">
        <v>13.3</v>
      </c>
      <c r="H136" s="32">
        <f t="shared" ref="H136:H139" si="71">IF(ISNUMBER(G136), (G136 - $B136) / $B136, "")</f>
        <v>5.5555555555555643E-2</v>
      </c>
      <c r="I136" s="101">
        <f>IF(ISNUMBER(G136), $B145 * H136, "")</f>
        <v>5555.5555555555638</v>
      </c>
      <c r="J136" s="15">
        <v>13.3</v>
      </c>
      <c r="K136" s="32">
        <f t="shared" ref="K136:K139" si="72">IF(ISNUMBER(J136), (J136 - $B136) / $B136, "")</f>
        <v>5.5555555555555643E-2</v>
      </c>
      <c r="L136" s="18">
        <f>IF(ISNUMBER(J136), $B145 * K136, "")</f>
        <v>5555.5555555555638</v>
      </c>
      <c r="M136" s="31">
        <v>13.3</v>
      </c>
      <c r="N136" s="32">
        <f t="shared" ref="N136:N139" si="73">IF(ISNUMBER(M136), (M136 - $B136) / $B136, "")</f>
        <v>5.5555555555555643E-2</v>
      </c>
      <c r="O136" s="18">
        <f>IF(ISNUMBER(M136), $B145 * N136, "")</f>
        <v>5555.5555555555638</v>
      </c>
      <c r="Q136" s="256"/>
      <c r="R136" s="257"/>
      <c r="S136" s="258"/>
    </row>
    <row r="137" spans="1:19" ht="17.25" thickBot="1">
      <c r="A137" s="125" t="s">
        <v>65</v>
      </c>
      <c r="B137" s="126">
        <v>34.1</v>
      </c>
      <c r="C137" s="77">
        <v>-3.9436619700000002E-2</v>
      </c>
      <c r="D137" s="15">
        <v>35.700000000000003</v>
      </c>
      <c r="E137" s="32">
        <f t="shared" si="70"/>
        <v>4.6920821114369543E-2</v>
      </c>
      <c r="F137" s="18">
        <f>IF(ISNUMBER(D137), $B145 * E137, "")</f>
        <v>4692.0821114369546</v>
      </c>
      <c r="G137" s="31">
        <v>36.5</v>
      </c>
      <c r="H137" s="32">
        <f t="shared" si="71"/>
        <v>7.0381231671554204E-2</v>
      </c>
      <c r="I137" s="101">
        <f>IF(ISNUMBER(G137), $B145 * H137, "")</f>
        <v>7038.1231671554206</v>
      </c>
      <c r="J137" s="15">
        <v>36</v>
      </c>
      <c r="K137" s="32">
        <f t="shared" si="72"/>
        <v>5.571847507331374E-2</v>
      </c>
      <c r="L137" s="18">
        <f>IF(ISNUMBER(J137), $B145 * K137, "")</f>
        <v>5571.8475073313739</v>
      </c>
      <c r="M137" s="31">
        <v>35.700000000000003</v>
      </c>
      <c r="N137" s="32">
        <f t="shared" si="73"/>
        <v>4.6920821114369543E-2</v>
      </c>
      <c r="O137" s="18">
        <f>IF(ISNUMBER(M137), $B145 * N137, "")</f>
        <v>4692.0821114369546</v>
      </c>
      <c r="Q137" s="241"/>
      <c r="R137" s="241"/>
      <c r="S137" s="241"/>
    </row>
    <row r="138" spans="1:19" ht="17.25" thickBot="1">
      <c r="A138" s="125" t="s">
        <v>72</v>
      </c>
      <c r="B138" s="126">
        <v>23</v>
      </c>
      <c r="C138" s="77">
        <v>-4.16666667E-2</v>
      </c>
      <c r="D138" s="15">
        <v>23.9</v>
      </c>
      <c r="E138" s="32">
        <f t="shared" si="70"/>
        <v>3.9130434782608636E-2</v>
      </c>
      <c r="F138" s="18">
        <f>IF(ISNUMBER(D138), $B145 * E138, "")</f>
        <v>3913.0434782608636</v>
      </c>
      <c r="G138" s="31">
        <v>24</v>
      </c>
      <c r="H138" s="32">
        <f t="shared" si="71"/>
        <v>4.3478260869565216E-2</v>
      </c>
      <c r="I138" s="101">
        <f>IF(ISNUMBER(G138), $B145 * H138, "")</f>
        <v>4347.826086956522</v>
      </c>
      <c r="J138" s="15">
        <v>23.9</v>
      </c>
      <c r="K138" s="32">
        <f t="shared" si="72"/>
        <v>3.9130434782608636E-2</v>
      </c>
      <c r="L138" s="18">
        <f>IF(ISNUMBER(J138), $B145 * K138, "")</f>
        <v>3913.0434782608636</v>
      </c>
      <c r="M138" s="31">
        <v>23.9</v>
      </c>
      <c r="N138" s="32">
        <f t="shared" si="73"/>
        <v>3.9130434782608636E-2</v>
      </c>
      <c r="O138" s="18">
        <f>IF(ISNUMBER(M138), $B145 * N138, "")</f>
        <v>3913.0434782608636</v>
      </c>
      <c r="Q138" s="236"/>
      <c r="R138" s="236"/>
      <c r="S138" s="236"/>
    </row>
    <row r="139" spans="1:19" ht="17.25" thickBot="1">
      <c r="A139" s="127" t="s">
        <v>150</v>
      </c>
      <c r="B139" s="128">
        <v>12.7</v>
      </c>
      <c r="C139" s="78">
        <v>-4.5112781999999997E-2</v>
      </c>
      <c r="D139" s="20">
        <v>13.1</v>
      </c>
      <c r="E139" s="21">
        <f t="shared" si="70"/>
        <v>3.1496062992126012E-2</v>
      </c>
      <c r="F139" s="22">
        <f>IF(ISNUMBER(D139), $B145 * E139, "")</f>
        <v>3149.6062992126012</v>
      </c>
      <c r="G139" s="30">
        <v>13.2</v>
      </c>
      <c r="H139" s="21">
        <f t="shared" si="71"/>
        <v>3.937007874015748E-2</v>
      </c>
      <c r="I139" s="105">
        <f>IF(ISNUMBER(G139), $B145 * H139, "")</f>
        <v>3937.0078740157478</v>
      </c>
      <c r="J139" s="20">
        <v>13.1</v>
      </c>
      <c r="K139" s="21">
        <f t="shared" si="72"/>
        <v>3.1496062992126012E-2</v>
      </c>
      <c r="L139" s="22">
        <f>IF(ISNUMBER(J139), $B145 * K139, "")</f>
        <v>3149.6062992126012</v>
      </c>
      <c r="M139" s="30">
        <v>13</v>
      </c>
      <c r="N139" s="21">
        <f t="shared" si="73"/>
        <v>2.3622047244094547E-2</v>
      </c>
      <c r="O139" s="22">
        <f>IF(ISNUMBER(M139), $B145 * N139, "")</f>
        <v>2362.2047244094547</v>
      </c>
      <c r="Q139" s="236"/>
      <c r="R139" s="236"/>
      <c r="S139" s="236"/>
    </row>
    <row r="140" spans="1:19" ht="17.25" thickBot="1">
      <c r="A140" s="125" t="s">
        <v>216</v>
      </c>
      <c r="B140" s="129">
        <v>10.6</v>
      </c>
      <c r="C140" s="80">
        <v>-5.3571428599999998E-2</v>
      </c>
      <c r="D140" s="106">
        <v>11</v>
      </c>
      <c r="E140" s="107">
        <f>IF(ISNUMBER(D140), (D140 - $B140) / $B140, "")</f>
        <v>3.7735849056603807E-2</v>
      </c>
      <c r="F140" s="108">
        <f>IF(ISNUMBER(D140), $B145 * E140, "")</f>
        <v>3773.5849056603806</v>
      </c>
      <c r="G140" s="109">
        <v>11.2</v>
      </c>
      <c r="H140" s="107">
        <f>IF(ISNUMBER(G140), (G140 - $B140) / $B140, "")</f>
        <v>5.6603773584905627E-2</v>
      </c>
      <c r="I140" s="110">
        <f>IF(ISNUMBER(G140), $B145 * H140, "")</f>
        <v>5660.377358490563</v>
      </c>
      <c r="J140" s="106">
        <v>11.2</v>
      </c>
      <c r="K140" s="107">
        <f>IF(ISNUMBER(J140), (J140 - $B140) / $B140, "")</f>
        <v>5.6603773584905627E-2</v>
      </c>
      <c r="L140" s="108">
        <f>IF(ISNUMBER(J140), $B145 * K140, "")</f>
        <v>5660.377358490563</v>
      </c>
      <c r="M140" s="109">
        <v>11.2</v>
      </c>
      <c r="N140" s="107">
        <f>IF(ISNUMBER(M140), (M140 - $B140) / $B140, "")</f>
        <v>5.6603773584905627E-2</v>
      </c>
      <c r="O140" s="108">
        <f>IF(ISNUMBER(M140), $B145 * N140, "")</f>
        <v>5660.377358490563</v>
      </c>
      <c r="Q140" s="241"/>
      <c r="R140" s="241"/>
      <c r="S140" s="241"/>
    </row>
    <row r="141" spans="1:19" ht="17.25" thickBot="1">
      <c r="A141" s="125" t="s">
        <v>178</v>
      </c>
      <c r="B141" s="126">
        <v>16.3</v>
      </c>
      <c r="C141" s="77">
        <v>-5.7803468199999999E-2</v>
      </c>
      <c r="D141" s="15">
        <v>17</v>
      </c>
      <c r="E141" s="32">
        <f t="shared" ref="E141:E144" si="74">IF(ISNUMBER(D141), (D141 - $B141) / $B141, "")</f>
        <v>4.2944785276073573E-2</v>
      </c>
      <c r="F141" s="18">
        <f>IF(ISNUMBER(D141), $B145 * E141, "")</f>
        <v>4294.4785276073571</v>
      </c>
      <c r="G141" s="31">
        <v>17.100000000000001</v>
      </c>
      <c r="H141" s="32">
        <f t="shared" ref="H141:H144" si="75">IF(ISNUMBER(G141), (G141 - $B141) / $B141, "")</f>
        <v>4.9079754601227037E-2</v>
      </c>
      <c r="I141" s="101">
        <f>IF(ISNUMBER(G141), $B145 * H141, "")</f>
        <v>4907.9754601227032</v>
      </c>
      <c r="J141" s="15">
        <v>17.100000000000001</v>
      </c>
      <c r="K141" s="32">
        <f t="shared" ref="K141:K144" si="76">IF(ISNUMBER(J141), (J141 - $B141) / $B141, "")</f>
        <v>4.9079754601227037E-2</v>
      </c>
      <c r="L141" s="18">
        <f>IF(ISNUMBER(J141), $B145 * K141, "")</f>
        <v>4907.9754601227032</v>
      </c>
      <c r="M141" s="31">
        <v>17</v>
      </c>
      <c r="N141" s="32">
        <f t="shared" ref="N141:N144" si="77">IF(ISNUMBER(M141), (M141 - $B141) / $B141, "")</f>
        <v>4.2944785276073573E-2</v>
      </c>
      <c r="O141" s="18">
        <f>IF(ISNUMBER(M141), $B145 * N141, "")</f>
        <v>4294.4785276073571</v>
      </c>
      <c r="Q141" s="241"/>
      <c r="R141" s="241"/>
      <c r="S141" s="241"/>
    </row>
    <row r="142" spans="1:19" ht="17.25" thickBot="1">
      <c r="A142" s="125" t="s">
        <v>122</v>
      </c>
      <c r="B142" s="126">
        <v>32.6</v>
      </c>
      <c r="C142" s="77">
        <v>-6.3218390799999996E-2</v>
      </c>
      <c r="D142" s="15">
        <v>33.4</v>
      </c>
      <c r="E142" s="32">
        <f t="shared" si="74"/>
        <v>2.4539877300613407E-2</v>
      </c>
      <c r="F142" s="18">
        <f>IF(ISNUMBER(D142), $B145 * E142, "")</f>
        <v>2453.9877300613407</v>
      </c>
      <c r="G142" s="31">
        <v>35.1</v>
      </c>
      <c r="H142" s="32">
        <f t="shared" si="75"/>
        <v>7.6687116564417179E-2</v>
      </c>
      <c r="I142" s="101">
        <f>IF(ISNUMBER(G142), $B145 * H142, "")</f>
        <v>7668.7116564417183</v>
      </c>
      <c r="J142" s="15">
        <v>34.700000000000003</v>
      </c>
      <c r="K142" s="32">
        <f t="shared" si="76"/>
        <v>6.4417177914110474E-2</v>
      </c>
      <c r="L142" s="18">
        <f>IF(ISNUMBER(J142), $B145 * K142, "")</f>
        <v>6441.7177914110471</v>
      </c>
      <c r="M142" s="31">
        <v>33.799999999999997</v>
      </c>
      <c r="N142" s="32">
        <f t="shared" si="77"/>
        <v>3.6809815950920116E-2</v>
      </c>
      <c r="O142" s="18">
        <f>IF(ISNUMBER(M142), $B145 * N142, "")</f>
        <v>3680.9815950920115</v>
      </c>
      <c r="Q142" s="241"/>
      <c r="R142" s="241"/>
      <c r="S142" s="24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63"/>
      <c r="R143" s="264"/>
      <c r="S143" s="26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6"/>
      <c r="R144" s="267"/>
      <c r="S144" s="268"/>
    </row>
    <row r="145" spans="1:19" ht="17.25" thickBot="1">
      <c r="A145" s="132" t="s">
        <v>270</v>
      </c>
      <c r="B145" s="274">
        <f>$B$37</f>
        <v>100000</v>
      </c>
      <c r="C145" s="275"/>
      <c r="D145" s="26" t="s">
        <v>271</v>
      </c>
      <c r="E145" s="27">
        <f>IF(COUNT(E125:E144), SUM(E125:E144) / COUNT(E125:E144), 0)</f>
        <v>4.085627528030298E-2</v>
      </c>
      <c r="F145" s="28">
        <f>SUM(F125:F144)</f>
        <v>73541.295504545385</v>
      </c>
      <c r="G145" s="26" t="s">
        <v>271</v>
      </c>
      <c r="H145" s="27">
        <f>IF(COUNT(H125:H144), SUM(H125:H144) / COUNT(H125:H144), 0)</f>
        <v>5.8025191641920472E-2</v>
      </c>
      <c r="I145" s="28">
        <f>SUM(I125:I144)</f>
        <v>104445.34495545685</v>
      </c>
      <c r="J145" s="26" t="s">
        <v>271</v>
      </c>
      <c r="K145" s="27">
        <f>IF(COUNT(K125:K144), SUM(K125:K144) / COUNT(K125:K144), 0)</f>
        <v>5.1611199494895642E-2</v>
      </c>
      <c r="L145" s="28">
        <f>SUM(L125:L144)</f>
        <v>92900.159090812143</v>
      </c>
      <c r="M145" s="26" t="s">
        <v>271</v>
      </c>
      <c r="N145" s="27">
        <f>IF(COUNT(N125:N144), SUM(N125:N144) / COUNT(N125:N144), 0)</f>
        <v>4.5957034147640886E-2</v>
      </c>
      <c r="O145" s="28">
        <f>SUM(O125:O144)</f>
        <v>82722.661465753568</v>
      </c>
      <c r="Q145" s="269"/>
      <c r="R145" s="270"/>
      <c r="S145" s="27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36"/>
      <c r="R148" s="236"/>
      <c r="S148" s="236"/>
    </row>
    <row r="149" spans="1:19" ht="17.25" thickBot="1">
      <c r="A149" s="207" t="s">
        <v>267</v>
      </c>
      <c r="B149" s="215" t="s">
        <v>49</v>
      </c>
      <c r="C149" s="217"/>
      <c r="D149" s="215" t="s">
        <v>58</v>
      </c>
      <c r="E149" s="216"/>
      <c r="F149" s="217"/>
      <c r="G149" s="242">
        <f>_xlfn.IFNA(VLOOKUP(B149, 현재가테이블!$B$2:$D$200, 2, FALSE), "-")</f>
        <v>53976000</v>
      </c>
      <c r="H149" s="243"/>
      <c r="I149" s="244"/>
      <c r="J149" s="215" t="s">
        <v>59</v>
      </c>
      <c r="K149" s="216"/>
      <c r="L149" s="217"/>
      <c r="M149" s="245">
        <f>_xlfn.IFNA(VLOOKUP(B149, 현재가테이블!$B$2:$D$200, 3, FALSE), "-")</f>
        <v>-2.1216407400000001E-2</v>
      </c>
      <c r="N149" s="246"/>
      <c r="O149" s="247"/>
      <c r="Q149" s="236"/>
      <c r="R149" s="236"/>
      <c r="S149" s="236"/>
    </row>
    <row r="150" spans="1:19" ht="17.25" thickBot="1">
      <c r="A150" s="276" t="s">
        <v>55</v>
      </c>
      <c r="B150" s="278" t="str">
        <f>TEXT($G$1, "[$-ko-KR]yyyy-mm-dd(ddd) ") &amp; "오전 00:00"</f>
        <v>2021-08-13(금) 오전 00:00</v>
      </c>
      <c r="C150" s="279"/>
      <c r="D150" s="238" t="str">
        <f>TEXT($G$1, "[$-ko-KR]yyyy-mm-dd(ddd) ") &amp; "오후 14:00"</f>
        <v>2021-08-13(금) 오후 14:00</v>
      </c>
      <c r="E150" s="239"/>
      <c r="F150" s="240"/>
      <c r="G150" s="238" t="str">
        <f>TEXT($G$1, "[$-ko-KR]yyyy-mm-dd(ddd) ") &amp; "오후 19:00"</f>
        <v>2021-08-13(금) 오후 19:00</v>
      </c>
      <c r="H150" s="239"/>
      <c r="I150" s="240"/>
      <c r="J150" s="238" t="str">
        <f>TEXT($G$1, "[$-ko-KR]yyyy-mm-dd(ddd) ") &amp; "오후 21:00"</f>
        <v>2021-08-13(금) 오후 21:00</v>
      </c>
      <c r="K150" s="239"/>
      <c r="L150" s="240"/>
      <c r="M150" s="238" t="str">
        <f>TEXT($G$1+1, "[$-ko-KR]yyyy-mm-dd(ddd) ") &amp; "오전 00:00"</f>
        <v>2021-08-14(토) 오전 00:00</v>
      </c>
      <c r="N150" s="239"/>
      <c r="O150" s="240"/>
      <c r="Q150" s="236"/>
      <c r="R150" s="236"/>
      <c r="S150" s="236"/>
    </row>
    <row r="151" spans="1:19" ht="17.25" thickBot="1">
      <c r="A151" s="27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8" t="s">
        <v>58</v>
      </c>
      <c r="H151" s="209" t="s">
        <v>268</v>
      </c>
      <c r="I151" s="21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1"/>
      <c r="R151" s="241"/>
      <c r="S151" s="241"/>
    </row>
    <row r="152" spans="1:19" ht="17.25" thickBot="1">
      <c r="A152" s="123" t="s">
        <v>130</v>
      </c>
      <c r="B152" s="124">
        <v>106</v>
      </c>
      <c r="C152" s="76">
        <v>-4.5045044999999999E-2</v>
      </c>
      <c r="D152" s="13">
        <v>114</v>
      </c>
      <c r="E152" s="14">
        <f>IF(ISNUMBER(D152), (D152 - $B152) / $B152, "")</f>
        <v>7.5471698113207544E-2</v>
      </c>
      <c r="F152" s="16">
        <f>IF(ISNUMBER(D152), $B172 * E152, "")</f>
        <v>7547.169811320754</v>
      </c>
      <c r="G152" s="29">
        <v>117</v>
      </c>
      <c r="H152" s="14">
        <f>IF(ISNUMBER(G152), (G152 - $B152) / $B152, "")</f>
        <v>0.10377358490566038</v>
      </c>
      <c r="I152" s="100">
        <f>IF(ISNUMBER(G152), $B172 * H152, "")</f>
        <v>10377.358490566039</v>
      </c>
      <c r="J152" s="13">
        <v>117</v>
      </c>
      <c r="K152" s="14">
        <f>IF(ISNUMBER(J152), (J152 - $B152) / $B152, "")</f>
        <v>0.10377358490566038</v>
      </c>
      <c r="L152" s="16">
        <f>IF(ISNUMBER(J152), $B172 * K152, "")</f>
        <v>10377.358490566039</v>
      </c>
      <c r="M152" s="29">
        <v>115</v>
      </c>
      <c r="N152" s="14">
        <f>IF(ISNUMBER(M152), (M152 - $B152) / $B152, "")</f>
        <v>8.4905660377358486E-2</v>
      </c>
      <c r="O152" s="16">
        <f>IF(ISNUMBER(M152), $B172 * N152, "")</f>
        <v>8490.566037735849</v>
      </c>
      <c r="Q152" s="236"/>
      <c r="R152" s="236"/>
      <c r="S152" s="236"/>
    </row>
    <row r="153" spans="1:19" ht="17.25" thickBot="1">
      <c r="A153" s="125" t="s">
        <v>162</v>
      </c>
      <c r="B153" s="126">
        <v>105</v>
      </c>
      <c r="C153" s="77">
        <v>-4.5454545499999999E-2</v>
      </c>
      <c r="D153" s="15">
        <v>110</v>
      </c>
      <c r="E153" s="32">
        <f t="shared" ref="E153:E156" si="78">IF(ISNUMBER(D153), (D153 - $B153) / $B153, "")</f>
        <v>4.7619047619047616E-2</v>
      </c>
      <c r="F153" s="18">
        <f>IF(ISNUMBER(D153), $B172 * E153, "")</f>
        <v>4761.9047619047615</v>
      </c>
      <c r="G153" s="31">
        <v>113</v>
      </c>
      <c r="H153" s="32">
        <f t="shared" ref="H153:H156" si="79">IF(ISNUMBER(G153), (G153 - $B153) / $B153, "")</f>
        <v>7.6190476190476197E-2</v>
      </c>
      <c r="I153" s="101">
        <f>IF(ISNUMBER(G153), $B172 * H153, "")</f>
        <v>7619.0476190476202</v>
      </c>
      <c r="J153" s="15">
        <v>113</v>
      </c>
      <c r="K153" s="32">
        <f t="shared" ref="K153:K156" si="80">IF(ISNUMBER(J153), (J153 - $B153) / $B153, "")</f>
        <v>7.6190476190476197E-2</v>
      </c>
      <c r="L153" s="18">
        <f>IF(ISNUMBER(J153), $B172 * K153, "")</f>
        <v>7619.0476190476202</v>
      </c>
      <c r="M153" s="31">
        <v>111</v>
      </c>
      <c r="N153" s="32">
        <f t="shared" ref="N153:N156" si="81">IF(ISNUMBER(M153), (M153 - $B153) / $B153, "")</f>
        <v>5.7142857142857141E-2</v>
      </c>
      <c r="O153" s="18">
        <f>IF(ISNUMBER(M153), $B172 * N153, "")</f>
        <v>5714.2857142857138</v>
      </c>
      <c r="Q153" s="236"/>
      <c r="R153" s="236"/>
      <c r="S153" s="236"/>
    </row>
    <row r="154" spans="1:19" ht="17.25" thickBot="1">
      <c r="A154" s="125" t="s">
        <v>230</v>
      </c>
      <c r="B154" s="126">
        <v>208</v>
      </c>
      <c r="C154" s="77">
        <v>-4.58715596E-2</v>
      </c>
      <c r="D154" s="15">
        <v>211</v>
      </c>
      <c r="E154" s="32">
        <f t="shared" si="78"/>
        <v>1.4423076923076924E-2</v>
      </c>
      <c r="F154" s="18">
        <f>IF(ISNUMBER(D154), $B172 * E154, "")</f>
        <v>1442.3076923076924</v>
      </c>
      <c r="G154" s="31">
        <v>213</v>
      </c>
      <c r="H154" s="32">
        <f t="shared" si="79"/>
        <v>2.403846153846154E-2</v>
      </c>
      <c r="I154" s="101">
        <f>IF(ISNUMBER(G154), $B172 * H154, "")</f>
        <v>2403.8461538461538</v>
      </c>
      <c r="J154" s="15">
        <v>211</v>
      </c>
      <c r="K154" s="32">
        <f t="shared" si="80"/>
        <v>1.4423076923076924E-2</v>
      </c>
      <c r="L154" s="18">
        <f>IF(ISNUMBER(J154), $B172 * K154, "")</f>
        <v>1442.3076923076924</v>
      </c>
      <c r="M154" s="31">
        <v>211</v>
      </c>
      <c r="N154" s="32">
        <f t="shared" si="81"/>
        <v>1.4423076923076924E-2</v>
      </c>
      <c r="O154" s="18">
        <f>IF(ISNUMBER(M154), $B172 * N154, "")</f>
        <v>1442.3076923076924</v>
      </c>
      <c r="Q154" s="241"/>
      <c r="R154" s="241"/>
      <c r="S154" s="241"/>
    </row>
    <row r="155" spans="1:19" ht="17.25" thickBot="1">
      <c r="A155" s="125" t="s">
        <v>238</v>
      </c>
      <c r="B155" s="126">
        <v>103</v>
      </c>
      <c r="C155" s="77">
        <v>-4.6296296299999998E-2</v>
      </c>
      <c r="D155" s="15">
        <v>106</v>
      </c>
      <c r="E155" s="32">
        <f t="shared" si="78"/>
        <v>2.9126213592233011E-2</v>
      </c>
      <c r="F155" s="18">
        <f>IF(ISNUMBER(D155), $B172 * E155, "")</f>
        <v>2912.6213592233012</v>
      </c>
      <c r="G155" s="31">
        <v>108</v>
      </c>
      <c r="H155" s="32">
        <f t="shared" si="79"/>
        <v>4.8543689320388349E-2</v>
      </c>
      <c r="I155" s="101">
        <f>IF(ISNUMBER(G155), $B172 * H155, "")</f>
        <v>4854.3689320388348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41"/>
      <c r="R155" s="241"/>
      <c r="S155" s="241"/>
    </row>
    <row r="156" spans="1:19" ht="17.25" thickBot="1">
      <c r="A156" s="127" t="s">
        <v>114</v>
      </c>
      <c r="B156" s="128">
        <v>744</v>
      </c>
      <c r="C156" s="78">
        <v>-4.7375160100000001E-2</v>
      </c>
      <c r="D156" s="20">
        <v>749</v>
      </c>
      <c r="E156" s="21">
        <f t="shared" si="78"/>
        <v>6.7204301075268818E-3</v>
      </c>
      <c r="F156" s="22">
        <f>IF(ISNUMBER(D156), $B172 * E156, "")</f>
        <v>672.04301075268813</v>
      </c>
      <c r="G156" s="30">
        <v>763</v>
      </c>
      <c r="H156" s="21">
        <f t="shared" si="79"/>
        <v>2.5537634408602152E-2</v>
      </c>
      <c r="I156" s="105">
        <f>IF(ISNUMBER(G156), $B172 * H156, "")</f>
        <v>2553.7634408602153</v>
      </c>
      <c r="J156" s="20">
        <v>754</v>
      </c>
      <c r="K156" s="21">
        <f t="shared" si="80"/>
        <v>1.3440860215053764E-2</v>
      </c>
      <c r="L156" s="22">
        <f>IF(ISNUMBER(J156), $B172 * K156, "")</f>
        <v>1344.0860215053763</v>
      </c>
      <c r="M156" s="30">
        <v>743</v>
      </c>
      <c r="N156" s="21">
        <f t="shared" si="81"/>
        <v>-1.3440860215053765E-3</v>
      </c>
      <c r="O156" s="22">
        <f>IF(ISNUMBER(M156), $B172 * N156, "")</f>
        <v>-134.40860215053763</v>
      </c>
      <c r="Q156" s="241"/>
      <c r="R156" s="241"/>
      <c r="S156" s="241"/>
    </row>
    <row r="157" spans="1:19" ht="17.25" thickBot="1">
      <c r="A157" s="125" t="s">
        <v>200</v>
      </c>
      <c r="B157" s="129">
        <v>139</v>
      </c>
      <c r="C157" s="80">
        <v>-4.7945205499999997E-2</v>
      </c>
      <c r="D157" s="106">
        <v>142</v>
      </c>
      <c r="E157" s="107">
        <f>IF(ISNUMBER(D157), (D157 - $B157) / $B157, "")</f>
        <v>2.1582733812949641E-2</v>
      </c>
      <c r="F157" s="108">
        <f>IF(ISNUMBER(D157), $B172 * E157, "")</f>
        <v>2158.2733812949641</v>
      </c>
      <c r="G157" s="109">
        <v>144</v>
      </c>
      <c r="H157" s="107">
        <f>IF(ISNUMBER(G157), (G157 - $B157) / $B157, "")</f>
        <v>3.5971223021582732E-2</v>
      </c>
      <c r="I157" s="110">
        <f>IF(ISNUMBER(G157), $B172 * H157, "")</f>
        <v>3597.1223021582732</v>
      </c>
      <c r="J157" s="106">
        <v>143</v>
      </c>
      <c r="K157" s="107">
        <f>IF(ISNUMBER(J157), (J157 - $B157) / $B157, "")</f>
        <v>2.8776978417266189E-2</v>
      </c>
      <c r="L157" s="108">
        <f>IF(ISNUMBER(J157), $B172 * K157, "")</f>
        <v>2877.6978417266187</v>
      </c>
      <c r="M157" s="109">
        <v>143</v>
      </c>
      <c r="N157" s="107">
        <f>IF(ISNUMBER(M157), (M157 - $B157) / $B157, "")</f>
        <v>2.8776978417266189E-2</v>
      </c>
      <c r="O157" s="108">
        <f>IF(ISNUMBER(M157), $B172 * N157, "")</f>
        <v>2877.6978417266187</v>
      </c>
      <c r="Q157" s="241"/>
      <c r="R157" s="241"/>
      <c r="S157" s="241"/>
    </row>
    <row r="158" spans="1:19" ht="17.25" thickBot="1">
      <c r="A158" s="125" t="s">
        <v>220</v>
      </c>
      <c r="B158" s="126">
        <v>213</v>
      </c>
      <c r="C158" s="77">
        <v>-4.9107142899999998E-2</v>
      </c>
      <c r="D158" s="15">
        <v>217</v>
      </c>
      <c r="E158" s="32">
        <f t="shared" ref="E158:E161" si="82">IF(ISNUMBER(D158), (D158 - $B158) / $B158, "")</f>
        <v>1.8779342723004695E-2</v>
      </c>
      <c r="F158" s="18">
        <f>IF(ISNUMBER(D158), $B172 * E158, "")</f>
        <v>1877.9342723004695</v>
      </c>
      <c r="G158" s="31">
        <v>219</v>
      </c>
      <c r="H158" s="32">
        <f t="shared" ref="H158:H161" si="83">IF(ISNUMBER(G158), (G158 - $B158) / $B158, "")</f>
        <v>2.8169014084507043E-2</v>
      </c>
      <c r="I158" s="101">
        <f>IF(ISNUMBER(G158), $B172 * H158, "")</f>
        <v>2816.9014084507044</v>
      </c>
      <c r="J158" s="15">
        <v>217</v>
      </c>
      <c r="K158" s="32">
        <f t="shared" ref="K158:K161" si="84">IF(ISNUMBER(J158), (J158 - $B158) / $B158, "")</f>
        <v>1.8779342723004695E-2</v>
      </c>
      <c r="L158" s="18">
        <f>IF(ISNUMBER(J158), $B172 * K158, "")</f>
        <v>1877.9342723004695</v>
      </c>
      <c r="M158" s="31">
        <v>216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41"/>
      <c r="R158" s="241"/>
      <c r="S158" s="241"/>
    </row>
    <row r="159" spans="1:19" ht="17.25" thickBot="1">
      <c r="A159" s="125" t="s">
        <v>174</v>
      </c>
      <c r="B159" s="126">
        <v>344</v>
      </c>
      <c r="C159" s="77">
        <v>-4.9723756899999999E-2</v>
      </c>
      <c r="D159" s="15">
        <v>349</v>
      </c>
      <c r="E159" s="32">
        <f t="shared" si="82"/>
        <v>1.4534883720930232E-2</v>
      </c>
      <c r="F159" s="18">
        <f>IF(ISNUMBER(D159), $B172 * E159, "")</f>
        <v>1453.4883720930231</v>
      </c>
      <c r="G159" s="31">
        <v>353</v>
      </c>
      <c r="H159" s="32">
        <f t="shared" si="83"/>
        <v>2.616279069767442E-2</v>
      </c>
      <c r="I159" s="101">
        <f>IF(ISNUMBER(G159), $B172 * H159, "")</f>
        <v>2616.2790697674418</v>
      </c>
      <c r="J159" s="15">
        <v>351</v>
      </c>
      <c r="K159" s="32">
        <f t="shared" si="84"/>
        <v>2.0348837209302327E-2</v>
      </c>
      <c r="L159" s="18">
        <f>IF(ISNUMBER(J159), $B172 * K159, "")</f>
        <v>2034.8837209302328</v>
      </c>
      <c r="M159" s="31">
        <v>353</v>
      </c>
      <c r="N159" s="32">
        <f t="shared" si="85"/>
        <v>2.616279069767442E-2</v>
      </c>
      <c r="O159" s="18">
        <f>IF(ISNUMBER(M159), $B172 * N159, "")</f>
        <v>2616.2790697674418</v>
      </c>
      <c r="Q159" s="241"/>
      <c r="R159" s="241"/>
      <c r="S159" s="241"/>
    </row>
    <row r="160" spans="1:19" ht="17.25" thickBot="1">
      <c r="A160" s="125" t="s">
        <v>252</v>
      </c>
      <c r="B160" s="126">
        <v>974</v>
      </c>
      <c r="C160" s="77">
        <v>-4.97560976E-2</v>
      </c>
      <c r="D160" s="15">
        <v>998</v>
      </c>
      <c r="E160" s="32">
        <f t="shared" si="82"/>
        <v>2.4640657084188913E-2</v>
      </c>
      <c r="F160" s="18">
        <f>IF(ISNUMBER(D160), $B172 * E160, "")</f>
        <v>2464.0657084188911</v>
      </c>
      <c r="G160" s="31">
        <v>1010</v>
      </c>
      <c r="H160" s="32">
        <f t="shared" si="83"/>
        <v>3.6960985626283367E-2</v>
      </c>
      <c r="I160" s="101">
        <f>IF(ISNUMBER(G160), $B172 * H160, "")</f>
        <v>3696.0985626283368</v>
      </c>
      <c r="J160" s="15">
        <v>1010</v>
      </c>
      <c r="K160" s="32">
        <f t="shared" si="84"/>
        <v>3.6960985626283367E-2</v>
      </c>
      <c r="L160" s="18">
        <f>IF(ISNUMBER(J160), $B172 * K160, "")</f>
        <v>3696.0985626283368</v>
      </c>
      <c r="M160" s="31">
        <v>999</v>
      </c>
      <c r="N160" s="32">
        <f t="shared" si="85"/>
        <v>2.5667351129363448E-2</v>
      </c>
      <c r="O160" s="18">
        <f>IF(ISNUMBER(M160), $B172 * N160, "")</f>
        <v>2566.7351129363446</v>
      </c>
      <c r="Q160" s="33"/>
      <c r="R160" s="33"/>
    </row>
    <row r="161" spans="1:19" ht="17.25" thickBot="1">
      <c r="A161" s="130" t="s">
        <v>242</v>
      </c>
      <c r="B161" s="131">
        <v>474</v>
      </c>
      <c r="C161" s="79">
        <v>-5.0100200400000003E-2</v>
      </c>
      <c r="D161" s="24">
        <v>485</v>
      </c>
      <c r="E161" s="25">
        <f t="shared" si="82"/>
        <v>2.3206751054852322E-2</v>
      </c>
      <c r="F161" s="104">
        <f>IF(ISNUMBER(D161), $B172 * E161, "")</f>
        <v>2320.6751054852321</v>
      </c>
      <c r="G161" s="102">
        <v>492</v>
      </c>
      <c r="H161" s="25">
        <f t="shared" si="83"/>
        <v>3.7974683544303799E-2</v>
      </c>
      <c r="I161" s="103">
        <f>IF(ISNUMBER(G161), $B172 * H161, "")</f>
        <v>3797.4683544303798</v>
      </c>
      <c r="J161" s="24">
        <v>488</v>
      </c>
      <c r="K161" s="25">
        <f t="shared" si="84"/>
        <v>2.9535864978902954E-2</v>
      </c>
      <c r="L161" s="104">
        <f>IF(ISNUMBER(J161), $B172 * K161, "")</f>
        <v>2953.5864978902955</v>
      </c>
      <c r="M161" s="102">
        <v>489</v>
      </c>
      <c r="N161" s="25">
        <f t="shared" si="85"/>
        <v>3.1645569620253167E-2</v>
      </c>
      <c r="O161" s="104">
        <f>IF(ISNUMBER(M161), $B172 * N161, "")</f>
        <v>3164.5569620253168</v>
      </c>
      <c r="Q161" s="250"/>
      <c r="R161" s="251"/>
      <c r="S161" s="252"/>
    </row>
    <row r="162" spans="1:19">
      <c r="A162" s="123" t="s">
        <v>218</v>
      </c>
      <c r="B162" s="124">
        <v>129</v>
      </c>
      <c r="C162" s="76">
        <v>-5.14705882E-2</v>
      </c>
      <c r="D162" s="13">
        <v>132</v>
      </c>
      <c r="E162" s="14">
        <f>IF(ISNUMBER(D162), (D162 - $B162) / $B162, "")</f>
        <v>2.3255813953488372E-2</v>
      </c>
      <c r="F162" s="16">
        <f>IF(ISNUMBER(D162), $B172 * E162, "")</f>
        <v>2325.5813953488373</v>
      </c>
      <c r="G162" s="29">
        <v>133</v>
      </c>
      <c r="H162" s="14">
        <f>IF(ISNUMBER(G162), (G162 - $B162) / $B162, "")</f>
        <v>3.1007751937984496E-2</v>
      </c>
      <c r="I162" s="100">
        <f>IF(ISNUMBER(G162), $B172 * H162, "")</f>
        <v>3100.7751937984494</v>
      </c>
      <c r="J162" s="13">
        <v>132</v>
      </c>
      <c r="K162" s="14">
        <f>IF(ISNUMBER(J162), (J162 - $B162) / $B162, "")</f>
        <v>2.3255813953488372E-2</v>
      </c>
      <c r="L162" s="16">
        <f>IF(ISNUMBER(J162), $B172 * K162, "")</f>
        <v>2325.5813953488373</v>
      </c>
      <c r="M162" s="29">
        <v>133</v>
      </c>
      <c r="N162" s="14">
        <f>IF(ISNUMBER(M162), (M162 - $B162) / $B162, "")</f>
        <v>3.1007751937984496E-2</v>
      </c>
      <c r="O162" s="16">
        <f>IF(ISNUMBER(M162), $B172 * N162, "")</f>
        <v>3100.7751937984494</v>
      </c>
      <c r="Q162" s="253"/>
      <c r="R162" s="254"/>
      <c r="S162" s="255"/>
    </row>
    <row r="163" spans="1:19" ht="17.25" thickBot="1">
      <c r="A163" s="125" t="s">
        <v>166</v>
      </c>
      <c r="B163" s="126">
        <v>254</v>
      </c>
      <c r="C163" s="77">
        <v>-5.2238805999999999E-2</v>
      </c>
      <c r="D163" s="15">
        <v>258</v>
      </c>
      <c r="E163" s="32">
        <f t="shared" ref="E163:E166" si="86">IF(ISNUMBER(D163), (D163 - $B163) / $B163, "")</f>
        <v>1.5748031496062992E-2</v>
      </c>
      <c r="F163" s="18">
        <f>IF(ISNUMBER(D163), $B172 * E163, "")</f>
        <v>1574.8031496062993</v>
      </c>
      <c r="G163" s="31">
        <v>261</v>
      </c>
      <c r="H163" s="32">
        <f t="shared" ref="H163:H166" si="87">IF(ISNUMBER(G163), (G163 - $B163) / $B163, "")</f>
        <v>2.7559055118110236E-2</v>
      </c>
      <c r="I163" s="101">
        <f>IF(ISNUMBER(G163), $B172 * H163, "")</f>
        <v>2755.9055118110236</v>
      </c>
      <c r="J163" s="15">
        <v>260</v>
      </c>
      <c r="K163" s="32">
        <f t="shared" ref="K163:K166" si="88">IF(ISNUMBER(J163), (J163 - $B163) / $B163, "")</f>
        <v>2.3622047244094488E-2</v>
      </c>
      <c r="L163" s="18">
        <f>IF(ISNUMBER(J163), $B172 * K163, "")</f>
        <v>2362.2047244094488</v>
      </c>
      <c r="M163" s="31">
        <v>257</v>
      </c>
      <c r="N163" s="32">
        <f t="shared" ref="N163:N166" si="89">IF(ISNUMBER(M163), (M163 - $B163) / $B163, "")</f>
        <v>1.1811023622047244E-2</v>
      </c>
      <c r="O163" s="18">
        <f>IF(ISNUMBER(M163), $B172 * N163, "")</f>
        <v>1181.1023622047244</v>
      </c>
      <c r="Q163" s="256"/>
      <c r="R163" s="257"/>
      <c r="S163" s="258"/>
    </row>
    <row r="164" spans="1:19" ht="17.25" thickBot="1">
      <c r="A164" s="125" t="s">
        <v>192</v>
      </c>
      <c r="B164" s="126">
        <v>228</v>
      </c>
      <c r="C164" s="77">
        <v>-5.3941908699999999E-2</v>
      </c>
      <c r="D164" s="15">
        <v>233</v>
      </c>
      <c r="E164" s="32">
        <f t="shared" si="86"/>
        <v>2.1929824561403508E-2</v>
      </c>
      <c r="F164" s="18">
        <f>IF(ISNUMBER(D164), $B172 * E164, "")</f>
        <v>2192.9824561403507</v>
      </c>
      <c r="G164" s="31">
        <v>237</v>
      </c>
      <c r="H164" s="32">
        <f t="shared" si="87"/>
        <v>3.9473684210526314E-2</v>
      </c>
      <c r="I164" s="101">
        <f>IF(ISNUMBER(G164), $B172 * H164, "")</f>
        <v>3947.3684210526312</v>
      </c>
      <c r="J164" s="15">
        <v>236</v>
      </c>
      <c r="K164" s="32">
        <f t="shared" si="88"/>
        <v>3.5087719298245612E-2</v>
      </c>
      <c r="L164" s="18">
        <f>IF(ISNUMBER(J164), $B172 * K164, "")</f>
        <v>3508.7719298245611</v>
      </c>
      <c r="M164" s="31">
        <v>235</v>
      </c>
      <c r="N164" s="32">
        <f t="shared" si="89"/>
        <v>3.0701754385964911E-2</v>
      </c>
      <c r="O164" s="18">
        <f>IF(ISNUMBER(M164), $B172 * N164, "")</f>
        <v>3070.1754385964909</v>
      </c>
      <c r="Q164" s="241"/>
      <c r="R164" s="241"/>
      <c r="S164" s="241"/>
    </row>
    <row r="165" spans="1:19" ht="17.25" thickBot="1">
      <c r="A165" s="125" t="s">
        <v>236</v>
      </c>
      <c r="B165" s="126">
        <v>612</v>
      </c>
      <c r="C165" s="77">
        <v>-5.4095826899999998E-2</v>
      </c>
      <c r="D165" s="15">
        <v>623</v>
      </c>
      <c r="E165" s="32">
        <f t="shared" si="86"/>
        <v>1.7973856209150325E-2</v>
      </c>
      <c r="F165" s="18">
        <f>IF(ISNUMBER(D165), $B172 * E165, "")</f>
        <v>1797.3856209150326</v>
      </c>
      <c r="G165" s="31">
        <v>637</v>
      </c>
      <c r="H165" s="32">
        <f t="shared" si="87"/>
        <v>4.084967320261438E-2</v>
      </c>
      <c r="I165" s="101">
        <f>IF(ISNUMBER(G165), $B172 * H165, "")</f>
        <v>4084.9673202614381</v>
      </c>
      <c r="J165" s="15">
        <v>636</v>
      </c>
      <c r="K165" s="32">
        <f t="shared" si="88"/>
        <v>3.9215686274509803E-2</v>
      </c>
      <c r="L165" s="18">
        <f>IF(ISNUMBER(J165), $B172 * K165, "")</f>
        <v>3921.5686274509803</v>
      </c>
      <c r="M165" s="31">
        <v>634</v>
      </c>
      <c r="N165" s="32">
        <f t="shared" si="89"/>
        <v>3.5947712418300651E-2</v>
      </c>
      <c r="O165" s="18">
        <f>IF(ISNUMBER(M165), $B172 * N165, "")</f>
        <v>3594.7712418300653</v>
      </c>
      <c r="Q165" s="236"/>
      <c r="R165" s="236"/>
      <c r="S165" s="236"/>
    </row>
    <row r="166" spans="1:19" ht="17.25" thickBot="1">
      <c r="A166" s="127" t="s">
        <v>124</v>
      </c>
      <c r="B166" s="128">
        <v>356</v>
      </c>
      <c r="C166" s="78">
        <v>-5.5702917800000001E-2</v>
      </c>
      <c r="D166" s="20">
        <v>384</v>
      </c>
      <c r="E166" s="21">
        <f t="shared" si="86"/>
        <v>7.8651685393258425E-2</v>
      </c>
      <c r="F166" s="22">
        <f>IF(ISNUMBER(D166), $B172 * E166, "")</f>
        <v>7865.1685393258422</v>
      </c>
      <c r="G166" s="30">
        <v>387</v>
      </c>
      <c r="H166" s="21">
        <f t="shared" si="87"/>
        <v>8.7078651685393263E-2</v>
      </c>
      <c r="I166" s="105">
        <f>IF(ISNUMBER(G166), $B172 * H166, "")</f>
        <v>8707.865168539327</v>
      </c>
      <c r="J166" s="20">
        <v>387</v>
      </c>
      <c r="K166" s="21">
        <f t="shared" si="88"/>
        <v>8.7078651685393263E-2</v>
      </c>
      <c r="L166" s="22">
        <f>IF(ISNUMBER(J166), $B172 * K166, "")</f>
        <v>8707.865168539327</v>
      </c>
      <c r="M166" s="30">
        <v>382</v>
      </c>
      <c r="N166" s="21">
        <f t="shared" si="89"/>
        <v>7.3033707865168537E-2</v>
      </c>
      <c r="O166" s="22">
        <f>IF(ISNUMBER(M166), $B172 * N166, "")</f>
        <v>7303.3707865168535</v>
      </c>
      <c r="Q166" s="236"/>
      <c r="R166" s="236"/>
      <c r="S166" s="236"/>
    </row>
    <row r="167" spans="1:19" ht="17.25" thickBot="1">
      <c r="A167" s="125" t="s">
        <v>110</v>
      </c>
      <c r="B167" s="129">
        <v>182</v>
      </c>
      <c r="C167" s="80">
        <v>-5.6994818699999998E-2</v>
      </c>
      <c r="D167" s="106">
        <v>192</v>
      </c>
      <c r="E167" s="107">
        <f>IF(ISNUMBER(D167), (D167 - $B167) / $B167, "")</f>
        <v>5.4945054945054944E-2</v>
      </c>
      <c r="F167" s="108">
        <f>IF(ISNUMBER(D167), $B172 * E167, "")</f>
        <v>5494.5054945054944</v>
      </c>
      <c r="G167" s="109">
        <v>191</v>
      </c>
      <c r="H167" s="107">
        <f>IF(ISNUMBER(G167), (G167 - $B167) / $B167, "")</f>
        <v>4.9450549450549448E-2</v>
      </c>
      <c r="I167" s="110">
        <f>IF(ISNUMBER(G167), $B172 * H167, "")</f>
        <v>4945.0549450549452</v>
      </c>
      <c r="J167" s="106">
        <v>190</v>
      </c>
      <c r="K167" s="107">
        <f>IF(ISNUMBER(J167), (J167 - $B167) / $B167, "")</f>
        <v>4.3956043956043959E-2</v>
      </c>
      <c r="L167" s="108">
        <f>IF(ISNUMBER(J167), $B172 * K167, "")</f>
        <v>4395.6043956043959</v>
      </c>
      <c r="M167" s="109">
        <v>189</v>
      </c>
      <c r="N167" s="107">
        <f>IF(ISNUMBER(M167), (M167 - $B167) / $B167, "")</f>
        <v>3.8461538461538464E-2</v>
      </c>
      <c r="O167" s="108">
        <f>IF(ISNUMBER(M167), $B172 * N167, "")</f>
        <v>3846.1538461538462</v>
      </c>
      <c r="Q167" s="241"/>
      <c r="R167" s="241"/>
      <c r="S167" s="241"/>
    </row>
    <row r="168" spans="1:19" ht="17.25" thickBot="1">
      <c r="A168" s="125" t="s">
        <v>164</v>
      </c>
      <c r="B168" s="126">
        <v>311</v>
      </c>
      <c r="C168" s="77">
        <v>-5.7575757599999999E-2</v>
      </c>
      <c r="D168" s="15">
        <v>317</v>
      </c>
      <c r="E168" s="32">
        <f t="shared" ref="E168:E171" si="90">IF(ISNUMBER(D168), (D168 - $B168) / $B168, "")</f>
        <v>1.9292604501607719E-2</v>
      </c>
      <c r="F168" s="18">
        <f>IF(ISNUMBER(D168), $B172 * E168, "")</f>
        <v>1929.2604501607718</v>
      </c>
      <c r="G168" s="31">
        <v>325</v>
      </c>
      <c r="H168" s="32">
        <f t="shared" ref="H168:H171" si="91">IF(ISNUMBER(G168), (G168 - $B168) / $B168, "")</f>
        <v>4.5016077170418008E-2</v>
      </c>
      <c r="I168" s="101">
        <f>IF(ISNUMBER(G168), $B172 * H168, "")</f>
        <v>4501.6077170418012</v>
      </c>
      <c r="J168" s="15">
        <v>322</v>
      </c>
      <c r="K168" s="32">
        <f t="shared" ref="K168:K171" si="92">IF(ISNUMBER(J168), (J168 - $B168) / $B168, "")</f>
        <v>3.5369774919614148E-2</v>
      </c>
      <c r="L168" s="18">
        <f>IF(ISNUMBER(J168), $B172 * K168, "")</f>
        <v>3536.9774919614147</v>
      </c>
      <c r="M168" s="31">
        <v>323</v>
      </c>
      <c r="N168" s="32">
        <f t="shared" ref="N168:N171" si="93">IF(ISNUMBER(M168), (M168 - $B168) / $B168, "")</f>
        <v>3.8585209003215437E-2</v>
      </c>
      <c r="O168" s="18">
        <f>IF(ISNUMBER(M168), $B172 * N168, "")</f>
        <v>3858.5209003215436</v>
      </c>
      <c r="Q168" s="241"/>
      <c r="R168" s="241"/>
      <c r="S168" s="241"/>
    </row>
    <row r="169" spans="1:19" ht="17.25" thickBot="1">
      <c r="A169" s="125" t="s">
        <v>132</v>
      </c>
      <c r="B169" s="126">
        <v>114</v>
      </c>
      <c r="C169" s="77">
        <v>-5.7851239700000001E-2</v>
      </c>
      <c r="D169" s="15">
        <v>118</v>
      </c>
      <c r="E169" s="32">
        <f t="shared" si="90"/>
        <v>3.5087719298245612E-2</v>
      </c>
      <c r="F169" s="18">
        <f>IF(ISNUMBER(D169), $B172 * E169, "")</f>
        <v>3508.7719298245611</v>
      </c>
      <c r="G169" s="31">
        <v>121</v>
      </c>
      <c r="H169" s="32">
        <f t="shared" si="91"/>
        <v>6.1403508771929821E-2</v>
      </c>
      <c r="I169" s="101">
        <f>IF(ISNUMBER(G169), $B172 * H169, "")</f>
        <v>6140.3508771929819</v>
      </c>
      <c r="J169" s="15">
        <v>121</v>
      </c>
      <c r="K169" s="32">
        <f t="shared" si="92"/>
        <v>6.1403508771929821E-2</v>
      </c>
      <c r="L169" s="18">
        <f>IF(ISNUMBER(J169), $B172 * K169, "")</f>
        <v>6140.3508771929819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41"/>
      <c r="R169" s="241"/>
      <c r="S169" s="241"/>
    </row>
    <row r="170" spans="1:19">
      <c r="A170" s="125" t="s">
        <v>222</v>
      </c>
      <c r="B170" s="126">
        <v>146</v>
      </c>
      <c r="C170" s="77">
        <v>-5.8064516099999998E-2</v>
      </c>
      <c r="D170" s="15">
        <v>148</v>
      </c>
      <c r="E170" s="32">
        <f t="shared" si="90"/>
        <v>1.3698630136986301E-2</v>
      </c>
      <c r="F170" s="18">
        <f>IF(ISNUMBER(D170), $B172 * E170, "")</f>
        <v>1369.8630136986301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149</v>
      </c>
      <c r="K170" s="32">
        <f t="shared" si="92"/>
        <v>2.0547945205479451E-2</v>
      </c>
      <c r="L170" s="18">
        <f>IF(ISNUMBER(J170), $B172 * K170, "")</f>
        <v>2054.794520547945</v>
      </c>
      <c r="M170" s="31">
        <v>146</v>
      </c>
      <c r="N170" s="32">
        <f t="shared" si="93"/>
        <v>0</v>
      </c>
      <c r="O170" s="18">
        <f>IF(ISNUMBER(M170), $B172 * N170, "")</f>
        <v>0</v>
      </c>
      <c r="Q170" s="263"/>
      <c r="R170" s="264"/>
      <c r="S170" s="265"/>
    </row>
    <row r="171" spans="1:19" ht="17.25" thickBot="1">
      <c r="A171" s="130" t="s">
        <v>206</v>
      </c>
      <c r="B171" s="131">
        <v>334</v>
      </c>
      <c r="C171" s="79">
        <v>-5.9154929600000003E-2</v>
      </c>
      <c r="D171" s="24">
        <v>343</v>
      </c>
      <c r="E171" s="25">
        <f t="shared" si="90"/>
        <v>2.6946107784431138E-2</v>
      </c>
      <c r="F171" s="104">
        <f>IF(ISNUMBER(D171), $B172 * E171, "")</f>
        <v>2694.6107784431138</v>
      </c>
      <c r="G171" s="102">
        <v>349</v>
      </c>
      <c r="H171" s="25">
        <f t="shared" si="91"/>
        <v>4.4910179640718563E-2</v>
      </c>
      <c r="I171" s="103">
        <f>IF(ISNUMBER(G171), $B172 * H171, "")</f>
        <v>4491.0179640718561</v>
      </c>
      <c r="J171" s="24">
        <v>348</v>
      </c>
      <c r="K171" s="25">
        <f t="shared" si="92"/>
        <v>4.1916167664670656E-2</v>
      </c>
      <c r="L171" s="104">
        <f>IF(ISNUMBER(J171), $B172 * K171, "")</f>
        <v>4191.6167664670656</v>
      </c>
      <c r="M171" s="102">
        <v>349</v>
      </c>
      <c r="N171" s="25">
        <f t="shared" si="93"/>
        <v>4.4910179640718563E-2</v>
      </c>
      <c r="O171" s="104">
        <f>IF(ISNUMBER(M171), $B172 * N171, "")</f>
        <v>4491.0179640718561</v>
      </c>
      <c r="Q171" s="266"/>
      <c r="R171" s="267"/>
      <c r="S171" s="268"/>
    </row>
    <row r="172" spans="1:19" ht="17.25" thickBot="1">
      <c r="A172" s="132" t="s">
        <v>270</v>
      </c>
      <c r="B172" s="274">
        <f>$B$37</f>
        <v>100000</v>
      </c>
      <c r="C172" s="275"/>
      <c r="D172" s="26" t="s">
        <v>271</v>
      </c>
      <c r="E172" s="27">
        <f>IF(COUNT(E152:E171), SUM(E152:E171) / COUNT(E152:E171), 0)</f>
        <v>2.9181708151535351E-2</v>
      </c>
      <c r="F172" s="28">
        <f>SUM(F152:F171)</f>
        <v>58363.416303070706</v>
      </c>
      <c r="G172" s="26" t="s">
        <v>271</v>
      </c>
      <c r="H172" s="27">
        <f>IF(COUNT(H152:H171), SUM(H152:H171) / COUNT(H152:H171), 0)</f>
        <v>4.4873446740007851E-2</v>
      </c>
      <c r="I172" s="28">
        <f>SUM(I152:I171)</f>
        <v>89746.8934800157</v>
      </c>
      <c r="J172" s="26" t="s">
        <v>271</v>
      </c>
      <c r="K172" s="27">
        <f>IF(COUNT(K152:K171), SUM(K152:K171) / COUNT(K152:K171), 0)</f>
        <v>4.0111352774144224E-2</v>
      </c>
      <c r="L172" s="28">
        <f>SUM(L152:L171)</f>
        <v>80222.705548288475</v>
      </c>
      <c r="M172" s="26" t="s">
        <v>271</v>
      </c>
      <c r="N172" s="27">
        <f>IF(COUNT(N152:N171), SUM(N152:N171) / COUNT(N152:N171), 0)</f>
        <v>3.2992312670904619E-2</v>
      </c>
      <c r="O172" s="28">
        <f>SUM(O152:O171)</f>
        <v>65984.625341809238</v>
      </c>
      <c r="Q172" s="269"/>
      <c r="R172" s="270"/>
      <c r="S172" s="27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36"/>
      <c r="R175" s="236"/>
      <c r="S175" s="236"/>
    </row>
    <row r="176" spans="1:19" ht="17.25" thickBot="1">
      <c r="A176" s="207" t="s">
        <v>267</v>
      </c>
      <c r="B176" s="215" t="s">
        <v>49</v>
      </c>
      <c r="C176" s="217"/>
      <c r="D176" s="215" t="s">
        <v>58</v>
      </c>
      <c r="E176" s="216"/>
      <c r="F176" s="217"/>
      <c r="G176" s="242">
        <f>_xlfn.IFNA(VLOOKUP(B176, 현재가테이블!$B$2:$D$200, 2, FALSE), "-")</f>
        <v>53976000</v>
      </c>
      <c r="H176" s="243"/>
      <c r="I176" s="244"/>
      <c r="J176" s="215" t="s">
        <v>59</v>
      </c>
      <c r="K176" s="216"/>
      <c r="L176" s="217"/>
      <c r="M176" s="245">
        <f>_xlfn.IFNA(VLOOKUP(B176, 현재가테이블!$B$2:$D$200, 3, FALSE), "-")</f>
        <v>-2.1216407400000001E-2</v>
      </c>
      <c r="N176" s="246"/>
      <c r="O176" s="247"/>
      <c r="Q176" s="236"/>
      <c r="R176" s="236"/>
      <c r="S176" s="236"/>
    </row>
    <row r="177" spans="1:19" ht="17.25" thickBot="1">
      <c r="A177" s="276" t="s">
        <v>55</v>
      </c>
      <c r="B177" s="278" t="str">
        <f>TEXT($G$1, "[$-ko-KR]yyyy-mm-dd(ddd) ") &amp; "오전 00:00"</f>
        <v>2021-08-13(금) 오전 00:00</v>
      </c>
      <c r="C177" s="279"/>
      <c r="D177" s="238" t="str">
        <f>TEXT($G$1, "[$-ko-KR]yyyy-mm-dd(ddd) ") &amp; "오후 14:00"</f>
        <v>2021-08-13(금) 오후 14:00</v>
      </c>
      <c r="E177" s="239"/>
      <c r="F177" s="240"/>
      <c r="G177" s="238" t="str">
        <f>TEXT($G$1, "[$-ko-KR]yyyy-mm-dd(ddd) ") &amp; "오후 19:00"</f>
        <v>2021-08-13(금) 오후 19:00</v>
      </c>
      <c r="H177" s="239"/>
      <c r="I177" s="240"/>
      <c r="J177" s="238" t="str">
        <f>TEXT($G$1, "[$-ko-KR]yyyy-mm-dd(ddd) ") &amp; "오후 21:00"</f>
        <v>2021-08-13(금) 오후 21:00</v>
      </c>
      <c r="K177" s="239"/>
      <c r="L177" s="240"/>
      <c r="M177" s="238" t="str">
        <f>TEXT($G$1+1, "[$-ko-KR]yyyy-mm-dd(ddd) ") &amp; "오전 00:00"</f>
        <v>2021-08-14(토) 오전 00:00</v>
      </c>
      <c r="N177" s="239"/>
      <c r="O177" s="240"/>
      <c r="Q177" s="236"/>
      <c r="R177" s="236"/>
      <c r="S177" s="236"/>
    </row>
    <row r="178" spans="1:19" ht="17.25" thickBot="1">
      <c r="A178" s="27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8" t="s">
        <v>58</v>
      </c>
      <c r="H178" s="209" t="s">
        <v>268</v>
      </c>
      <c r="I178" s="21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1"/>
      <c r="R178" s="241"/>
      <c r="S178" s="241"/>
    </row>
    <row r="179" spans="1:19" ht="17.25" thickBot="1">
      <c r="A179" s="123" t="s">
        <v>216</v>
      </c>
      <c r="B179" s="124">
        <v>10.6</v>
      </c>
      <c r="C179" s="76">
        <v>-5.3571428599999998E-2</v>
      </c>
      <c r="D179" s="13">
        <v>11</v>
      </c>
      <c r="E179" s="14">
        <f>IF(ISNUMBER(D179), (D179 - $B179) / $B179, "")</f>
        <v>3.7735849056603807E-2</v>
      </c>
      <c r="F179" s="16">
        <f>IF(ISNUMBER(D179), $B199 * E179, "")</f>
        <v>3773.5849056603806</v>
      </c>
      <c r="G179" s="29">
        <v>11.2</v>
      </c>
      <c r="H179" s="14">
        <f>IF(ISNUMBER(G179), (G179 - $B179) / $B179, "")</f>
        <v>5.6603773584905627E-2</v>
      </c>
      <c r="I179" s="100">
        <f>IF(ISNUMBER(G179), $B199 * H179, "")</f>
        <v>5660.377358490563</v>
      </c>
      <c r="J179" s="13">
        <v>11.2</v>
      </c>
      <c r="K179" s="14">
        <f>IF(ISNUMBER(J179), (J179 - $B179) / $B179, "")</f>
        <v>5.6603773584905627E-2</v>
      </c>
      <c r="L179" s="16">
        <f>IF(ISNUMBER(J179), $B199 * K179, "")</f>
        <v>5660.377358490563</v>
      </c>
      <c r="M179" s="29">
        <v>11.2</v>
      </c>
      <c r="N179" s="14">
        <f>IF(ISNUMBER(M179), (M179 - $B179) / $B179, "")</f>
        <v>5.6603773584905627E-2</v>
      </c>
      <c r="O179" s="16">
        <f>IF(ISNUMBER(M179), $B199 * N179, "")</f>
        <v>5660.377358490563</v>
      </c>
      <c r="Q179" s="236"/>
      <c r="R179" s="236"/>
      <c r="S179" s="236"/>
    </row>
    <row r="180" spans="1:19" ht="17.25" thickBot="1">
      <c r="A180" s="125" t="s">
        <v>192</v>
      </c>
      <c r="B180" s="126">
        <v>228</v>
      </c>
      <c r="C180" s="77">
        <v>-5.3941908699999999E-2</v>
      </c>
      <c r="D180" s="15">
        <v>233</v>
      </c>
      <c r="E180" s="32">
        <f t="shared" ref="E180:E183" si="94">IF(ISNUMBER(D180), (D180 - $B180) / $B180, "")</f>
        <v>2.1929824561403508E-2</v>
      </c>
      <c r="F180" s="18">
        <f>IF(ISNUMBER(D180), $B199 * E180, "")</f>
        <v>2192.9824561403507</v>
      </c>
      <c r="G180" s="31">
        <v>237</v>
      </c>
      <c r="H180" s="32">
        <f t="shared" ref="H180:H183" si="95">IF(ISNUMBER(G180), (G180 - $B180) / $B180, "")</f>
        <v>3.9473684210526314E-2</v>
      </c>
      <c r="I180" s="101">
        <f>IF(ISNUMBER(G180), $B199 * H180, "")</f>
        <v>3947.3684210526312</v>
      </c>
      <c r="J180" s="15">
        <v>236</v>
      </c>
      <c r="K180" s="32">
        <f t="shared" ref="K180:K183" si="96">IF(ISNUMBER(J180), (J180 - $B180) / $B180, "")</f>
        <v>3.5087719298245612E-2</v>
      </c>
      <c r="L180" s="18">
        <f>IF(ISNUMBER(J180), $B199 * K180, "")</f>
        <v>3508.7719298245611</v>
      </c>
      <c r="M180" s="31">
        <v>235</v>
      </c>
      <c r="N180" s="32">
        <f t="shared" ref="N180:N183" si="97">IF(ISNUMBER(M180), (M180 - $B180) / $B180, "")</f>
        <v>3.0701754385964911E-2</v>
      </c>
      <c r="O180" s="18">
        <f>IF(ISNUMBER(M180), $B199 * N180, "")</f>
        <v>3070.1754385964909</v>
      </c>
      <c r="Q180" s="236"/>
      <c r="R180" s="236"/>
      <c r="S180" s="236"/>
    </row>
    <row r="181" spans="1:19" ht="17.25" thickBot="1">
      <c r="A181" s="125" t="s">
        <v>236</v>
      </c>
      <c r="B181" s="126">
        <v>612</v>
      </c>
      <c r="C181" s="77">
        <v>-5.4095826899999998E-2</v>
      </c>
      <c r="D181" s="15">
        <v>623</v>
      </c>
      <c r="E181" s="32">
        <f t="shared" si="94"/>
        <v>1.7973856209150325E-2</v>
      </c>
      <c r="F181" s="18">
        <f>IF(ISNUMBER(D181), $B199 * E181, "")</f>
        <v>1797.3856209150326</v>
      </c>
      <c r="G181" s="31">
        <v>637</v>
      </c>
      <c r="H181" s="32">
        <f t="shared" si="95"/>
        <v>4.084967320261438E-2</v>
      </c>
      <c r="I181" s="101">
        <f>IF(ISNUMBER(G181), $B199 * H181, "")</f>
        <v>4084.9673202614381</v>
      </c>
      <c r="J181" s="15">
        <v>636</v>
      </c>
      <c r="K181" s="32">
        <f t="shared" si="96"/>
        <v>3.9215686274509803E-2</v>
      </c>
      <c r="L181" s="18">
        <f>IF(ISNUMBER(J181), $B199 * K181, "")</f>
        <v>3921.5686274509803</v>
      </c>
      <c r="M181" s="31">
        <v>634</v>
      </c>
      <c r="N181" s="32">
        <f t="shared" si="97"/>
        <v>3.5947712418300651E-2</v>
      </c>
      <c r="O181" s="18">
        <f>IF(ISNUMBER(M181), $B199 * N181, "")</f>
        <v>3594.7712418300653</v>
      </c>
      <c r="Q181" s="241"/>
      <c r="R181" s="241"/>
      <c r="S181" s="241"/>
    </row>
    <row r="182" spans="1:19" ht="17.25" thickBot="1">
      <c r="A182" s="125" t="s">
        <v>108</v>
      </c>
      <c r="B182" s="126">
        <v>1295</v>
      </c>
      <c r="C182" s="77">
        <v>-5.4744525500000002E-2</v>
      </c>
      <c r="D182" s="15">
        <v>1330</v>
      </c>
      <c r="E182" s="32">
        <f t="shared" si="94"/>
        <v>2.7027027027027029E-2</v>
      </c>
      <c r="F182" s="18">
        <f>IF(ISNUMBER(D182), $B199 * E182, "")</f>
        <v>2702.7027027027029</v>
      </c>
      <c r="G182" s="31">
        <v>1380</v>
      </c>
      <c r="H182" s="32">
        <f t="shared" si="95"/>
        <v>6.5637065637065631E-2</v>
      </c>
      <c r="I182" s="101">
        <f>IF(ISNUMBER(G182), $B199 * H182, "")</f>
        <v>6563.7065637065634</v>
      </c>
      <c r="J182" s="15">
        <v>1370</v>
      </c>
      <c r="K182" s="32">
        <f t="shared" si="96"/>
        <v>5.7915057915057917E-2</v>
      </c>
      <c r="L182" s="18">
        <f>IF(ISNUMBER(J182), $B199 * K182, "")</f>
        <v>5791.5057915057914</v>
      </c>
      <c r="M182" s="31">
        <v>1360</v>
      </c>
      <c r="N182" s="32">
        <f t="shared" si="97"/>
        <v>5.019305019305019E-2</v>
      </c>
      <c r="O182" s="18">
        <f>IF(ISNUMBER(M182), $B199 * N182, "")</f>
        <v>5019.3050193050194</v>
      </c>
      <c r="Q182" s="241"/>
      <c r="R182" s="241"/>
      <c r="S182" s="241"/>
    </row>
    <row r="183" spans="1:19" ht="17.25" thickBot="1">
      <c r="A183" s="127" t="s">
        <v>102</v>
      </c>
      <c r="B183" s="128">
        <v>1105</v>
      </c>
      <c r="C183" s="78">
        <v>-5.5555555600000001E-2</v>
      </c>
      <c r="D183" s="20">
        <v>1155</v>
      </c>
      <c r="E183" s="21">
        <f t="shared" si="94"/>
        <v>4.5248868778280542E-2</v>
      </c>
      <c r="F183" s="22">
        <f>IF(ISNUMBER(D183), $B199 * E183, "")</f>
        <v>4524.8868778280539</v>
      </c>
      <c r="G183" s="30">
        <v>1200</v>
      </c>
      <c r="H183" s="21">
        <f t="shared" si="95"/>
        <v>8.5972850678733032E-2</v>
      </c>
      <c r="I183" s="105">
        <f>IF(ISNUMBER(G183), $B199 * H183, "")</f>
        <v>8597.285067873303</v>
      </c>
      <c r="J183" s="20">
        <v>1185</v>
      </c>
      <c r="K183" s="21">
        <f t="shared" si="96"/>
        <v>7.2398190045248875E-2</v>
      </c>
      <c r="L183" s="22">
        <f>IF(ISNUMBER(J183), $B199 * K183, "")</f>
        <v>7239.8190045248875</v>
      </c>
      <c r="M183" s="30">
        <v>1165</v>
      </c>
      <c r="N183" s="21">
        <f t="shared" si="97"/>
        <v>5.4298642533936653E-2</v>
      </c>
      <c r="O183" s="22">
        <f>IF(ISNUMBER(M183), $B199 * N183, "")</f>
        <v>5429.8642533936654</v>
      </c>
      <c r="Q183" s="241"/>
      <c r="R183" s="241"/>
      <c r="S183" s="241"/>
    </row>
    <row r="184" spans="1:19" ht="17.25" thickBot="1">
      <c r="A184" s="125" t="s">
        <v>124</v>
      </c>
      <c r="B184" s="129">
        <v>356</v>
      </c>
      <c r="C184" s="80">
        <v>-5.5702917800000001E-2</v>
      </c>
      <c r="D184" s="106">
        <v>384</v>
      </c>
      <c r="E184" s="107">
        <f>IF(ISNUMBER(D184), (D184 - $B184) / $B184, "")</f>
        <v>7.8651685393258425E-2</v>
      </c>
      <c r="F184" s="108">
        <f>IF(ISNUMBER(D184), $B199 * E184, "")</f>
        <v>7865.1685393258422</v>
      </c>
      <c r="G184" s="109">
        <v>387</v>
      </c>
      <c r="H184" s="107">
        <f>IF(ISNUMBER(G184), (G184 - $B184) / $B184, "")</f>
        <v>8.7078651685393263E-2</v>
      </c>
      <c r="I184" s="110">
        <f>IF(ISNUMBER(G184), $B199 * H184, "")</f>
        <v>8707.865168539327</v>
      </c>
      <c r="J184" s="106">
        <v>387</v>
      </c>
      <c r="K184" s="107">
        <f>IF(ISNUMBER(J184), (J184 - $B184) / $B184, "")</f>
        <v>8.7078651685393263E-2</v>
      </c>
      <c r="L184" s="108">
        <f>IF(ISNUMBER(J184), $B199 * K184, "")</f>
        <v>8707.865168539327</v>
      </c>
      <c r="M184" s="109">
        <v>382</v>
      </c>
      <c r="N184" s="107">
        <f>IF(ISNUMBER(M184), (M184 - $B184) / $B184, "")</f>
        <v>7.3033707865168537E-2</v>
      </c>
      <c r="O184" s="108">
        <f>IF(ISNUMBER(M184), $B199 * N184, "")</f>
        <v>7303.3707865168535</v>
      </c>
      <c r="Q184" s="241"/>
      <c r="R184" s="241"/>
      <c r="S184" s="241"/>
    </row>
    <row r="185" spans="1:19" ht="17.25" thickBot="1">
      <c r="A185" s="125" t="s">
        <v>224</v>
      </c>
      <c r="B185" s="126">
        <v>4460</v>
      </c>
      <c r="C185" s="77">
        <v>-5.6084656099999998E-2</v>
      </c>
      <c r="D185" s="15">
        <v>4700</v>
      </c>
      <c r="E185" s="32">
        <f t="shared" ref="E185:E188" si="98">IF(ISNUMBER(D185), (D185 - $B185) / $B185, "")</f>
        <v>5.3811659192825115E-2</v>
      </c>
      <c r="F185" s="18">
        <f>IF(ISNUMBER(D185), $B199 * E185, "")</f>
        <v>5381.1659192825118</v>
      </c>
      <c r="G185" s="31">
        <v>4800</v>
      </c>
      <c r="H185" s="32">
        <f t="shared" ref="H185:H188" si="99">IF(ISNUMBER(G185), (G185 - $B185) / $B185, "")</f>
        <v>7.623318385650224E-2</v>
      </c>
      <c r="I185" s="101">
        <f>IF(ISNUMBER(G185), $B199 * H185, "")</f>
        <v>7623.3183856502237</v>
      </c>
      <c r="J185" s="15">
        <v>4755</v>
      </c>
      <c r="K185" s="32">
        <f t="shared" ref="K185:K188" si="100">IF(ISNUMBER(J185), (J185 - $B185) / $B185, "")</f>
        <v>6.614349775784753E-2</v>
      </c>
      <c r="L185" s="18">
        <f>IF(ISNUMBER(J185), $B199 * K185, "")</f>
        <v>6614.3497757847526</v>
      </c>
      <c r="M185" s="31">
        <v>4700</v>
      </c>
      <c r="N185" s="32">
        <f t="shared" ref="N185:N188" si="101">IF(ISNUMBER(M185), (M185 - $B185) / $B185, "")</f>
        <v>5.3811659192825115E-2</v>
      </c>
      <c r="O185" s="18">
        <f>IF(ISNUMBER(M185), $B199 * N185, "")</f>
        <v>5381.1659192825118</v>
      </c>
      <c r="Q185" s="241"/>
      <c r="R185" s="241"/>
      <c r="S185" s="241"/>
    </row>
    <row r="186" spans="1:19" ht="17.25" thickBot="1">
      <c r="A186" s="125" t="s">
        <v>184</v>
      </c>
      <c r="B186" s="126">
        <v>1000</v>
      </c>
      <c r="C186" s="77">
        <v>-5.6603773599999997E-2</v>
      </c>
      <c r="D186" s="15">
        <v>1015</v>
      </c>
      <c r="E186" s="32">
        <f t="shared" si="98"/>
        <v>1.4999999999999999E-2</v>
      </c>
      <c r="F186" s="18">
        <f>IF(ISNUMBER(D186), $B199 * E186, "")</f>
        <v>1500</v>
      </c>
      <c r="G186" s="31">
        <v>1055</v>
      </c>
      <c r="H186" s="32">
        <f t="shared" si="99"/>
        <v>5.5E-2</v>
      </c>
      <c r="I186" s="101">
        <f>IF(ISNUMBER(G186), $B199 * H186, "")</f>
        <v>5500</v>
      </c>
      <c r="J186" s="15">
        <v>1040</v>
      </c>
      <c r="K186" s="32">
        <f t="shared" si="100"/>
        <v>0.04</v>
      </c>
      <c r="L186" s="18">
        <f>IF(ISNUMBER(J186), $B199 * K186, "")</f>
        <v>4000</v>
      </c>
      <c r="M186" s="31">
        <v>1030</v>
      </c>
      <c r="N186" s="32">
        <f t="shared" si="101"/>
        <v>0.03</v>
      </c>
      <c r="O186" s="18">
        <f>IF(ISNUMBER(M186), $B199 * N186, "")</f>
        <v>3000</v>
      </c>
      <c r="Q186" s="241"/>
      <c r="R186" s="241"/>
      <c r="S186" s="241"/>
    </row>
    <row r="187" spans="1:19" ht="17.25" thickBot="1">
      <c r="A187" s="125" t="s">
        <v>160</v>
      </c>
      <c r="B187" s="126">
        <v>1325</v>
      </c>
      <c r="C187" s="77">
        <v>-5.69395018E-2</v>
      </c>
      <c r="D187" s="15">
        <v>1360</v>
      </c>
      <c r="E187" s="32">
        <f t="shared" si="98"/>
        <v>2.6415094339622643E-2</v>
      </c>
      <c r="F187" s="18">
        <f>IF(ISNUMBER(D187), $B199 * E187, "")</f>
        <v>2641.5094339622642</v>
      </c>
      <c r="G187" s="31">
        <v>1410</v>
      </c>
      <c r="H187" s="32">
        <f t="shared" si="99"/>
        <v>6.4150943396226415E-2</v>
      </c>
      <c r="I187" s="101">
        <f>IF(ISNUMBER(G187), $B199 * H187, "")</f>
        <v>6415.0943396226412</v>
      </c>
      <c r="J187" s="15">
        <v>1390</v>
      </c>
      <c r="K187" s="32">
        <f t="shared" si="100"/>
        <v>4.9056603773584909E-2</v>
      </c>
      <c r="L187" s="18">
        <f>IF(ISNUMBER(J187), $B199 * K187, "")</f>
        <v>4905.6603773584911</v>
      </c>
      <c r="M187" s="31">
        <v>1415</v>
      </c>
      <c r="N187" s="32">
        <f t="shared" si="101"/>
        <v>6.7924528301886791E-2</v>
      </c>
      <c r="O187" s="18">
        <f>IF(ISNUMBER(M187), $B199 * N187, "")</f>
        <v>6792.4528301886794</v>
      </c>
      <c r="Q187" s="33"/>
      <c r="R187" s="33"/>
    </row>
    <row r="188" spans="1:19" ht="17.25" thickBot="1">
      <c r="A188" s="130" t="s">
        <v>110</v>
      </c>
      <c r="B188" s="131">
        <v>182</v>
      </c>
      <c r="C188" s="79">
        <v>-5.6994818699999998E-2</v>
      </c>
      <c r="D188" s="24">
        <v>192</v>
      </c>
      <c r="E188" s="25">
        <f t="shared" si="98"/>
        <v>5.4945054945054944E-2</v>
      </c>
      <c r="F188" s="104">
        <f>IF(ISNUMBER(D188), $B199 * E188, "")</f>
        <v>5494.5054945054944</v>
      </c>
      <c r="G188" s="102">
        <v>191</v>
      </c>
      <c r="H188" s="25">
        <f t="shared" si="99"/>
        <v>4.9450549450549448E-2</v>
      </c>
      <c r="I188" s="103">
        <f>IF(ISNUMBER(G188), $B199 * H188, "")</f>
        <v>4945.0549450549452</v>
      </c>
      <c r="J188" s="24">
        <v>190</v>
      </c>
      <c r="K188" s="25">
        <f t="shared" si="100"/>
        <v>4.3956043956043959E-2</v>
      </c>
      <c r="L188" s="104">
        <f>IF(ISNUMBER(J188), $B199 * K188, "")</f>
        <v>4395.6043956043959</v>
      </c>
      <c r="M188" s="102">
        <v>189</v>
      </c>
      <c r="N188" s="25">
        <f t="shared" si="101"/>
        <v>3.8461538461538464E-2</v>
      </c>
      <c r="O188" s="104">
        <f>IF(ISNUMBER(M188), $B199 * N188, "")</f>
        <v>3846.1538461538462</v>
      </c>
      <c r="Q188" s="250"/>
      <c r="R188" s="251"/>
      <c r="S188" s="252"/>
    </row>
    <row r="189" spans="1:19">
      <c r="A189" s="123" t="s">
        <v>164</v>
      </c>
      <c r="B189" s="124">
        <v>311</v>
      </c>
      <c r="C189" s="76">
        <v>-5.7575757599999999E-2</v>
      </c>
      <c r="D189" s="13">
        <v>317</v>
      </c>
      <c r="E189" s="14">
        <f>IF(ISNUMBER(D189), (D189 - $B189) / $B189, "")</f>
        <v>1.9292604501607719E-2</v>
      </c>
      <c r="F189" s="16">
        <f>IF(ISNUMBER(D189), $B199 * E189, "")</f>
        <v>1929.2604501607718</v>
      </c>
      <c r="G189" s="29">
        <v>325</v>
      </c>
      <c r="H189" s="14">
        <f>IF(ISNUMBER(G189), (G189 - $B189) / $B189, "")</f>
        <v>4.5016077170418008E-2</v>
      </c>
      <c r="I189" s="100">
        <f>IF(ISNUMBER(G189), $B199 * H189, "")</f>
        <v>4501.6077170418012</v>
      </c>
      <c r="J189" s="13">
        <v>322</v>
      </c>
      <c r="K189" s="14">
        <f>IF(ISNUMBER(J189), (J189 - $B189) / $B189, "")</f>
        <v>3.5369774919614148E-2</v>
      </c>
      <c r="L189" s="16">
        <f>IF(ISNUMBER(J189), $B199 * K189, "")</f>
        <v>3536.9774919614147</v>
      </c>
      <c r="M189" s="29">
        <v>323</v>
      </c>
      <c r="N189" s="14">
        <f>IF(ISNUMBER(M189), (M189 - $B189) / $B189, "")</f>
        <v>3.8585209003215437E-2</v>
      </c>
      <c r="O189" s="16">
        <f>IF(ISNUMBER(M189), $B199 * N189, "")</f>
        <v>3858.5209003215436</v>
      </c>
      <c r="Q189" s="253"/>
      <c r="R189" s="254"/>
      <c r="S189" s="255"/>
    </row>
    <row r="190" spans="1:19" ht="17.25" thickBot="1">
      <c r="A190" s="125" t="s">
        <v>178</v>
      </c>
      <c r="B190" s="126">
        <v>16.3</v>
      </c>
      <c r="C190" s="77">
        <v>-5.7803468199999999E-2</v>
      </c>
      <c r="D190" s="15">
        <v>17</v>
      </c>
      <c r="E190" s="32">
        <f t="shared" ref="E190:E193" si="102">IF(ISNUMBER(D190), (D190 - $B190) / $B190, "")</f>
        <v>4.2944785276073573E-2</v>
      </c>
      <c r="F190" s="18">
        <f>IF(ISNUMBER(D190), $B199 * E190, "")</f>
        <v>4294.4785276073571</v>
      </c>
      <c r="G190" s="31">
        <v>17.100000000000001</v>
      </c>
      <c r="H190" s="32">
        <f t="shared" ref="H190:H193" si="103">IF(ISNUMBER(G190), (G190 - $B190) / $B190, "")</f>
        <v>4.9079754601227037E-2</v>
      </c>
      <c r="I190" s="101">
        <f>IF(ISNUMBER(G190), $B199 * H190, "")</f>
        <v>4907.9754601227032</v>
      </c>
      <c r="J190" s="15">
        <v>17.100000000000001</v>
      </c>
      <c r="K190" s="32">
        <f t="shared" ref="K190:K193" si="104">IF(ISNUMBER(J190), (J190 - $B190) / $B190, "")</f>
        <v>4.9079754601227037E-2</v>
      </c>
      <c r="L190" s="18">
        <f>IF(ISNUMBER(J190), $B199 * K190, "")</f>
        <v>4907.9754601227032</v>
      </c>
      <c r="M190" s="31">
        <v>17</v>
      </c>
      <c r="N190" s="32">
        <f t="shared" ref="N190:N193" si="105">IF(ISNUMBER(M190), (M190 - $B190) / $B190, "")</f>
        <v>4.2944785276073573E-2</v>
      </c>
      <c r="O190" s="18">
        <f>IF(ISNUMBER(M190), $B199 * N190, "")</f>
        <v>4294.4785276073571</v>
      </c>
      <c r="Q190" s="256"/>
      <c r="R190" s="257"/>
      <c r="S190" s="258"/>
    </row>
    <row r="191" spans="1:19" ht="17.25" thickBot="1">
      <c r="A191" s="125" t="s">
        <v>132</v>
      </c>
      <c r="B191" s="126">
        <v>114</v>
      </c>
      <c r="C191" s="77">
        <v>-5.7851239700000001E-2</v>
      </c>
      <c r="D191" s="15">
        <v>118</v>
      </c>
      <c r="E191" s="32">
        <f t="shared" si="102"/>
        <v>3.5087719298245612E-2</v>
      </c>
      <c r="F191" s="18">
        <f>IF(ISNUMBER(D191), $B199 * E191, "")</f>
        <v>3508.7719298245611</v>
      </c>
      <c r="G191" s="31">
        <v>121</v>
      </c>
      <c r="H191" s="32">
        <f t="shared" si="103"/>
        <v>6.1403508771929821E-2</v>
      </c>
      <c r="I191" s="101">
        <f>IF(ISNUMBER(G191), $B199 * H191, "")</f>
        <v>6140.3508771929819</v>
      </c>
      <c r="J191" s="15">
        <v>121</v>
      </c>
      <c r="K191" s="32">
        <f t="shared" si="104"/>
        <v>6.1403508771929821E-2</v>
      </c>
      <c r="L191" s="18">
        <f>IF(ISNUMBER(J191), $B199 * K191, "")</f>
        <v>6140.3508771929819</v>
      </c>
      <c r="M191" s="31">
        <v>118</v>
      </c>
      <c r="N191" s="32">
        <f t="shared" si="105"/>
        <v>3.5087719298245612E-2</v>
      </c>
      <c r="O191" s="18">
        <f>IF(ISNUMBER(M191), $B199 * N191, "")</f>
        <v>3508.7719298245611</v>
      </c>
      <c r="Q191" s="241"/>
      <c r="R191" s="241"/>
      <c r="S191" s="241"/>
    </row>
    <row r="192" spans="1:19" ht="17.25" thickBot="1">
      <c r="A192" s="125" t="s">
        <v>222</v>
      </c>
      <c r="B192" s="126">
        <v>146</v>
      </c>
      <c r="C192" s="77">
        <v>-5.8064516099999998E-2</v>
      </c>
      <c r="D192" s="15">
        <v>148</v>
      </c>
      <c r="E192" s="32">
        <f t="shared" si="102"/>
        <v>1.3698630136986301E-2</v>
      </c>
      <c r="F192" s="18">
        <f>IF(ISNUMBER(D192), $B199 * E192, "")</f>
        <v>1369.8630136986301</v>
      </c>
      <c r="G192" s="31">
        <v>150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149</v>
      </c>
      <c r="K192" s="32">
        <f t="shared" si="104"/>
        <v>2.0547945205479451E-2</v>
      </c>
      <c r="L192" s="18">
        <f>IF(ISNUMBER(J192), $B199 * K192, "")</f>
        <v>2054.794520547945</v>
      </c>
      <c r="M192" s="31">
        <v>146</v>
      </c>
      <c r="N192" s="32">
        <f t="shared" si="105"/>
        <v>0</v>
      </c>
      <c r="O192" s="18">
        <f>IF(ISNUMBER(M192), $B199 * N192, "")</f>
        <v>0</v>
      </c>
      <c r="Q192" s="236"/>
      <c r="R192" s="236"/>
      <c r="S192" s="236"/>
    </row>
    <row r="193" spans="1:19" ht="17.25" thickBot="1">
      <c r="A193" s="127" t="s">
        <v>176</v>
      </c>
      <c r="B193" s="128">
        <v>1540</v>
      </c>
      <c r="C193" s="78">
        <v>-5.8103975500000002E-2</v>
      </c>
      <c r="D193" s="20">
        <v>1565</v>
      </c>
      <c r="E193" s="21">
        <f t="shared" si="102"/>
        <v>1.6233766233766232E-2</v>
      </c>
      <c r="F193" s="22">
        <f>IF(ISNUMBER(D193), $B199 * E193, "")</f>
        <v>1623.3766233766232</v>
      </c>
      <c r="G193" s="30">
        <v>1600</v>
      </c>
      <c r="H193" s="21">
        <f t="shared" si="103"/>
        <v>3.896103896103896E-2</v>
      </c>
      <c r="I193" s="105">
        <f>IF(ISNUMBER(G193), $B199 * H193, "")</f>
        <v>3896.1038961038962</v>
      </c>
      <c r="J193" s="20">
        <v>1590</v>
      </c>
      <c r="K193" s="21">
        <f t="shared" si="104"/>
        <v>3.2467532467532464E-2</v>
      </c>
      <c r="L193" s="22">
        <f>IF(ISNUMBER(J193), $B199 * K193, "")</f>
        <v>3246.7532467532465</v>
      </c>
      <c r="M193" s="30">
        <v>1570</v>
      </c>
      <c r="N193" s="21">
        <f t="shared" si="105"/>
        <v>1.948051948051948E-2</v>
      </c>
      <c r="O193" s="22">
        <f>IF(ISNUMBER(M193), $B199 * N193, "")</f>
        <v>1948.0519480519481</v>
      </c>
      <c r="Q193" s="236"/>
      <c r="R193" s="236"/>
      <c r="S193" s="236"/>
    </row>
    <row r="194" spans="1:19" ht="17.25" thickBot="1">
      <c r="A194" s="125" t="s">
        <v>206</v>
      </c>
      <c r="B194" s="129">
        <v>334</v>
      </c>
      <c r="C194" s="80">
        <v>-5.9154929600000003E-2</v>
      </c>
      <c r="D194" s="106">
        <v>343</v>
      </c>
      <c r="E194" s="107">
        <f>IF(ISNUMBER(D194), (D194 - $B194) / $B194, "")</f>
        <v>2.6946107784431138E-2</v>
      </c>
      <c r="F194" s="108">
        <f>IF(ISNUMBER(D194), $B199 * E194, "")</f>
        <v>2694.6107784431138</v>
      </c>
      <c r="G194" s="109">
        <v>349</v>
      </c>
      <c r="H194" s="107">
        <f>IF(ISNUMBER(G194), (G194 - $B194) / $B194, "")</f>
        <v>4.4910179640718563E-2</v>
      </c>
      <c r="I194" s="110">
        <f>IF(ISNUMBER(G194), $B199 * H194, "")</f>
        <v>4491.0179640718561</v>
      </c>
      <c r="J194" s="106">
        <v>348</v>
      </c>
      <c r="K194" s="107">
        <f>IF(ISNUMBER(J194), (J194 - $B194) / $B194, "")</f>
        <v>4.1916167664670656E-2</v>
      </c>
      <c r="L194" s="108">
        <f>IF(ISNUMBER(J194), $B199 * K194, "")</f>
        <v>4191.6167664670656</v>
      </c>
      <c r="M194" s="109">
        <v>349</v>
      </c>
      <c r="N194" s="107">
        <f>IF(ISNUMBER(M194), (M194 - $B194) / $B194, "")</f>
        <v>4.4910179640718563E-2</v>
      </c>
      <c r="O194" s="108">
        <f>IF(ISNUMBER(M194), $B199 * N194, "")</f>
        <v>4491.0179640718561</v>
      </c>
      <c r="Q194" s="241"/>
      <c r="R194" s="241"/>
      <c r="S194" s="241"/>
    </row>
    <row r="195" spans="1:19" ht="17.25" thickBot="1">
      <c r="A195" s="125" t="s">
        <v>106</v>
      </c>
      <c r="B195" s="126">
        <v>63550</v>
      </c>
      <c r="C195" s="77">
        <v>-6.0328256699999999E-2</v>
      </c>
      <c r="D195" s="15">
        <v>64350</v>
      </c>
      <c r="E195" s="32">
        <f t="shared" ref="E195:E198" si="106">IF(ISNUMBER(D195), (D195 - $B195) / $B195, "")</f>
        <v>1.2588512981904013E-2</v>
      </c>
      <c r="F195" s="18">
        <f>IF(ISNUMBER(D195), $B199 * E195, "")</f>
        <v>1258.8512981904012</v>
      </c>
      <c r="G195" s="31">
        <v>65600</v>
      </c>
      <c r="H195" s="32">
        <f t="shared" ref="H195:H198" si="107">IF(ISNUMBER(G195), (G195 - $B195) / $B195, "")</f>
        <v>3.2258064516129031E-2</v>
      </c>
      <c r="I195" s="101">
        <f>IF(ISNUMBER(G195), $B199 * H195, "")</f>
        <v>3225.8064516129029</v>
      </c>
      <c r="J195" s="15">
        <v>65030</v>
      </c>
      <c r="K195" s="32">
        <f t="shared" ref="K195:K198" si="108">IF(ISNUMBER(J195), (J195 - $B195) / $B195, "")</f>
        <v>2.3288749016522423E-2</v>
      </c>
      <c r="L195" s="18">
        <f>IF(ISNUMBER(J195), $B199 * K195, "")</f>
        <v>2328.8749016522424</v>
      </c>
      <c r="M195" s="31">
        <v>64510</v>
      </c>
      <c r="N195" s="32">
        <f t="shared" ref="N195:N198" si="109">IF(ISNUMBER(M195), (M195 - $B195) / $B195, "")</f>
        <v>1.5106215578284815E-2</v>
      </c>
      <c r="O195" s="18">
        <f>IF(ISNUMBER(M195), $B199 * N195, "")</f>
        <v>1510.6215578284814</v>
      </c>
      <c r="Q195" s="241"/>
      <c r="R195" s="241"/>
      <c r="S195" s="241"/>
    </row>
    <row r="196" spans="1:19" ht="17.25" thickBot="1">
      <c r="A196" s="125" t="s">
        <v>168</v>
      </c>
      <c r="B196" s="126">
        <v>1555</v>
      </c>
      <c r="C196" s="77">
        <v>-6.04229607E-2</v>
      </c>
      <c r="D196" s="15">
        <v>1585</v>
      </c>
      <c r="E196" s="32">
        <f t="shared" si="106"/>
        <v>1.9292604501607719E-2</v>
      </c>
      <c r="F196" s="18">
        <f>IF(ISNUMBER(D196), $B199 * E196, "")</f>
        <v>1929.2604501607718</v>
      </c>
      <c r="G196" s="31">
        <v>1615</v>
      </c>
      <c r="H196" s="32">
        <f t="shared" si="107"/>
        <v>3.8585209003215437E-2</v>
      </c>
      <c r="I196" s="101">
        <f>IF(ISNUMBER(G196), $B199 * H196, "")</f>
        <v>3858.5209003215436</v>
      </c>
      <c r="J196" s="15">
        <v>1605</v>
      </c>
      <c r="K196" s="32">
        <f t="shared" si="108"/>
        <v>3.215434083601286E-2</v>
      </c>
      <c r="L196" s="18">
        <f>IF(ISNUMBER(J196), $B199 * K196, "")</f>
        <v>3215.4340836012861</v>
      </c>
      <c r="M196" s="31">
        <v>1595</v>
      </c>
      <c r="N196" s="32">
        <f t="shared" si="109"/>
        <v>2.5723472668810289E-2</v>
      </c>
      <c r="O196" s="18">
        <f>IF(ISNUMBER(M196), $B199 * N196, "")</f>
        <v>2572.3472668810291</v>
      </c>
      <c r="Q196" s="241"/>
      <c r="R196" s="241"/>
      <c r="S196" s="241"/>
    </row>
    <row r="197" spans="1:19">
      <c r="A197" s="125" t="s">
        <v>170</v>
      </c>
      <c r="B197" s="126">
        <v>31010</v>
      </c>
      <c r="C197" s="77">
        <v>-6.1156524400000002E-2</v>
      </c>
      <c r="D197" s="15">
        <v>31410</v>
      </c>
      <c r="E197" s="32">
        <f t="shared" si="106"/>
        <v>1.2899064817800709E-2</v>
      </c>
      <c r="F197" s="18">
        <f>IF(ISNUMBER(D197), $B199 * E197, "")</f>
        <v>1289.9064817800709</v>
      </c>
      <c r="G197" s="31">
        <v>32010</v>
      </c>
      <c r="H197" s="32">
        <f t="shared" si="107"/>
        <v>3.2247662044501774E-2</v>
      </c>
      <c r="I197" s="101">
        <f>IF(ISNUMBER(G197), $B199 * H197, "")</f>
        <v>3224.7662044501772</v>
      </c>
      <c r="J197" s="15">
        <v>31850</v>
      </c>
      <c r="K197" s="32">
        <f t="shared" si="108"/>
        <v>2.7088036117381489E-2</v>
      </c>
      <c r="L197" s="18">
        <f>IF(ISNUMBER(J197), $B199 * K197, "")</f>
        <v>2708.8036117381489</v>
      </c>
      <c r="M197" s="31">
        <v>31640</v>
      </c>
      <c r="N197" s="32">
        <f t="shared" si="109"/>
        <v>2.0316027088036117E-2</v>
      </c>
      <c r="O197" s="18">
        <f>IF(ISNUMBER(M197), $B199 * N197, "")</f>
        <v>2031.6027088036117</v>
      </c>
      <c r="Q197" s="263"/>
      <c r="R197" s="264"/>
      <c r="S197" s="265"/>
    </row>
    <row r="198" spans="1:19" ht="17.25" thickBot="1">
      <c r="A198" s="130" t="s">
        <v>122</v>
      </c>
      <c r="B198" s="131">
        <v>32.6</v>
      </c>
      <c r="C198" s="79">
        <v>-6.3218390799999996E-2</v>
      </c>
      <c r="D198" s="24">
        <v>33.4</v>
      </c>
      <c r="E198" s="25">
        <f t="shared" si="106"/>
        <v>2.4539877300613407E-2</v>
      </c>
      <c r="F198" s="104">
        <f>IF(ISNUMBER(D198), $B199 * E198, "")</f>
        <v>2453.9877300613407</v>
      </c>
      <c r="G198" s="102">
        <v>35.1</v>
      </c>
      <c r="H198" s="25">
        <f t="shared" si="107"/>
        <v>7.6687116564417179E-2</v>
      </c>
      <c r="I198" s="103">
        <f>IF(ISNUMBER(G198), $B199 * H198, "")</f>
        <v>7668.7116564417183</v>
      </c>
      <c r="J198" s="24">
        <v>34.700000000000003</v>
      </c>
      <c r="K198" s="25">
        <f t="shared" si="108"/>
        <v>6.4417177914110474E-2</v>
      </c>
      <c r="L198" s="104">
        <f>IF(ISNUMBER(J198), $B199 * K198, "")</f>
        <v>6441.7177914110471</v>
      </c>
      <c r="M198" s="102">
        <v>33.799999999999997</v>
      </c>
      <c r="N198" s="25">
        <f t="shared" si="109"/>
        <v>3.6809815950920116E-2</v>
      </c>
      <c r="O198" s="104">
        <f>IF(ISNUMBER(M198), $B199 * N198, "")</f>
        <v>3680.9815950920115</v>
      </c>
      <c r="Q198" s="266"/>
      <c r="R198" s="267"/>
      <c r="S198" s="268"/>
    </row>
    <row r="199" spans="1:19" ht="17.25" thickBot="1">
      <c r="A199" s="132" t="s">
        <v>270</v>
      </c>
      <c r="B199" s="274">
        <f>$B$37</f>
        <v>100000</v>
      </c>
      <c r="C199" s="275"/>
      <c r="D199" s="26" t="s">
        <v>271</v>
      </c>
      <c r="E199" s="27">
        <f>IF(COUNT(E179:E198), SUM(E179:E198) / COUNT(E179:E198), 0)</f>
        <v>3.0113129616813138E-2</v>
      </c>
      <c r="F199" s="28">
        <f>SUM(F179:F198)</f>
        <v>60226.259233626275</v>
      </c>
      <c r="G199" s="26" t="s">
        <v>271</v>
      </c>
      <c r="H199" s="27">
        <f>IF(COUNT(H179:H198), SUM(H179:H198) / COUNT(H179:H198), 0)</f>
        <v>5.3349812362504231E-2</v>
      </c>
      <c r="I199" s="28">
        <f>SUM(I179:I198)</f>
        <v>106699.62472500849</v>
      </c>
      <c r="J199" s="26" t="s">
        <v>271</v>
      </c>
      <c r="K199" s="27">
        <f>IF(COUNT(K179:K198), SUM(K179:K198) / COUNT(K179:K198), 0)</f>
        <v>4.6759410590265914E-2</v>
      </c>
      <c r="L199" s="28">
        <f>SUM(L179:L198)</f>
        <v>93518.821180531828</v>
      </c>
      <c r="M199" s="26" t="s">
        <v>271</v>
      </c>
      <c r="N199" s="27">
        <f>IF(COUNT(N179:N198), SUM(N179:N198) / COUNT(N179:N198), 0)</f>
        <v>3.8497015546120048E-2</v>
      </c>
      <c r="O199" s="28">
        <f>SUM(O179:O198)</f>
        <v>76994.031092240097</v>
      </c>
      <c r="Q199" s="269"/>
      <c r="R199" s="270"/>
      <c r="S199" s="27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6077C-5AD2-4063-A43E-4578C856156D}">
  <sheetPr codeName="Sheet20"/>
  <dimension ref="A1:S199"/>
  <sheetViews>
    <sheetView tabSelected="1"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18">
        <v>44422</v>
      </c>
      <c r="H1" s="219"/>
      <c r="I1" s="220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24" t="s">
        <v>46</v>
      </c>
      <c r="H2" s="225"/>
      <c r="I2" s="226"/>
      <c r="J2" s="1" t="s">
        <v>3</v>
      </c>
      <c r="K2" s="221" t="s">
        <v>320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27" t="s">
        <v>328</v>
      </c>
      <c r="C3" s="228"/>
      <c r="D3" s="228"/>
      <c r="E3" s="228"/>
      <c r="F3" s="229"/>
      <c r="G3" s="23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62,926 KRW (3.15%)</v>
      </c>
      <c r="H3" s="231"/>
      <c r="I3" s="232"/>
      <c r="J3" s="4" t="s">
        <v>7</v>
      </c>
      <c r="K3" s="227" t="s">
        <v>321</v>
      </c>
      <c r="L3" s="228"/>
      <c r="M3" s="228"/>
      <c r="N3" s="228"/>
      <c r="O3" s="22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7" t="s">
        <v>16</v>
      </c>
      <c r="C4" s="228"/>
      <c r="D4" s="228"/>
      <c r="E4" s="228"/>
      <c r="F4" s="229"/>
      <c r="G4" s="224" t="s">
        <v>44</v>
      </c>
      <c r="H4" s="225"/>
      <c r="I4" s="226"/>
      <c r="J4" s="4" t="s">
        <v>11</v>
      </c>
      <c r="K4" s="227" t="s">
        <v>322</v>
      </c>
      <c r="L4" s="228"/>
      <c r="M4" s="228"/>
      <c r="N4" s="228"/>
      <c r="O4" s="22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7" t="s">
        <v>319</v>
      </c>
      <c r="C5" s="228"/>
      <c r="D5" s="228"/>
      <c r="E5" s="228"/>
      <c r="F5" s="229"/>
      <c r="G5" s="23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6,866 KRW (0.40%)</v>
      </c>
      <c r="H5" s="231"/>
      <c r="I5" s="232"/>
      <c r="J5" s="4" t="s">
        <v>15</v>
      </c>
      <c r="K5" s="227" t="s">
        <v>323</v>
      </c>
      <c r="L5" s="228"/>
      <c r="M5" s="228"/>
      <c r="N5" s="228"/>
      <c r="O5" s="229"/>
    </row>
    <row r="6" spans="1:19">
      <c r="A6" s="118" t="s">
        <v>18</v>
      </c>
      <c r="B6" s="227"/>
      <c r="C6" s="228"/>
      <c r="D6" s="228"/>
      <c r="E6" s="228"/>
      <c r="F6" s="229"/>
      <c r="G6" s="224" t="s">
        <v>45</v>
      </c>
      <c r="H6" s="225"/>
      <c r="I6" s="226"/>
      <c r="J6" s="4" t="s">
        <v>18</v>
      </c>
      <c r="K6" s="227" t="s">
        <v>324</v>
      </c>
      <c r="L6" s="228"/>
      <c r="M6" s="228"/>
      <c r="N6" s="228"/>
      <c r="O6" s="229"/>
    </row>
    <row r="7" spans="1:19" ht="17.25" thickBot="1">
      <c r="A7" s="118" t="s">
        <v>21</v>
      </c>
      <c r="B7" s="227"/>
      <c r="C7" s="228"/>
      <c r="D7" s="228"/>
      <c r="E7" s="228"/>
      <c r="F7" s="229"/>
      <c r="G7" s="23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33,892 KRW (1.69%)</v>
      </c>
      <c r="H7" s="231"/>
      <c r="I7" s="232"/>
      <c r="J7" s="4" t="s">
        <v>21</v>
      </c>
      <c r="K7" s="227" t="s">
        <v>325</v>
      </c>
      <c r="L7" s="228"/>
      <c r="M7" s="228"/>
      <c r="N7" s="228"/>
      <c r="O7" s="229"/>
    </row>
    <row r="8" spans="1:19" ht="17.25" thickBot="1">
      <c r="A8" s="118" t="s">
        <v>24</v>
      </c>
      <c r="B8" s="227"/>
      <c r="C8" s="228"/>
      <c r="D8" s="228"/>
      <c r="E8" s="228"/>
      <c r="F8" s="229"/>
      <c r="G8" s="224" t="s">
        <v>255</v>
      </c>
      <c r="H8" s="225"/>
      <c r="I8" s="226"/>
      <c r="J8" s="4" t="s">
        <v>24</v>
      </c>
      <c r="K8" s="227"/>
      <c r="L8" s="228"/>
      <c r="M8" s="228"/>
      <c r="N8" s="228"/>
      <c r="O8" s="229"/>
      <c r="Q8" s="215" t="s">
        <v>27</v>
      </c>
      <c r="R8" s="217"/>
    </row>
    <row r="9" spans="1:19" ht="17.25" thickBot="1">
      <c r="A9" s="118" t="s">
        <v>28</v>
      </c>
      <c r="B9" s="227"/>
      <c r="C9" s="228"/>
      <c r="D9" s="228"/>
      <c r="E9" s="228"/>
      <c r="F9" s="229"/>
      <c r="G9" s="23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18,504 KRW (0.93%)</v>
      </c>
      <c r="H9" s="231"/>
      <c r="I9" s="232"/>
      <c r="J9" s="4" t="s">
        <v>28</v>
      </c>
      <c r="K9" s="227"/>
      <c r="L9" s="228"/>
      <c r="M9" s="228"/>
      <c r="N9" s="228"/>
      <c r="O9" s="229"/>
      <c r="Q9" s="2" t="s">
        <v>29</v>
      </c>
      <c r="R9" s="6">
        <v>10</v>
      </c>
    </row>
    <row r="10" spans="1:19">
      <c r="A10" s="118" t="s">
        <v>30</v>
      </c>
      <c r="B10" s="227"/>
      <c r="C10" s="228"/>
      <c r="D10" s="228"/>
      <c r="E10" s="228"/>
      <c r="F10" s="229"/>
      <c r="G10" s="224" t="s">
        <v>47</v>
      </c>
      <c r="H10" s="225"/>
      <c r="I10" s="226"/>
      <c r="J10" s="4" t="s">
        <v>30</v>
      </c>
      <c r="K10" s="227" t="s">
        <v>326</v>
      </c>
      <c r="L10" s="228"/>
      <c r="M10" s="228"/>
      <c r="N10" s="228"/>
      <c r="O10" s="229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1"/>
      <c r="I11" s="232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36"/>
      <c r="R13" s="236"/>
      <c r="S13" s="236"/>
    </row>
    <row r="14" spans="1:19" ht="17.25" customHeight="1" thickBot="1">
      <c r="A14" s="211" t="s">
        <v>35</v>
      </c>
      <c r="B14" s="215" t="s">
        <v>36</v>
      </c>
      <c r="C14" s="217"/>
      <c r="D14" s="215" t="s">
        <v>37</v>
      </c>
      <c r="E14" s="216"/>
      <c r="F14" s="217"/>
      <c r="G14" s="242">
        <f>_xlfn.IFNA(VLOOKUP(B14, 현재가테이블!$B$2:$D$200, 2, FALSE), "-")</f>
        <v>53976000</v>
      </c>
      <c r="H14" s="243"/>
      <c r="I14" s="244"/>
      <c r="J14" s="215" t="s">
        <v>38</v>
      </c>
      <c r="K14" s="216"/>
      <c r="L14" s="217"/>
      <c r="M14" s="245">
        <f>_xlfn.IFNA(VLOOKUP(B14, 현재가테이블!$B$2:$D$200, 3, FALSE), "-")</f>
        <v>-2.1216407400000001E-2</v>
      </c>
      <c r="N14" s="246"/>
      <c r="O14" s="247"/>
      <c r="Q14" s="236"/>
      <c r="R14" s="236"/>
      <c r="S14" s="236"/>
    </row>
    <row r="15" spans="1:19" ht="17.25" customHeight="1" thickBot="1">
      <c r="A15" s="280" t="s">
        <v>39</v>
      </c>
      <c r="B15" s="281" t="str">
        <f>TEXT($G$1, "[$-ko-KR]yyyy-mm-dd(ddd) ") &amp; "오전 00:00"</f>
        <v>2021-08-14(토) 오전 00:00</v>
      </c>
      <c r="C15" s="282"/>
      <c r="D15" s="238" t="str">
        <f>TEXT($G$1, "[$-ko-KR]yyyy-mm-dd(ddd) ") &amp; "오후 14:00"</f>
        <v>2021-08-14(토) 오후 14:00</v>
      </c>
      <c r="E15" s="239"/>
      <c r="F15" s="240"/>
      <c r="G15" s="238" t="str">
        <f>TEXT($G$1, "[$-ko-KR]yyyy-mm-dd(ddd) ") &amp; "오후 19:00"</f>
        <v>2021-08-14(토) 오후 19:00</v>
      </c>
      <c r="H15" s="239"/>
      <c r="I15" s="240"/>
      <c r="J15" s="238" t="str">
        <f>TEXT($G$1, "[$-ko-KR]yyyy-mm-dd(ddd) ") &amp; "오후 21:00"</f>
        <v>2021-08-14(토) 오후 21:00</v>
      </c>
      <c r="K15" s="239"/>
      <c r="L15" s="240"/>
      <c r="M15" s="238" t="str">
        <f>TEXT($G$1+1, "[$-ko-KR]yyyy-mm-dd(ddd) ") &amp; "오전 00:00"</f>
        <v>2021-08-15(일) 오전 00:00</v>
      </c>
      <c r="N15" s="239"/>
      <c r="O15" s="240"/>
      <c r="Q15" s="236"/>
      <c r="R15" s="236"/>
      <c r="S15" s="236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2" t="s">
        <v>37</v>
      </c>
      <c r="H16" s="213" t="s">
        <v>40</v>
      </c>
      <c r="I16" s="2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1"/>
      <c r="R16" s="241"/>
      <c r="S16" s="24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6"/>
      <c r="R17" s="236"/>
      <c r="S17" s="23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6"/>
      <c r="R18" s="236"/>
      <c r="S18" s="23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1"/>
      <c r="R19" s="241"/>
      <c r="S19" s="24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1"/>
      <c r="R20" s="241"/>
      <c r="S20" s="24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1"/>
      <c r="R21" s="241"/>
      <c r="S21" s="24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1"/>
      <c r="R22" s="241"/>
      <c r="S22" s="24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1"/>
      <c r="R23" s="241"/>
      <c r="S23" s="24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1"/>
      <c r="R24" s="241"/>
      <c r="S24" s="24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0"/>
      <c r="R26" s="251"/>
      <c r="S26" s="25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3"/>
      <c r="R27" s="254"/>
      <c r="S27" s="25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6"/>
      <c r="R28" s="257"/>
      <c r="S28" s="25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1"/>
      <c r="R29" s="241"/>
      <c r="S29" s="24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6"/>
      <c r="R30" s="236"/>
      <c r="S30" s="23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6"/>
      <c r="R31" s="236"/>
      <c r="S31" s="23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1"/>
      <c r="R32" s="241"/>
      <c r="S32" s="24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1"/>
      <c r="R33" s="241"/>
      <c r="S33" s="24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1"/>
      <c r="R34" s="241"/>
      <c r="S34" s="24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3"/>
      <c r="R35" s="264"/>
      <c r="S35" s="26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6"/>
      <c r="R36" s="267"/>
      <c r="S36" s="268"/>
    </row>
    <row r="37" spans="1:19" ht="17.25" customHeight="1" thickBot="1">
      <c r="A37" s="132" t="s">
        <v>42</v>
      </c>
      <c r="B37" s="274">
        <v>100000</v>
      </c>
      <c r="C37" s="27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9"/>
      <c r="R37" s="270"/>
      <c r="S37" s="27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36"/>
      <c r="R40" s="236"/>
      <c r="S40" s="236"/>
    </row>
    <row r="41" spans="1:19" ht="17.25" customHeight="1" thickBot="1">
      <c r="A41" s="211" t="s">
        <v>267</v>
      </c>
      <c r="B41" s="215" t="s">
        <v>49</v>
      </c>
      <c r="C41" s="217"/>
      <c r="D41" s="215" t="s">
        <v>58</v>
      </c>
      <c r="E41" s="216"/>
      <c r="F41" s="217"/>
      <c r="G41" s="242">
        <f>_xlfn.IFNA(VLOOKUP(B41, 현재가테이블!$B$2:$D$200, 2, FALSE), "-")</f>
        <v>53976000</v>
      </c>
      <c r="H41" s="243"/>
      <c r="I41" s="244"/>
      <c r="J41" s="215" t="s">
        <v>59</v>
      </c>
      <c r="K41" s="216"/>
      <c r="L41" s="217"/>
      <c r="M41" s="245">
        <f>_xlfn.IFNA(VLOOKUP(B41, 현재가테이블!$B$2:$D$200, 3, FALSE), "-")</f>
        <v>-2.1216407400000001E-2</v>
      </c>
      <c r="N41" s="246"/>
      <c r="O41" s="247"/>
      <c r="Q41" s="236"/>
      <c r="R41" s="236"/>
      <c r="S41" s="236"/>
    </row>
    <row r="42" spans="1:19" ht="17.25" customHeight="1" thickBot="1">
      <c r="A42" s="276" t="s">
        <v>55</v>
      </c>
      <c r="B42" s="278" t="str">
        <f>TEXT($G$1, "[$-ko-KR]yyyy-mm-dd(ddd) ") &amp; "오전 00:00"</f>
        <v>2021-08-14(토) 오전 00:00</v>
      </c>
      <c r="C42" s="279"/>
      <c r="D42" s="238" t="str">
        <f>TEXT($G$1, "[$-ko-KR]yyyy-mm-dd(ddd) ") &amp; "오후 14:00"</f>
        <v>2021-08-14(토) 오후 14:00</v>
      </c>
      <c r="E42" s="239"/>
      <c r="F42" s="240"/>
      <c r="G42" s="238" t="str">
        <f>TEXT($G$1, "[$-ko-KR]yyyy-mm-dd(ddd) ") &amp; "오후 19:00"</f>
        <v>2021-08-14(토) 오후 19:00</v>
      </c>
      <c r="H42" s="239"/>
      <c r="I42" s="240"/>
      <c r="J42" s="238" t="str">
        <f>TEXT($G$1, "[$-ko-KR]yyyy-mm-dd(ddd) ") &amp; "오후 21:00"</f>
        <v>2021-08-14(토) 오후 21:00</v>
      </c>
      <c r="K42" s="239"/>
      <c r="L42" s="240"/>
      <c r="M42" s="238" t="str">
        <f>TEXT($G$1+1, "[$-ko-KR]yyyy-mm-dd(ddd) ") &amp; "오전 00:00"</f>
        <v>2021-08-15(일) 오전 00:00</v>
      </c>
      <c r="N42" s="239"/>
      <c r="O42" s="240"/>
      <c r="Q42" s="236"/>
      <c r="R42" s="236"/>
      <c r="S42" s="236"/>
    </row>
    <row r="43" spans="1:19" ht="17.25" customHeight="1" thickBot="1">
      <c r="A43" s="27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2" t="s">
        <v>58</v>
      </c>
      <c r="H43" s="213" t="s">
        <v>268</v>
      </c>
      <c r="I43" s="2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1"/>
      <c r="R43" s="241"/>
      <c r="S43" s="241"/>
    </row>
    <row r="44" spans="1:19" ht="17.25" customHeight="1" thickBot="1">
      <c r="A44" s="123" t="s">
        <v>240</v>
      </c>
      <c r="B44" s="124">
        <v>78.099999999999994</v>
      </c>
      <c r="C44" s="76">
        <v>5.2560646900000001E-2</v>
      </c>
      <c r="D44" s="13">
        <v>79.7</v>
      </c>
      <c r="E44" s="14">
        <f>IF(ISNUMBER(D44), (D44 - $B44) / $B44, "")</f>
        <v>2.0486555697823414E-2</v>
      </c>
      <c r="F44" s="16">
        <f>IF(ISNUMBER(D44), $B64 * E44, "")</f>
        <v>2048.6555697823414</v>
      </c>
      <c r="G44" s="29">
        <v>79</v>
      </c>
      <c r="H44" s="14">
        <f>IF(ISNUMBER(G44), (G44 - $B44) / $B44, "")</f>
        <v>1.1523687580025681E-2</v>
      </c>
      <c r="I44" s="100">
        <f>IF(ISNUMBER(G44), $B64 * H44, "")</f>
        <v>1152.3687580025683</v>
      </c>
      <c r="J44" s="13">
        <v>78.099999999999994</v>
      </c>
      <c r="K44" s="14">
        <f>IF(ISNUMBER(J44), (J44 - $B44) / $B44, "")</f>
        <v>0</v>
      </c>
      <c r="L44" s="16">
        <f>IF(ISNUMBER(J44), $B64 * K44, "")</f>
        <v>0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6"/>
      <c r="R44" s="236"/>
      <c r="S44" s="236"/>
    </row>
    <row r="45" spans="1:19" ht="17.25" customHeight="1" thickBot="1">
      <c r="A45" s="125" t="s">
        <v>216</v>
      </c>
      <c r="B45" s="126">
        <v>11.2</v>
      </c>
      <c r="C45" s="77">
        <v>3.7037037000000002E-2</v>
      </c>
      <c r="D45" s="15">
        <v>11.4</v>
      </c>
      <c r="E45" s="32">
        <f t="shared" ref="E45:E48" si="14">IF(ISNUMBER(D45), (D45 - $B45) / $B45, "")</f>
        <v>1.7857142857142953E-2</v>
      </c>
      <c r="F45" s="18">
        <f>IF(ISNUMBER(D45), $B64 * E45, "")</f>
        <v>1785.7142857142953</v>
      </c>
      <c r="G45" s="31">
        <v>11.3</v>
      </c>
      <c r="H45" s="32">
        <f t="shared" ref="H45:H48" si="15">IF(ISNUMBER(G45), (G45 - $B45) / $B45, "")</f>
        <v>8.9285714285715564E-3</v>
      </c>
      <c r="I45" s="101">
        <f>IF(ISNUMBER(G45), $B64 * H45, "")</f>
        <v>892.85714285715562</v>
      </c>
      <c r="J45" s="15">
        <v>11.2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6"/>
      <c r="R45" s="236"/>
      <c r="S45" s="236"/>
    </row>
    <row r="46" spans="1:19" ht="17.25" customHeight="1" thickBot="1">
      <c r="A46" s="125" t="s">
        <v>210</v>
      </c>
      <c r="B46" s="126">
        <v>12.5</v>
      </c>
      <c r="C46" s="77">
        <v>3.3057851200000002E-2</v>
      </c>
      <c r="D46" s="15">
        <v>12.8</v>
      </c>
      <c r="E46" s="32">
        <f t="shared" si="14"/>
        <v>2.4000000000000056E-2</v>
      </c>
      <c r="F46" s="18">
        <f>IF(ISNUMBER(D46), $B64 * E46, "")</f>
        <v>2400.0000000000055</v>
      </c>
      <c r="G46" s="31">
        <v>12.5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7.9999999999999724E-3</v>
      </c>
      <c r="L46" s="18">
        <f>IF(ISNUMBER(J46), $B64 * K46, "")</f>
        <v>799.99999999999727</v>
      </c>
      <c r="M46" s="31"/>
      <c r="N46" s="32" t="str">
        <f t="shared" si="17"/>
        <v/>
      </c>
      <c r="O46" s="18" t="str">
        <f>IF(ISNUMBER(M46), $B64 * N46, "")</f>
        <v/>
      </c>
      <c r="Q46" s="241"/>
      <c r="R46" s="241"/>
      <c r="S46" s="241"/>
    </row>
    <row r="47" spans="1:19" ht="17.25" customHeight="1" thickBot="1">
      <c r="A47" s="125" t="s">
        <v>148</v>
      </c>
      <c r="B47" s="126">
        <v>21.2</v>
      </c>
      <c r="C47" s="77">
        <v>2.4154589399999999E-2</v>
      </c>
      <c r="D47" s="15">
        <v>22.1</v>
      </c>
      <c r="E47" s="32">
        <f t="shared" si="14"/>
        <v>4.2452830188679347E-2</v>
      </c>
      <c r="F47" s="18">
        <f>IF(ISNUMBER(D47), $B64 * E47, "")</f>
        <v>4245.2830188679345</v>
      </c>
      <c r="G47" s="31">
        <v>21.8</v>
      </c>
      <c r="H47" s="32">
        <f t="shared" si="15"/>
        <v>2.8301886792452897E-2</v>
      </c>
      <c r="I47" s="101">
        <f>IF(ISNUMBER(G47), $B64 * H47, "")</f>
        <v>2830.1886792452897</v>
      </c>
      <c r="J47" s="15">
        <v>21.5</v>
      </c>
      <c r="K47" s="32">
        <f t="shared" si="16"/>
        <v>1.4150943396226448E-2</v>
      </c>
      <c r="L47" s="18">
        <f>IF(ISNUMBER(J47), $B64 * K47, "")</f>
        <v>1415.0943396226448</v>
      </c>
      <c r="M47" s="31"/>
      <c r="N47" s="32" t="str">
        <f t="shared" si="17"/>
        <v/>
      </c>
      <c r="O47" s="18" t="str">
        <f>IF(ISNUMBER(M47), $B64 * N47, "")</f>
        <v/>
      </c>
      <c r="Q47" s="241"/>
      <c r="R47" s="241"/>
      <c r="S47" s="241"/>
    </row>
    <row r="48" spans="1:19" ht="17.25" customHeight="1" thickBot="1">
      <c r="A48" s="127" t="s">
        <v>122</v>
      </c>
      <c r="B48" s="128">
        <v>33.799999999999997</v>
      </c>
      <c r="C48" s="78">
        <v>2.1148036299999999E-2</v>
      </c>
      <c r="D48" s="20">
        <v>35.1</v>
      </c>
      <c r="E48" s="21">
        <f t="shared" si="14"/>
        <v>3.8461538461538589E-2</v>
      </c>
      <c r="F48" s="22">
        <f>IF(ISNUMBER(D48), $B64 * E48, "")</f>
        <v>3846.1538461538589</v>
      </c>
      <c r="G48" s="30">
        <v>34.6</v>
      </c>
      <c r="H48" s="21">
        <f t="shared" si="15"/>
        <v>2.3668639053254566E-2</v>
      </c>
      <c r="I48" s="105">
        <f>IF(ISNUMBER(G48), $B64 * H48, "")</f>
        <v>2366.8639053254565</v>
      </c>
      <c r="J48" s="20">
        <v>34.1</v>
      </c>
      <c r="K48" s="21">
        <f t="shared" si="16"/>
        <v>8.8757396449705411E-3</v>
      </c>
      <c r="L48" s="22">
        <f>IF(ISNUMBER(J48), $B64 * K48, "")</f>
        <v>887.57396449705413</v>
      </c>
      <c r="M48" s="30"/>
      <c r="N48" s="21" t="str">
        <f t="shared" si="17"/>
        <v/>
      </c>
      <c r="O48" s="22" t="str">
        <f>IF(ISNUMBER(M48), $B64 * N48, "")</f>
        <v/>
      </c>
      <c r="Q48" s="241"/>
      <c r="R48" s="241"/>
      <c r="S48" s="241"/>
    </row>
    <row r="49" spans="1:19" ht="17.25" customHeight="1" thickBot="1">
      <c r="A49" s="125" t="s">
        <v>72</v>
      </c>
      <c r="B49" s="129">
        <v>23.9</v>
      </c>
      <c r="C49" s="80">
        <v>1.27118644E-2</v>
      </c>
      <c r="D49" s="106">
        <v>24.6</v>
      </c>
      <c r="E49" s="107">
        <f>IF(ISNUMBER(D49), (D49 - $B49) / $B49, "")</f>
        <v>2.9288702928870414E-2</v>
      </c>
      <c r="F49" s="108">
        <f>IF(ISNUMBER(D49), $B64 * E49, "")</f>
        <v>2928.8702928870416</v>
      </c>
      <c r="G49" s="109">
        <v>24.4</v>
      </c>
      <c r="H49" s="107">
        <f>IF(ISNUMBER(G49), (G49 - $B49) / $B49, "")</f>
        <v>2.0920502092050212E-2</v>
      </c>
      <c r="I49" s="110">
        <f>IF(ISNUMBER(G49), $B64 * H49, "")</f>
        <v>2092.050209205021</v>
      </c>
      <c r="J49" s="106">
        <v>24.1</v>
      </c>
      <c r="K49" s="107">
        <f>IF(ISNUMBER(J49), (J49 - $B49) / $B49, "")</f>
        <v>8.3682008368202027E-3</v>
      </c>
      <c r="L49" s="108">
        <f>IF(ISNUMBER(J49), $B64 * K49, "")</f>
        <v>836.82008368202025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1"/>
      <c r="R49" s="241"/>
      <c r="S49" s="241"/>
    </row>
    <row r="50" spans="1:19" ht="17.25" customHeight="1" thickBot="1">
      <c r="A50" s="125" t="s">
        <v>178</v>
      </c>
      <c r="B50" s="126">
        <v>17</v>
      </c>
      <c r="C50" s="77">
        <v>1.19047619E-2</v>
      </c>
      <c r="D50" s="15">
        <v>17.399999999999999</v>
      </c>
      <c r="E50" s="32">
        <f t="shared" ref="E50:E53" si="18">IF(ISNUMBER(D50), (D50 - $B50) / $B50, "")</f>
        <v>2.3529411764705799E-2</v>
      </c>
      <c r="F50" s="18">
        <f>IF(ISNUMBER(D50), $B64 * E50, "")</f>
        <v>2352.9411764705801</v>
      </c>
      <c r="G50" s="31">
        <v>17.2</v>
      </c>
      <c r="H50" s="32">
        <f t="shared" ref="H50:H53" si="19">IF(ISNUMBER(G50), (G50 - $B50) / $B50, "")</f>
        <v>1.1764705882352899E-2</v>
      </c>
      <c r="I50" s="101">
        <f>IF(ISNUMBER(G50), $B64 * H50, "")</f>
        <v>1176.4705882352901</v>
      </c>
      <c r="J50" s="15">
        <v>17.2</v>
      </c>
      <c r="K50" s="32">
        <f t="shared" ref="K50:K53" si="20">IF(ISNUMBER(J50), (J50 - $B50) / $B50, "")</f>
        <v>1.1764705882352899E-2</v>
      </c>
      <c r="L50" s="18">
        <f>IF(ISNUMBER(J50), $B64 * K50, "")</f>
        <v>1176.4705882352901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1"/>
      <c r="R50" s="241"/>
      <c r="S50" s="241"/>
    </row>
    <row r="51" spans="1:19" ht="17.25" customHeight="1" thickBot="1">
      <c r="A51" s="125" t="s">
        <v>234</v>
      </c>
      <c r="B51" s="126">
        <v>75.599999999999994</v>
      </c>
      <c r="C51" s="77">
        <v>9.3457943999999994E-3</v>
      </c>
      <c r="D51" s="15">
        <v>77.599999999999994</v>
      </c>
      <c r="E51" s="32">
        <f t="shared" si="18"/>
        <v>2.6455026455026457E-2</v>
      </c>
      <c r="F51" s="18">
        <f>IF(ISNUMBER(D51), $B64 * E51, "")</f>
        <v>2645.5026455026459</v>
      </c>
      <c r="G51" s="31">
        <v>76.400000000000006</v>
      </c>
      <c r="H51" s="32">
        <f t="shared" si="19"/>
        <v>1.0582010582010732E-2</v>
      </c>
      <c r="I51" s="101">
        <f>IF(ISNUMBER(G51), $B64 * H51, "")</f>
        <v>1058.2010582010732</v>
      </c>
      <c r="J51" s="15">
        <v>75.900000000000006</v>
      </c>
      <c r="K51" s="32">
        <f t="shared" si="20"/>
        <v>3.968253968254119E-3</v>
      </c>
      <c r="L51" s="18">
        <f>IF(ISNUMBER(J51), $B64 * K51, "")</f>
        <v>396.82539682541187</v>
      </c>
      <c r="M51" s="31"/>
      <c r="N51" s="32" t="str">
        <f t="shared" si="21"/>
        <v/>
      </c>
      <c r="O51" s="18" t="str">
        <f>IF(ISNUMBER(M51), $B64 * N51, "")</f>
        <v/>
      </c>
      <c r="Q51" s="241"/>
      <c r="R51" s="241"/>
      <c r="S51" s="241"/>
    </row>
    <row r="52" spans="1:19" ht="17.25" customHeight="1" thickBot="1">
      <c r="A52" s="125" t="s">
        <v>250</v>
      </c>
      <c r="B52" s="126">
        <v>78.5</v>
      </c>
      <c r="C52" s="77">
        <v>8.9974293E-3</v>
      </c>
      <c r="D52" s="15">
        <v>80.599999999999994</v>
      </c>
      <c r="E52" s="32">
        <f t="shared" si="18"/>
        <v>2.6751592356687826E-2</v>
      </c>
      <c r="F52" s="18">
        <f>IF(ISNUMBER(D52), $B64 * E52, "")</f>
        <v>2675.1592356687825</v>
      </c>
      <c r="G52" s="31">
        <v>79.900000000000006</v>
      </c>
      <c r="H52" s="32">
        <f t="shared" si="19"/>
        <v>1.7834394904458671E-2</v>
      </c>
      <c r="I52" s="101">
        <f>IF(ISNUMBER(G52), $B64 * H52, "")</f>
        <v>1783.439490445867</v>
      </c>
      <c r="J52" s="15">
        <v>79.3</v>
      </c>
      <c r="K52" s="32">
        <f t="shared" si="20"/>
        <v>1.0191082802547734E-2</v>
      </c>
      <c r="L52" s="18">
        <f>IF(ISNUMBER(J52), $B64 * K52, "")</f>
        <v>1019.1082802547734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13.3</v>
      </c>
      <c r="C53" s="79">
        <v>7.5757576E-3</v>
      </c>
      <c r="D53" s="24">
        <v>13.5</v>
      </c>
      <c r="E53" s="25">
        <f t="shared" si="18"/>
        <v>1.5037593984962351E-2</v>
      </c>
      <c r="F53" s="104">
        <f>IF(ISNUMBER(D53), $B64 * E53, "")</f>
        <v>1503.7593984962352</v>
      </c>
      <c r="G53" s="102">
        <v>13.3</v>
      </c>
      <c r="H53" s="25">
        <f t="shared" si="19"/>
        <v>0</v>
      </c>
      <c r="I53" s="103">
        <f>IF(ISNUMBER(G53), $B64 * H53, "")</f>
        <v>0</v>
      </c>
      <c r="J53" s="24">
        <v>13.3</v>
      </c>
      <c r="K53" s="25">
        <f t="shared" si="20"/>
        <v>0</v>
      </c>
      <c r="L53" s="104">
        <f>IF(ISNUMBER(J53), $B64 * K53, "")</f>
        <v>0</v>
      </c>
      <c r="M53" s="102"/>
      <c r="N53" s="25" t="str">
        <f t="shared" si="21"/>
        <v/>
      </c>
      <c r="O53" s="104" t="str">
        <f>IF(ISNUMBER(M53), $B64 * N53, "")</f>
        <v/>
      </c>
      <c r="Q53" s="250"/>
      <c r="R53" s="251"/>
      <c r="S53" s="252"/>
    </row>
    <row r="54" spans="1:19" ht="17.25" customHeight="1">
      <c r="A54" s="123" t="s">
        <v>65</v>
      </c>
      <c r="B54" s="124">
        <v>35.700000000000003</v>
      </c>
      <c r="C54" s="76">
        <v>0</v>
      </c>
      <c r="D54" s="13">
        <v>37</v>
      </c>
      <c r="E54" s="14">
        <f>IF(ISNUMBER(D54), (D54 - $B54) / $B54, "")</f>
        <v>3.6414565826330451E-2</v>
      </c>
      <c r="F54" s="16">
        <f>IF(ISNUMBER(D54), $B64 * E54, "")</f>
        <v>3641.4565826330449</v>
      </c>
      <c r="G54" s="29">
        <v>36.1</v>
      </c>
      <c r="H54" s="14">
        <f>IF(ISNUMBER(G54), (G54 - $B54) / $B54, "")</f>
        <v>1.1204481792717045E-2</v>
      </c>
      <c r="I54" s="100">
        <f>IF(ISNUMBER(G54), $B64 * H54, "")</f>
        <v>1120.4481792717045</v>
      </c>
      <c r="J54" s="13">
        <v>35.700000000000003</v>
      </c>
      <c r="K54" s="14">
        <f>IF(ISNUMBER(J54), (J54 - $B54) / $B54, "")</f>
        <v>0</v>
      </c>
      <c r="L54" s="16">
        <f>IF(ISNUMBER(J54), $B64 * K54, "")</f>
        <v>0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3"/>
      <c r="R54" s="254"/>
      <c r="S54" s="255"/>
    </row>
    <row r="55" spans="1:19" ht="17.25" customHeight="1" thickBot="1">
      <c r="A55" s="125" t="s">
        <v>204</v>
      </c>
      <c r="B55" s="126">
        <v>15.2</v>
      </c>
      <c r="C55" s="77">
        <v>0</v>
      </c>
      <c r="D55" s="15">
        <v>15.6</v>
      </c>
      <c r="E55" s="32">
        <f t="shared" ref="E55:E58" si="22">IF(ISNUMBER(D55), (D55 - $B55) / $B55, "")</f>
        <v>2.6315789473684237E-2</v>
      </c>
      <c r="F55" s="18">
        <f>IF(ISNUMBER(D55), $B64 * E55, "")</f>
        <v>2631.5789473684235</v>
      </c>
      <c r="G55" s="31">
        <v>15.3</v>
      </c>
      <c r="H55" s="32">
        <f t="shared" ref="H55:H58" si="23">IF(ISNUMBER(G55), (G55 - $B55) / $B55, "")</f>
        <v>6.5789473684211468E-3</v>
      </c>
      <c r="I55" s="101">
        <f>IF(ISNUMBER(G55), $B64 * H55, "")</f>
        <v>657.89473684211464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6"/>
      <c r="R55" s="257"/>
      <c r="S55" s="258"/>
    </row>
    <row r="56" spans="1:19" ht="17.25" customHeight="1" thickBot="1">
      <c r="A56" s="125" t="s">
        <v>208</v>
      </c>
      <c r="B56" s="126">
        <v>14.3</v>
      </c>
      <c r="C56" s="77">
        <v>0</v>
      </c>
      <c r="D56" s="15">
        <v>14.5</v>
      </c>
      <c r="E56" s="32">
        <f t="shared" si="22"/>
        <v>1.3986013986013936E-2</v>
      </c>
      <c r="F56" s="18">
        <f>IF(ISNUMBER(D56), $B64 * E56, "")</f>
        <v>1398.6013986013936</v>
      </c>
      <c r="G56" s="31">
        <v>14.4</v>
      </c>
      <c r="H56" s="32">
        <f t="shared" si="23"/>
        <v>6.9930069930069678E-3</v>
      </c>
      <c r="I56" s="101">
        <f>IF(ISNUMBER(G56), $B64 * H56, "")</f>
        <v>699.30069930069681</v>
      </c>
      <c r="J56" s="15">
        <v>14.2</v>
      </c>
      <c r="K56" s="32">
        <f t="shared" si="24"/>
        <v>-6.9930069930070919E-3</v>
      </c>
      <c r="L56" s="18">
        <f>IF(ISNUMBER(J56), $B64 * K56, "")</f>
        <v>-699.3006993007092</v>
      </c>
      <c r="M56" s="31"/>
      <c r="N56" s="32" t="str">
        <f t="shared" si="25"/>
        <v/>
      </c>
      <c r="O56" s="18" t="str">
        <f>IF(ISNUMBER(M56), $B64 * N56, "")</f>
        <v/>
      </c>
      <c r="Q56" s="241"/>
      <c r="R56" s="241"/>
      <c r="S56" s="241"/>
    </row>
    <row r="57" spans="1:19" ht="17.25" customHeight="1" thickBot="1">
      <c r="A57" s="125" t="s">
        <v>150</v>
      </c>
      <c r="B57" s="126">
        <v>13</v>
      </c>
      <c r="C57" s="77">
        <v>0</v>
      </c>
      <c r="D57" s="15">
        <v>13.3</v>
      </c>
      <c r="E57" s="32">
        <f t="shared" si="22"/>
        <v>2.307692307692313E-2</v>
      </c>
      <c r="F57" s="18">
        <f>IF(ISNUMBER(D57), $B64 * E57, "")</f>
        <v>2307.6923076923131</v>
      </c>
      <c r="G57" s="31">
        <v>13.2</v>
      </c>
      <c r="H57" s="32">
        <f t="shared" si="23"/>
        <v>1.538461538461533E-2</v>
      </c>
      <c r="I57" s="101">
        <f>IF(ISNUMBER(G57), $B64 * H57, "")</f>
        <v>1538.4615384615331</v>
      </c>
      <c r="J57" s="15">
        <v>13.1</v>
      </c>
      <c r="K57" s="32">
        <f t="shared" si="24"/>
        <v>7.692307692307665E-3</v>
      </c>
      <c r="L57" s="18">
        <f>IF(ISNUMBER(J57), $B64 * K57, "")</f>
        <v>769.23076923076655</v>
      </c>
      <c r="M57" s="31"/>
      <c r="N57" s="32" t="str">
        <f t="shared" si="25"/>
        <v/>
      </c>
      <c r="O57" s="18" t="str">
        <f>IF(ISNUMBER(M57), $B64 * N57, "")</f>
        <v/>
      </c>
      <c r="Q57" s="236"/>
      <c r="R57" s="236"/>
      <c r="S57" s="236"/>
    </row>
    <row r="58" spans="1:19" ht="17.25" customHeight="1" thickBot="1">
      <c r="A58" s="127" t="s">
        <v>98</v>
      </c>
      <c r="B58" s="128">
        <v>5.39</v>
      </c>
      <c r="C58" s="78">
        <v>-5.5350553999999998E-3</v>
      </c>
      <c r="D58" s="20">
        <v>5.55</v>
      </c>
      <c r="E58" s="21">
        <f t="shared" si="22"/>
        <v>2.968460111317257E-2</v>
      </c>
      <c r="F58" s="22">
        <f>IF(ISNUMBER(D58), $B64 * E58, "")</f>
        <v>2968.4601113172571</v>
      </c>
      <c r="G58" s="30">
        <v>5.56</v>
      </c>
      <c r="H58" s="21">
        <f t="shared" si="23"/>
        <v>3.1539888682745813E-2</v>
      </c>
      <c r="I58" s="105">
        <f>IF(ISNUMBER(G58), $B64 * H58, "")</f>
        <v>3153.9888682745814</v>
      </c>
      <c r="J58" s="20">
        <v>5.47</v>
      </c>
      <c r="K58" s="21">
        <f t="shared" si="24"/>
        <v>1.4842300556586285E-2</v>
      </c>
      <c r="L58" s="22">
        <f>IF(ISNUMBER(J58), $B64 * K58, "")</f>
        <v>1484.2300556586285</v>
      </c>
      <c r="M58" s="30"/>
      <c r="N58" s="21" t="str">
        <f t="shared" si="25"/>
        <v/>
      </c>
      <c r="O58" s="22" t="str">
        <f>IF(ISNUMBER(M58), $B64 * N58, "")</f>
        <v/>
      </c>
      <c r="Q58" s="236"/>
      <c r="R58" s="236"/>
      <c r="S58" s="236"/>
    </row>
    <row r="59" spans="1:19" ht="17.25" customHeight="1" thickBot="1">
      <c r="A59" s="125" t="s">
        <v>190</v>
      </c>
      <c r="B59" s="129">
        <v>19.899999999999999</v>
      </c>
      <c r="C59" s="80">
        <v>-9.9502488000000004E-3</v>
      </c>
      <c r="D59" s="106">
        <v>20.6</v>
      </c>
      <c r="E59" s="107">
        <f>IF(ISNUMBER(D59), (D59 - $B59) / $B59, "")</f>
        <v>3.517587939698507E-2</v>
      </c>
      <c r="F59" s="108">
        <f>IF(ISNUMBER(D59), $B64 * E59, "")</f>
        <v>3517.5879396985069</v>
      </c>
      <c r="G59" s="109">
        <v>20</v>
      </c>
      <c r="H59" s="107">
        <f>IF(ISNUMBER(G59), (G59 - $B59) / $B59, "")</f>
        <v>5.0251256281407756E-3</v>
      </c>
      <c r="I59" s="110">
        <f>IF(ISNUMBER(G59), $B64 * H59, "")</f>
        <v>502.51256281407757</v>
      </c>
      <c r="J59" s="106">
        <v>19.8</v>
      </c>
      <c r="K59" s="107">
        <f>IF(ISNUMBER(J59), (J59 - $B59) / $B59, "")</f>
        <v>-5.0251256281405969E-3</v>
      </c>
      <c r="L59" s="108">
        <f>IF(ISNUMBER(J59), $B64 * K59, "")</f>
        <v>-502.51256281405966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1"/>
      <c r="R59" s="241"/>
      <c r="S59" s="241"/>
    </row>
    <row r="60" spans="1:19" ht="17.25" customHeight="1" thickBot="1">
      <c r="A60" s="125" t="s">
        <v>202</v>
      </c>
      <c r="B60" s="126">
        <v>97.6</v>
      </c>
      <c r="C60" s="77">
        <v>-1.01419878E-2</v>
      </c>
      <c r="D60" s="15">
        <v>99.3</v>
      </c>
      <c r="E60" s="32">
        <f t="shared" ref="E60:E63" si="26">IF(ISNUMBER(D60), (D60 - $B60) / $B60, "")</f>
        <v>1.7418032786885276E-2</v>
      </c>
      <c r="F60" s="18">
        <f>IF(ISNUMBER(D60), $B64 * E60, "")</f>
        <v>1741.8032786885276</v>
      </c>
      <c r="G60" s="31">
        <v>97.9</v>
      </c>
      <c r="H60" s="32">
        <f t="shared" ref="H60:H63" si="27">IF(ISNUMBER(G60), (G60 - $B60) / $B60, "")</f>
        <v>3.0737704918033953E-3</v>
      </c>
      <c r="I60" s="101">
        <f>IF(ISNUMBER(G60), $B64 * H60, "")</f>
        <v>307.37704918033955</v>
      </c>
      <c r="J60" s="15">
        <v>96.9</v>
      </c>
      <c r="K60" s="32">
        <f t="shared" ref="K60:K63" si="28">IF(ISNUMBER(J60), (J60 - $B60) / $B60, "")</f>
        <v>-7.1721311475408675E-3</v>
      </c>
      <c r="L60" s="18">
        <f>IF(ISNUMBER(J60), $B64 * K60, "")</f>
        <v>-717.21311475408675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1"/>
      <c r="R60" s="241"/>
      <c r="S60" s="24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1"/>
      <c r="R61" s="241"/>
      <c r="S61" s="24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3"/>
      <c r="R62" s="264"/>
      <c r="S62" s="26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6"/>
      <c r="R63" s="267"/>
      <c r="S63" s="268"/>
    </row>
    <row r="64" spans="1:19" ht="17.25" customHeight="1" thickBot="1">
      <c r="A64" s="132" t="s">
        <v>270</v>
      </c>
      <c r="B64" s="274">
        <f>$B$37</f>
        <v>100000</v>
      </c>
      <c r="C64" s="275"/>
      <c r="D64" s="26" t="s">
        <v>271</v>
      </c>
      <c r="E64" s="27">
        <f>IF(COUNT(E44:E63), SUM(E44:E63) / COUNT(E44:E63), 0)</f>
        <v>2.625836472679011E-2</v>
      </c>
      <c r="F64" s="28">
        <f>SUM(F44:F63)</f>
        <v>44639.220035543185</v>
      </c>
      <c r="G64" s="26" t="s">
        <v>271</v>
      </c>
      <c r="H64" s="27">
        <f>IF(COUNT(H44:H63), SUM(H44:H63) / COUNT(H44:H63), 0)</f>
        <v>1.2548484391566337E-2</v>
      </c>
      <c r="I64" s="28">
        <f>SUM(I44:I63)</f>
        <v>21332.42346566277</v>
      </c>
      <c r="J64" s="26" t="s">
        <v>271</v>
      </c>
      <c r="K64" s="27">
        <f>IF(COUNT(K44:K63), SUM(K44:K63) / COUNT(K44:K63), 0)</f>
        <v>4.0390159418457238E-3</v>
      </c>
      <c r="L64" s="28">
        <f>SUM(L44:L63)</f>
        <v>6866.3271011377319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69"/>
      <c r="R64" s="270"/>
      <c r="S64" s="27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36"/>
      <c r="R67" s="236"/>
      <c r="S67" s="236"/>
    </row>
    <row r="68" spans="1:19" ht="17.25" thickBot="1">
      <c r="A68" s="211" t="s">
        <v>267</v>
      </c>
      <c r="B68" s="215" t="s">
        <v>49</v>
      </c>
      <c r="C68" s="217"/>
      <c r="D68" s="215" t="s">
        <v>58</v>
      </c>
      <c r="E68" s="216"/>
      <c r="F68" s="217"/>
      <c r="G68" s="242">
        <f>_xlfn.IFNA(VLOOKUP(B68, 현재가테이블!$B$2:$D$200, 2, FALSE), "-")</f>
        <v>53976000</v>
      </c>
      <c r="H68" s="243"/>
      <c r="I68" s="244"/>
      <c r="J68" s="215" t="s">
        <v>59</v>
      </c>
      <c r="K68" s="216"/>
      <c r="L68" s="217"/>
      <c r="M68" s="245">
        <f>_xlfn.IFNA(VLOOKUP(B68, 현재가테이블!$B$2:$D$200, 3, FALSE), "-")</f>
        <v>-2.1216407400000001E-2</v>
      </c>
      <c r="N68" s="246"/>
      <c r="O68" s="247"/>
      <c r="Q68" s="236"/>
      <c r="R68" s="236"/>
      <c r="S68" s="236"/>
    </row>
    <row r="69" spans="1:19" ht="17.25" thickBot="1">
      <c r="A69" s="276" t="s">
        <v>55</v>
      </c>
      <c r="B69" s="278" t="str">
        <f>TEXT($G$1, "[$-ko-KR]yyyy-mm-dd(ddd) ") &amp; "오전 00:00"</f>
        <v>2021-08-14(토) 오전 00:00</v>
      </c>
      <c r="C69" s="279"/>
      <c r="D69" s="238" t="str">
        <f>TEXT($G$1, "[$-ko-KR]yyyy-mm-dd(ddd) ") &amp; "오후 14:00"</f>
        <v>2021-08-14(토) 오후 14:00</v>
      </c>
      <c r="E69" s="239"/>
      <c r="F69" s="240"/>
      <c r="G69" s="238" t="str">
        <f>TEXT($G$1, "[$-ko-KR]yyyy-mm-dd(ddd) ") &amp; "오후 19:00"</f>
        <v>2021-08-14(토) 오후 19:00</v>
      </c>
      <c r="H69" s="239"/>
      <c r="I69" s="240"/>
      <c r="J69" s="238" t="str">
        <f>TEXT($G$1, "[$-ko-KR]yyyy-mm-dd(ddd) ") &amp; "오후 21:00"</f>
        <v>2021-08-14(토) 오후 21:00</v>
      </c>
      <c r="K69" s="239"/>
      <c r="L69" s="240"/>
      <c r="M69" s="238" t="str">
        <f>TEXT($G$1+1, "[$-ko-KR]yyyy-mm-dd(ddd) ") &amp; "오전 00:00"</f>
        <v>2021-08-15(일) 오전 00:00</v>
      </c>
      <c r="N69" s="239"/>
      <c r="O69" s="240"/>
      <c r="Q69" s="236"/>
      <c r="R69" s="236"/>
      <c r="S69" s="236"/>
    </row>
    <row r="70" spans="1:19" ht="17.25" thickBot="1">
      <c r="A70" s="27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2" t="s">
        <v>58</v>
      </c>
      <c r="H70" s="213" t="s">
        <v>268</v>
      </c>
      <c r="I70" s="2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1"/>
      <c r="R70" s="241"/>
      <c r="S70" s="241"/>
    </row>
    <row r="71" spans="1:19" ht="17.25" thickBot="1">
      <c r="A71" s="123" t="s">
        <v>130</v>
      </c>
      <c r="B71" s="124">
        <v>115</v>
      </c>
      <c r="C71" s="76">
        <v>8.4905660399999999E-2</v>
      </c>
      <c r="D71" s="13">
        <v>114</v>
      </c>
      <c r="E71" s="14">
        <f>IF(ISNUMBER(D71), (D71 - $B71) / $B71, "")</f>
        <v>-8.6956521739130436E-3</v>
      </c>
      <c r="F71" s="16">
        <f>IF(ISNUMBER(D71), $B91 * E71, "")</f>
        <v>-869.56521739130437</v>
      </c>
      <c r="G71" s="29">
        <v>113</v>
      </c>
      <c r="H71" s="14">
        <f>IF(ISNUMBER(G71), (G71 - $B71) / $B71, "")</f>
        <v>-1.7391304347826087E-2</v>
      </c>
      <c r="I71" s="100">
        <f>IF(ISNUMBER(G71), $B91 * H71, "")</f>
        <v>-1739.1304347826087</v>
      </c>
      <c r="J71" s="13">
        <v>113</v>
      </c>
      <c r="K71" s="14">
        <f>IF(ISNUMBER(J71), (J71 - $B71) / $B71, "")</f>
        <v>-1.7391304347826087E-2</v>
      </c>
      <c r="L71" s="16">
        <f>IF(ISNUMBER(J71), $B91 * K71, "")</f>
        <v>-1739.1304347826087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6"/>
      <c r="R71" s="236"/>
      <c r="S71" s="236"/>
    </row>
    <row r="72" spans="1:19" ht="17.25" thickBot="1">
      <c r="A72" s="125" t="s">
        <v>144</v>
      </c>
      <c r="B72" s="126">
        <v>117</v>
      </c>
      <c r="C72" s="77">
        <v>6.3636363599999995E-2</v>
      </c>
      <c r="D72" s="15">
        <v>121</v>
      </c>
      <c r="E72" s="32">
        <f t="shared" ref="E72:E75" si="30">IF(ISNUMBER(D72), (D72 - $B72) / $B72, "")</f>
        <v>3.4188034188034191E-2</v>
      </c>
      <c r="F72" s="18">
        <f>IF(ISNUMBER(D72), $B91 * E72, "")</f>
        <v>3418.8034188034189</v>
      </c>
      <c r="G72" s="31">
        <v>119</v>
      </c>
      <c r="H72" s="32">
        <f t="shared" ref="H72:H75" si="31">IF(ISNUMBER(G72), (G72 - $B72) / $B72, "")</f>
        <v>1.7094017094017096E-2</v>
      </c>
      <c r="I72" s="101">
        <f>IF(ISNUMBER(G72), $B91 * H72, "")</f>
        <v>1709.4017094017095</v>
      </c>
      <c r="J72" s="15">
        <v>116</v>
      </c>
      <c r="K72" s="32">
        <f t="shared" ref="K72:K75" si="32">IF(ISNUMBER(J72), (J72 - $B72) / $B72, "")</f>
        <v>-8.5470085470085479E-3</v>
      </c>
      <c r="L72" s="18">
        <f>IF(ISNUMBER(J72), $B91 * K72, "")</f>
        <v>-854.70085470085473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6"/>
      <c r="R72" s="236"/>
      <c r="S72" s="236"/>
    </row>
    <row r="73" spans="1:19" ht="17.25" thickBot="1">
      <c r="A73" s="125" t="s">
        <v>162</v>
      </c>
      <c r="B73" s="126">
        <v>111</v>
      </c>
      <c r="C73" s="77">
        <v>4.7169811300000003E-2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114</v>
      </c>
      <c r="H73" s="32">
        <f t="shared" si="31"/>
        <v>2.7027027027027029E-2</v>
      </c>
      <c r="I73" s="101">
        <f>IF(ISNUMBER(G73), $B91 * H73, "")</f>
        <v>2702.7027027027029</v>
      </c>
      <c r="J73" s="15">
        <v>113</v>
      </c>
      <c r="K73" s="32">
        <f t="shared" si="32"/>
        <v>1.8018018018018018E-2</v>
      </c>
      <c r="L73" s="18">
        <f>IF(ISNUMBER(J73), $B91 * K73, "")</f>
        <v>1801.8018018018017</v>
      </c>
      <c r="M73" s="31"/>
      <c r="N73" s="32" t="str">
        <f t="shared" si="33"/>
        <v/>
      </c>
      <c r="O73" s="18" t="str">
        <f>IF(ISNUMBER(M73), $B91 * N73, "")</f>
        <v/>
      </c>
      <c r="Q73" s="241"/>
      <c r="R73" s="241"/>
      <c r="S73" s="241"/>
    </row>
    <row r="74" spans="1:19" ht="17.25" thickBot="1">
      <c r="A74" s="125" t="s">
        <v>51</v>
      </c>
      <c r="B74" s="126">
        <v>403</v>
      </c>
      <c r="C74" s="77">
        <v>4.40414508E-2</v>
      </c>
      <c r="D74" s="15">
        <v>417</v>
      </c>
      <c r="E74" s="32">
        <f t="shared" si="30"/>
        <v>3.4739454094292806E-2</v>
      </c>
      <c r="F74" s="18">
        <f>IF(ISNUMBER(D74), $B91 * E74, "")</f>
        <v>3473.9454094292805</v>
      </c>
      <c r="G74" s="31">
        <v>417</v>
      </c>
      <c r="H74" s="32">
        <f t="shared" si="31"/>
        <v>3.4739454094292806E-2</v>
      </c>
      <c r="I74" s="101">
        <f>IF(ISNUMBER(G74), $B91 * H74, "")</f>
        <v>3473.9454094292805</v>
      </c>
      <c r="J74" s="15">
        <v>419</v>
      </c>
      <c r="K74" s="32">
        <f t="shared" si="32"/>
        <v>3.9702233250620347E-2</v>
      </c>
      <c r="L74" s="18">
        <f>IF(ISNUMBER(J74), $B91 * K74, "")</f>
        <v>3970.2233250620347</v>
      </c>
      <c r="M74" s="31"/>
      <c r="N74" s="32" t="str">
        <f t="shared" si="33"/>
        <v/>
      </c>
      <c r="O74" s="18" t="str">
        <f>IF(ISNUMBER(M74), $B91 * N74, "")</f>
        <v/>
      </c>
      <c r="Q74" s="241"/>
      <c r="R74" s="241"/>
      <c r="S74" s="241"/>
    </row>
    <row r="75" spans="1:19" ht="17.25" thickBot="1">
      <c r="A75" s="127" t="s">
        <v>118</v>
      </c>
      <c r="B75" s="128">
        <v>170</v>
      </c>
      <c r="C75" s="78">
        <v>4.2944785300000003E-2</v>
      </c>
      <c r="D75" s="20">
        <v>176</v>
      </c>
      <c r="E75" s="21">
        <f t="shared" si="30"/>
        <v>3.5294117647058823E-2</v>
      </c>
      <c r="F75" s="22">
        <f>IF(ISNUMBER(D75), $B91 * E75, "")</f>
        <v>3529.4117647058824</v>
      </c>
      <c r="G75" s="30">
        <v>173</v>
      </c>
      <c r="H75" s="21">
        <f t="shared" si="31"/>
        <v>1.7647058823529412E-2</v>
      </c>
      <c r="I75" s="105">
        <f>IF(ISNUMBER(G75), $B91 * H75, "")</f>
        <v>1764.7058823529412</v>
      </c>
      <c r="J75" s="20">
        <v>173</v>
      </c>
      <c r="K75" s="21">
        <f t="shared" si="32"/>
        <v>1.7647058823529412E-2</v>
      </c>
      <c r="L75" s="22">
        <f>IF(ISNUMBER(J75), $B91 * K75, "")</f>
        <v>1764.7058823529412</v>
      </c>
      <c r="M75" s="30"/>
      <c r="N75" s="21" t="str">
        <f t="shared" si="33"/>
        <v/>
      </c>
      <c r="O75" s="22" t="str">
        <f>IF(ISNUMBER(M75), $B91 * N75, "")</f>
        <v/>
      </c>
      <c r="Q75" s="241"/>
      <c r="R75" s="241"/>
      <c r="S75" s="241"/>
    </row>
    <row r="76" spans="1:19" ht="17.25" thickBot="1">
      <c r="A76" s="125" t="s">
        <v>124</v>
      </c>
      <c r="B76" s="129">
        <v>382</v>
      </c>
      <c r="C76" s="80">
        <v>4.08719346E-2</v>
      </c>
      <c r="D76" s="106">
        <v>390</v>
      </c>
      <c r="E76" s="107">
        <f>IF(ISNUMBER(D76), (D76 - $B76) / $B76, "")</f>
        <v>2.0942408376963352E-2</v>
      </c>
      <c r="F76" s="108">
        <f>IF(ISNUMBER(D76), $B91 * E76, "")</f>
        <v>2094.2408376963353</v>
      </c>
      <c r="G76" s="109">
        <v>387</v>
      </c>
      <c r="H76" s="107">
        <f>IF(ISNUMBER(G76), (G76 - $B76) / $B76, "")</f>
        <v>1.3089005235602094E-2</v>
      </c>
      <c r="I76" s="110">
        <f>IF(ISNUMBER(G76), $B91 * H76, "")</f>
        <v>1308.9005235602094</v>
      </c>
      <c r="J76" s="106">
        <v>381</v>
      </c>
      <c r="K76" s="107">
        <f>IF(ISNUMBER(J76), (J76 - $B76) / $B76, "")</f>
        <v>-2.617801047120419E-3</v>
      </c>
      <c r="L76" s="108">
        <f>IF(ISNUMBER(J76), $B91 * K76, "")</f>
        <v>-261.78010471204192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1"/>
      <c r="R76" s="241"/>
      <c r="S76" s="241"/>
    </row>
    <row r="77" spans="1:19" ht="17.25" thickBot="1">
      <c r="A77" s="125" t="s">
        <v>128</v>
      </c>
      <c r="B77" s="126">
        <v>131</v>
      </c>
      <c r="C77" s="77">
        <v>3.9682539699999998E-2</v>
      </c>
      <c r="D77" s="15">
        <v>144</v>
      </c>
      <c r="E77" s="32">
        <f t="shared" ref="E77:E80" si="34">IF(ISNUMBER(D77), (D77 - $B77) / $B77, "")</f>
        <v>9.9236641221374045E-2</v>
      </c>
      <c r="F77" s="18">
        <f>IF(ISNUMBER(D77), $B91 * E77, "")</f>
        <v>9923.6641221374048</v>
      </c>
      <c r="G77" s="31">
        <v>143</v>
      </c>
      <c r="H77" s="32">
        <f t="shared" ref="H77:H80" si="35">IF(ISNUMBER(G77), (G77 - $B77) / $B77, "")</f>
        <v>9.1603053435114504E-2</v>
      </c>
      <c r="I77" s="101">
        <f>IF(ISNUMBER(G77), $B91 * H77, "")</f>
        <v>9160.3053435114507</v>
      </c>
      <c r="J77" s="15">
        <v>143</v>
      </c>
      <c r="K77" s="32">
        <f t="shared" ref="K77:K80" si="36">IF(ISNUMBER(J77), (J77 - $B77) / $B77, "")</f>
        <v>9.1603053435114504E-2</v>
      </c>
      <c r="L77" s="18">
        <f>IF(ISNUMBER(J77), $B91 * K77, "")</f>
        <v>9160.3053435114507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1"/>
      <c r="R77" s="241"/>
      <c r="S77" s="241"/>
    </row>
    <row r="78" spans="1:19" ht="17.25" thickBot="1">
      <c r="A78" s="125" t="s">
        <v>80</v>
      </c>
      <c r="B78" s="126">
        <v>872</v>
      </c>
      <c r="C78" s="77">
        <v>3.8095238099999998E-2</v>
      </c>
      <c r="D78" s="15">
        <v>896</v>
      </c>
      <c r="E78" s="32">
        <f t="shared" si="34"/>
        <v>2.7522935779816515E-2</v>
      </c>
      <c r="F78" s="18">
        <f>IF(ISNUMBER(D78), $B91 * E78, "")</f>
        <v>2752.2935779816517</v>
      </c>
      <c r="G78" s="31">
        <v>883</v>
      </c>
      <c r="H78" s="32">
        <f t="shared" si="35"/>
        <v>1.261467889908257E-2</v>
      </c>
      <c r="I78" s="101">
        <f>IF(ISNUMBER(G78), $B91 * H78, "")</f>
        <v>1261.4678899082569</v>
      </c>
      <c r="J78" s="15">
        <v>878</v>
      </c>
      <c r="K78" s="32">
        <f t="shared" si="36"/>
        <v>6.8807339449541288E-3</v>
      </c>
      <c r="L78" s="18">
        <f>IF(ISNUMBER(J78), $B91 * K78, "")</f>
        <v>688.07339449541291</v>
      </c>
      <c r="M78" s="31"/>
      <c r="N78" s="32" t="str">
        <f t="shared" si="37"/>
        <v/>
      </c>
      <c r="O78" s="18" t="str">
        <f>IF(ISNUMBER(M78), $B91 * N78, "")</f>
        <v/>
      </c>
      <c r="Q78" s="241"/>
      <c r="R78" s="241"/>
      <c r="S78" s="241"/>
    </row>
    <row r="79" spans="1:19" ht="17.25" thickBot="1">
      <c r="A79" s="125" t="s">
        <v>254</v>
      </c>
      <c r="B79" s="126">
        <v>315</v>
      </c>
      <c r="C79" s="77">
        <v>3.6184210500000001E-2</v>
      </c>
      <c r="D79" s="15">
        <v>319</v>
      </c>
      <c r="E79" s="32">
        <f t="shared" si="34"/>
        <v>1.2698412698412698E-2</v>
      </c>
      <c r="F79" s="18">
        <f>IF(ISNUMBER(D79), $B91 * E79, "")</f>
        <v>1269.8412698412699</v>
      </c>
      <c r="G79" s="31">
        <v>312</v>
      </c>
      <c r="H79" s="32">
        <f t="shared" si="35"/>
        <v>-9.5238095238095247E-3</v>
      </c>
      <c r="I79" s="101">
        <f>IF(ISNUMBER(G79), $B91 * H79, "")</f>
        <v>-952.38095238095252</v>
      </c>
      <c r="J79" s="15">
        <v>315</v>
      </c>
      <c r="K79" s="32">
        <f t="shared" si="36"/>
        <v>0</v>
      </c>
      <c r="L79" s="18">
        <f>IF(ISNUMBER(J79), $B91 * K79, "")</f>
        <v>0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206</v>
      </c>
      <c r="B80" s="131">
        <v>349</v>
      </c>
      <c r="C80" s="79">
        <v>2.9498525099999999E-2</v>
      </c>
      <c r="D80" s="24">
        <v>350</v>
      </c>
      <c r="E80" s="25">
        <f t="shared" si="34"/>
        <v>2.8653295128939827E-3</v>
      </c>
      <c r="F80" s="104">
        <f>IF(ISNUMBER(D80), $B91 * E80, "")</f>
        <v>286.53295128939828</v>
      </c>
      <c r="G80" s="102">
        <v>348</v>
      </c>
      <c r="H80" s="25">
        <f t="shared" si="35"/>
        <v>-2.8653295128939827E-3</v>
      </c>
      <c r="I80" s="103">
        <f>IF(ISNUMBER(G80), $B91 * H80, "")</f>
        <v>-286.53295128939828</v>
      </c>
      <c r="J80" s="24">
        <v>347</v>
      </c>
      <c r="K80" s="25">
        <f t="shared" si="36"/>
        <v>-5.7306590257879654E-3</v>
      </c>
      <c r="L80" s="104">
        <f>IF(ISNUMBER(J80), $B91 * K80, "")</f>
        <v>-573.06590257879657</v>
      </c>
      <c r="M80" s="102"/>
      <c r="N80" s="25" t="str">
        <f t="shared" si="37"/>
        <v/>
      </c>
      <c r="O80" s="104" t="str">
        <f>IF(ISNUMBER(M80), $B91 * N80, "")</f>
        <v/>
      </c>
      <c r="Q80" s="250"/>
      <c r="R80" s="251"/>
      <c r="S80" s="252"/>
    </row>
    <row r="81" spans="1:19">
      <c r="A81" s="123" t="s">
        <v>57</v>
      </c>
      <c r="B81" s="124">
        <v>226</v>
      </c>
      <c r="C81" s="76">
        <v>2.7272727300000001E-2</v>
      </c>
      <c r="D81" s="13">
        <v>235</v>
      </c>
      <c r="E81" s="14">
        <f>IF(ISNUMBER(D81), (D81 - $B81) / $B81, "")</f>
        <v>3.9823008849557522E-2</v>
      </c>
      <c r="F81" s="16">
        <f>IF(ISNUMBER(D81), $B91 * E81, "")</f>
        <v>3982.3008849557523</v>
      </c>
      <c r="G81" s="29">
        <v>232</v>
      </c>
      <c r="H81" s="14">
        <f>IF(ISNUMBER(G81), (G81 - $B81) / $B81, "")</f>
        <v>2.6548672566371681E-2</v>
      </c>
      <c r="I81" s="100">
        <f>IF(ISNUMBER(G81), $B91 * H81, "")</f>
        <v>2654.8672566371679</v>
      </c>
      <c r="J81" s="13">
        <v>234</v>
      </c>
      <c r="K81" s="14">
        <f>IF(ISNUMBER(J81), (J81 - $B81) / $B81, "")</f>
        <v>3.5398230088495575E-2</v>
      </c>
      <c r="L81" s="16">
        <f>IF(ISNUMBER(J81), $B91 * K81, "")</f>
        <v>3539.8230088495575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3"/>
      <c r="R81" s="254"/>
      <c r="S81" s="255"/>
    </row>
    <row r="82" spans="1:19" ht="17.25" thickBot="1">
      <c r="A82" s="125" t="s">
        <v>152</v>
      </c>
      <c r="B82" s="126">
        <v>101</v>
      </c>
      <c r="C82" s="77">
        <v>2.4340770800000001E-2</v>
      </c>
      <c r="D82" s="15">
        <v>102</v>
      </c>
      <c r="E82" s="32">
        <f t="shared" ref="E82:E85" si="38">IF(ISNUMBER(D82), (D82 - $B82) / $B82, "")</f>
        <v>9.9009900990099011E-3</v>
      </c>
      <c r="F82" s="18">
        <f>IF(ISNUMBER(D82), $B91 * E82, "")</f>
        <v>990.09900990099015</v>
      </c>
      <c r="G82" s="31">
        <v>103</v>
      </c>
      <c r="H82" s="32">
        <f t="shared" ref="H82:H85" si="39">IF(ISNUMBER(G82), (G82 - $B82) / $B82, "")</f>
        <v>1.9801980198019802E-2</v>
      </c>
      <c r="I82" s="101">
        <f>IF(ISNUMBER(G82), $B91 * H82, "")</f>
        <v>1980.1980198019803</v>
      </c>
      <c r="J82" s="15">
        <v>102</v>
      </c>
      <c r="K82" s="32">
        <f t="shared" ref="K82:K85" si="40">IF(ISNUMBER(J82), (J82 - $B82) / $B82, "")</f>
        <v>9.9009900990099011E-3</v>
      </c>
      <c r="L82" s="18">
        <f>IF(ISNUMBER(J82), $B91 * K82, "")</f>
        <v>990.09900990099015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6"/>
      <c r="R82" s="257"/>
      <c r="S82" s="258"/>
    </row>
    <row r="83" spans="1:19" ht="17.25" thickBot="1">
      <c r="A83" s="125" t="s">
        <v>266</v>
      </c>
      <c r="B83" s="126">
        <v>317</v>
      </c>
      <c r="C83" s="77">
        <v>2.2580645199999999E-2</v>
      </c>
      <c r="D83" s="15">
        <v>336</v>
      </c>
      <c r="E83" s="32">
        <f t="shared" si="38"/>
        <v>5.993690851735016E-2</v>
      </c>
      <c r="F83" s="18">
        <f>IF(ISNUMBER(D83), $B91 * E83, "")</f>
        <v>5993.6908517350157</v>
      </c>
      <c r="G83" s="31">
        <v>332</v>
      </c>
      <c r="H83" s="32">
        <f t="shared" si="39"/>
        <v>4.7318611987381701E-2</v>
      </c>
      <c r="I83" s="101">
        <f>IF(ISNUMBER(G83), $B91 * H83, "")</f>
        <v>4731.8611987381701</v>
      </c>
      <c r="J83" s="15">
        <v>325</v>
      </c>
      <c r="K83" s="32">
        <f t="shared" si="40"/>
        <v>2.5236593059936908E-2</v>
      </c>
      <c r="L83" s="18">
        <f>IF(ISNUMBER(J83), $B91 * K83, "")</f>
        <v>2523.6593059936909</v>
      </c>
      <c r="M83" s="31"/>
      <c r="N83" s="32" t="str">
        <f t="shared" si="41"/>
        <v/>
      </c>
      <c r="O83" s="18" t="str">
        <f>IF(ISNUMBER(M83), $B91 * N83, "")</f>
        <v/>
      </c>
      <c r="Q83" s="241"/>
      <c r="R83" s="241"/>
      <c r="S83" s="241"/>
    </row>
    <row r="84" spans="1:19" ht="17.25" thickBot="1">
      <c r="A84" s="125" t="s">
        <v>110</v>
      </c>
      <c r="B84" s="126">
        <v>189</v>
      </c>
      <c r="C84" s="77">
        <v>2.1621621600000002E-2</v>
      </c>
      <c r="D84" s="15">
        <v>201</v>
      </c>
      <c r="E84" s="32">
        <f t="shared" si="38"/>
        <v>6.3492063492063489E-2</v>
      </c>
      <c r="F84" s="18">
        <f>IF(ISNUMBER(D84), $B91 * E84, "")</f>
        <v>6349.2063492063489</v>
      </c>
      <c r="G84" s="31">
        <v>194</v>
      </c>
      <c r="H84" s="32">
        <f t="shared" si="39"/>
        <v>2.6455026455026454E-2</v>
      </c>
      <c r="I84" s="101">
        <f>IF(ISNUMBER(G84), $B91 * H84, "")</f>
        <v>2645.5026455026455</v>
      </c>
      <c r="J84" s="15">
        <v>192</v>
      </c>
      <c r="K84" s="32">
        <f t="shared" si="40"/>
        <v>1.5873015873015872E-2</v>
      </c>
      <c r="L84" s="18">
        <f>IF(ISNUMBER(J84), $B91 * K84, "")</f>
        <v>1587.3015873015872</v>
      </c>
      <c r="M84" s="31"/>
      <c r="N84" s="32" t="str">
        <f t="shared" si="41"/>
        <v/>
      </c>
      <c r="O84" s="18" t="str">
        <f>IF(ISNUMBER(M84), $B91 * N84, "")</f>
        <v/>
      </c>
      <c r="Q84" s="236"/>
      <c r="R84" s="236"/>
      <c r="S84" s="236"/>
    </row>
    <row r="85" spans="1:19" ht="17.25" thickBot="1">
      <c r="A85" s="127" t="s">
        <v>236</v>
      </c>
      <c r="B85" s="128">
        <v>634</v>
      </c>
      <c r="C85" s="78">
        <v>1.9292604500000001E-2</v>
      </c>
      <c r="D85" s="20">
        <v>695</v>
      </c>
      <c r="E85" s="21">
        <f t="shared" si="38"/>
        <v>9.6214511041009462E-2</v>
      </c>
      <c r="F85" s="22">
        <f>IF(ISNUMBER(D85), $B91 * E85, "")</f>
        <v>9621.4511041009464</v>
      </c>
      <c r="G85" s="30">
        <v>673</v>
      </c>
      <c r="H85" s="21">
        <f t="shared" si="39"/>
        <v>6.1514195583596214E-2</v>
      </c>
      <c r="I85" s="105">
        <f>IF(ISNUMBER(G85), $B91 * H85, "")</f>
        <v>6151.4195583596211</v>
      </c>
      <c r="J85" s="20">
        <v>678</v>
      </c>
      <c r="K85" s="21">
        <f t="shared" si="40"/>
        <v>6.9400630914826497E-2</v>
      </c>
      <c r="L85" s="22">
        <f>IF(ISNUMBER(J85), $B91 * K85, "")</f>
        <v>6940.0630914826497</v>
      </c>
      <c r="M85" s="30"/>
      <c r="N85" s="21" t="str">
        <f t="shared" si="41"/>
        <v/>
      </c>
      <c r="O85" s="22" t="str">
        <f>IF(ISNUMBER(M85), $B91 * N85, "")</f>
        <v/>
      </c>
      <c r="Q85" s="236"/>
      <c r="R85" s="236"/>
      <c r="S85" s="236"/>
    </row>
    <row r="86" spans="1:19" ht="17.25" thickBot="1">
      <c r="A86" s="125" t="s">
        <v>238</v>
      </c>
      <c r="B86" s="129">
        <v>107</v>
      </c>
      <c r="C86" s="80">
        <v>1.9047618999999998E-2</v>
      </c>
      <c r="D86" s="106">
        <v>112</v>
      </c>
      <c r="E86" s="107">
        <f>IF(ISNUMBER(D86), (D86 - $B86) / $B86, "")</f>
        <v>4.6728971962616821E-2</v>
      </c>
      <c r="F86" s="108">
        <f>IF(ISNUMBER(D86), $B91 * E86, "")</f>
        <v>4672.8971962616824</v>
      </c>
      <c r="G86" s="109">
        <v>110</v>
      </c>
      <c r="H86" s="107">
        <f>IF(ISNUMBER(G86), (G86 - $B86) / $B86, "")</f>
        <v>2.8037383177570093E-2</v>
      </c>
      <c r="I86" s="110">
        <f>IF(ISNUMBER(G86), $B91 * H86, "")</f>
        <v>2803.7383177570091</v>
      </c>
      <c r="J86" s="106">
        <v>108</v>
      </c>
      <c r="K86" s="107">
        <f>IF(ISNUMBER(J86), (J86 - $B86) / $B86, "")</f>
        <v>9.3457943925233638E-3</v>
      </c>
      <c r="L86" s="108">
        <f>IF(ISNUMBER(J86), $B91 * K86, "")</f>
        <v>934.57943925233633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1"/>
      <c r="R86" s="241"/>
      <c r="S86" s="241"/>
    </row>
    <row r="87" spans="1:19" ht="17.25" thickBot="1">
      <c r="A87" s="125" t="s">
        <v>174</v>
      </c>
      <c r="B87" s="126">
        <v>353</v>
      </c>
      <c r="C87" s="77">
        <v>1.7291066300000001E-2</v>
      </c>
      <c r="D87" s="15">
        <v>357</v>
      </c>
      <c r="E87" s="32">
        <f t="shared" ref="E87:E90" si="42">IF(ISNUMBER(D87), (D87 - $B87) / $B87, "")</f>
        <v>1.1331444759206799E-2</v>
      </c>
      <c r="F87" s="18">
        <f>IF(ISNUMBER(D87), $B91 * E87, "")</f>
        <v>1133.14447592068</v>
      </c>
      <c r="G87" s="31">
        <v>352</v>
      </c>
      <c r="H87" s="32">
        <f t="shared" ref="H87:H90" si="43">IF(ISNUMBER(G87), (G87 - $B87) / $B87, "")</f>
        <v>-2.8328611898016999E-3</v>
      </c>
      <c r="I87" s="101">
        <f>IF(ISNUMBER(G87), $B91 * H87, "")</f>
        <v>-283.28611898016999</v>
      </c>
      <c r="J87" s="15">
        <v>352</v>
      </c>
      <c r="K87" s="32">
        <f t="shared" ref="K87:K90" si="44">IF(ISNUMBER(J87), (J87 - $B87) / $B87, "")</f>
        <v>-2.8328611898016999E-3</v>
      </c>
      <c r="L87" s="18">
        <f>IF(ISNUMBER(J87), $B91 * K87, "")</f>
        <v>-283.28611898016999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1"/>
      <c r="R87" s="241"/>
      <c r="S87" s="241"/>
    </row>
    <row r="88" spans="1:19" ht="17.25" thickBot="1">
      <c r="A88" s="125" t="s">
        <v>200</v>
      </c>
      <c r="B88" s="126">
        <v>143</v>
      </c>
      <c r="C88" s="77">
        <v>1.4184397200000001E-2</v>
      </c>
      <c r="D88" s="15">
        <v>146</v>
      </c>
      <c r="E88" s="32">
        <f t="shared" si="42"/>
        <v>2.097902097902098E-2</v>
      </c>
      <c r="F88" s="18">
        <f>IF(ISNUMBER(D88), $B91 * E88, "")</f>
        <v>2097.9020979020979</v>
      </c>
      <c r="G88" s="31">
        <v>143</v>
      </c>
      <c r="H88" s="32">
        <f t="shared" si="43"/>
        <v>0</v>
      </c>
      <c r="I88" s="101">
        <f>IF(ISNUMBER(G88), $B91 * H88, "")</f>
        <v>0</v>
      </c>
      <c r="J88" s="15">
        <v>143</v>
      </c>
      <c r="K88" s="32">
        <f t="shared" si="44"/>
        <v>0</v>
      </c>
      <c r="L88" s="18">
        <f>IF(ISNUMBER(J88), $B91 * K88, "")</f>
        <v>0</v>
      </c>
      <c r="M88" s="31"/>
      <c r="N88" s="32" t="str">
        <f t="shared" si="45"/>
        <v/>
      </c>
      <c r="O88" s="18" t="str">
        <f>IF(ISNUMBER(M88), $B91 * N88, "")</f>
        <v/>
      </c>
      <c r="Q88" s="241"/>
      <c r="R88" s="241"/>
      <c r="S88" s="241"/>
    </row>
    <row r="89" spans="1:19">
      <c r="A89" s="125" t="s">
        <v>220</v>
      </c>
      <c r="B89" s="126">
        <v>216</v>
      </c>
      <c r="C89" s="77">
        <v>1.4084507E-2</v>
      </c>
      <c r="D89" s="15">
        <v>217</v>
      </c>
      <c r="E89" s="32">
        <f t="shared" si="42"/>
        <v>4.6296296296296294E-3</v>
      </c>
      <c r="F89" s="18">
        <f>IF(ISNUMBER(D89), $B91 * E89, "")</f>
        <v>462.96296296296293</v>
      </c>
      <c r="G89" s="31">
        <v>216</v>
      </c>
      <c r="H89" s="32">
        <f t="shared" si="43"/>
        <v>0</v>
      </c>
      <c r="I89" s="101">
        <f>IF(ISNUMBER(G89), $B91 * H89, "")</f>
        <v>0</v>
      </c>
      <c r="J89" s="15">
        <v>215</v>
      </c>
      <c r="K89" s="32">
        <f t="shared" si="44"/>
        <v>-4.6296296296296294E-3</v>
      </c>
      <c r="L89" s="18">
        <f>IF(ISNUMBER(J89), $B91 * K89, "")</f>
        <v>-462.96296296296293</v>
      </c>
      <c r="M89" s="31"/>
      <c r="N89" s="32" t="str">
        <f t="shared" si="45"/>
        <v/>
      </c>
      <c r="O89" s="18" t="str">
        <f>IF(ISNUMBER(M89), $B91 * N89, "")</f>
        <v/>
      </c>
      <c r="Q89" s="263"/>
      <c r="R89" s="264"/>
      <c r="S89" s="265"/>
    </row>
    <row r="90" spans="1:19" ht="17.25" thickBot="1">
      <c r="A90" s="130" t="s">
        <v>194</v>
      </c>
      <c r="B90" s="131">
        <v>144</v>
      </c>
      <c r="C90" s="79">
        <v>1.4084507E-2</v>
      </c>
      <c r="D90" s="24">
        <v>157</v>
      </c>
      <c r="E90" s="25">
        <f t="shared" si="42"/>
        <v>9.0277777777777776E-2</v>
      </c>
      <c r="F90" s="104">
        <f>IF(ISNUMBER(D90), $B91 * E90, "")</f>
        <v>9027.7777777777774</v>
      </c>
      <c r="G90" s="102">
        <v>152</v>
      </c>
      <c r="H90" s="25">
        <f t="shared" si="43"/>
        <v>5.5555555555555552E-2</v>
      </c>
      <c r="I90" s="103">
        <f>IF(ISNUMBER(G90), $B91 * H90, "")</f>
        <v>5555.5555555555557</v>
      </c>
      <c r="J90" s="24">
        <v>150</v>
      </c>
      <c r="K90" s="25">
        <f t="shared" si="44"/>
        <v>4.1666666666666664E-2</v>
      </c>
      <c r="L90" s="104">
        <f>IF(ISNUMBER(J90), $B91 * K90, "")</f>
        <v>4166.6666666666661</v>
      </c>
      <c r="M90" s="102"/>
      <c r="N90" s="25" t="str">
        <f t="shared" si="45"/>
        <v/>
      </c>
      <c r="O90" s="104" t="str">
        <f>IF(ISNUMBER(M90), $B91 * N90, "")</f>
        <v/>
      </c>
      <c r="Q90" s="266"/>
      <c r="R90" s="267"/>
      <c r="S90" s="268"/>
    </row>
    <row r="91" spans="1:19" ht="17.25" thickBot="1">
      <c r="A91" s="132" t="s">
        <v>270</v>
      </c>
      <c r="B91" s="274">
        <f>$B$37</f>
        <v>100000</v>
      </c>
      <c r="C91" s="275"/>
      <c r="D91" s="26" t="s">
        <v>271</v>
      </c>
      <c r="E91" s="27">
        <f>IF(COUNT(E71:E90), SUM(E71:E90) / COUNT(E71:E90), 0)</f>
        <v>3.6456651773960146E-2</v>
      </c>
      <c r="F91" s="28">
        <f>SUM(F71:F90)</f>
        <v>72913.303547920295</v>
      </c>
      <c r="G91" s="26" t="s">
        <v>271</v>
      </c>
      <c r="H91" s="27">
        <f>IF(COUNT(H71:H90), SUM(H71:H90) / COUNT(H71:H90), 0)</f>
        <v>2.2321620777892785E-2</v>
      </c>
      <c r="I91" s="28">
        <f>SUM(I71:I90)</f>
        <v>44643.241555785571</v>
      </c>
      <c r="J91" s="26" t="s">
        <v>271</v>
      </c>
      <c r="K91" s="27">
        <f>IF(COUNT(K71:K90), SUM(K71:K90) / COUNT(K71:K90), 0)</f>
        <v>1.6946187738976846E-2</v>
      </c>
      <c r="L91" s="28">
        <f>SUM(L71:L90)</f>
        <v>33892.375477953683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69"/>
      <c r="R91" s="270"/>
      <c r="S91" s="27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36"/>
      <c r="R94" s="236"/>
      <c r="S94" s="236"/>
    </row>
    <row r="95" spans="1:19" ht="17.25" thickBot="1">
      <c r="A95" s="211" t="s">
        <v>267</v>
      </c>
      <c r="B95" s="215" t="s">
        <v>49</v>
      </c>
      <c r="C95" s="217"/>
      <c r="D95" s="215" t="s">
        <v>58</v>
      </c>
      <c r="E95" s="216"/>
      <c r="F95" s="217"/>
      <c r="G95" s="242">
        <f>_xlfn.IFNA(VLOOKUP(B95, 현재가테이블!$B$2:$D$200, 2, FALSE), "-")</f>
        <v>53976000</v>
      </c>
      <c r="H95" s="243"/>
      <c r="I95" s="244"/>
      <c r="J95" s="215" t="s">
        <v>59</v>
      </c>
      <c r="K95" s="216"/>
      <c r="L95" s="217"/>
      <c r="M95" s="245">
        <f>_xlfn.IFNA(VLOOKUP(B95, 현재가테이블!$B$2:$D$200, 3, FALSE), "-")</f>
        <v>-2.1216407400000001E-2</v>
      </c>
      <c r="N95" s="246"/>
      <c r="O95" s="247"/>
      <c r="Q95" s="236"/>
      <c r="R95" s="236"/>
      <c r="S95" s="236"/>
    </row>
    <row r="96" spans="1:19" ht="17.25" thickBot="1">
      <c r="A96" s="276" t="s">
        <v>55</v>
      </c>
      <c r="B96" s="278" t="str">
        <f>TEXT($G$1, "[$-ko-KR]yyyy-mm-dd(ddd) ") &amp; "오전 00:00"</f>
        <v>2021-08-14(토) 오전 00:00</v>
      </c>
      <c r="C96" s="279"/>
      <c r="D96" s="238" t="str">
        <f>TEXT($G$1, "[$-ko-KR]yyyy-mm-dd(ddd) ") &amp; "오후 14:00"</f>
        <v>2021-08-14(토) 오후 14:00</v>
      </c>
      <c r="E96" s="239"/>
      <c r="F96" s="240"/>
      <c r="G96" s="238" t="str">
        <f>TEXT($G$1, "[$-ko-KR]yyyy-mm-dd(ddd) ") &amp; "오후 19:00"</f>
        <v>2021-08-14(토) 오후 19:00</v>
      </c>
      <c r="H96" s="239"/>
      <c r="I96" s="240"/>
      <c r="J96" s="238" t="str">
        <f>TEXT($G$1, "[$-ko-KR]yyyy-mm-dd(ddd) ") &amp; "오후 21:00"</f>
        <v>2021-08-14(토) 오후 21:00</v>
      </c>
      <c r="K96" s="239"/>
      <c r="L96" s="240"/>
      <c r="M96" s="238" t="str">
        <f>TEXT($G$1+1, "[$-ko-KR]yyyy-mm-dd(ddd) ") &amp; "오전 00:00"</f>
        <v>2021-08-15(일) 오전 00:00</v>
      </c>
      <c r="N96" s="239"/>
      <c r="O96" s="240"/>
      <c r="Q96" s="236"/>
      <c r="R96" s="236"/>
      <c r="S96" s="236"/>
    </row>
    <row r="97" spans="1:19" ht="17.25" thickBot="1">
      <c r="A97" s="27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2" t="s">
        <v>58</v>
      </c>
      <c r="H97" s="213" t="s">
        <v>268</v>
      </c>
      <c r="I97" s="2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1"/>
      <c r="R97" s="241"/>
      <c r="S97" s="241"/>
    </row>
    <row r="98" spans="1:19" ht="17.25" thickBot="1">
      <c r="A98" s="123" t="s">
        <v>180</v>
      </c>
      <c r="B98" s="124">
        <v>13940</v>
      </c>
      <c r="C98" s="76">
        <v>0.14921681780000001</v>
      </c>
      <c r="D98" s="13">
        <v>17270</v>
      </c>
      <c r="E98" s="14">
        <f>IF(ISNUMBER(D98), (D98 - $B98) / $B98, "")</f>
        <v>0.23888091822094693</v>
      </c>
      <c r="F98" s="16">
        <f>IF(ISNUMBER(D98), $B118 * E98, "")</f>
        <v>23888.091822094691</v>
      </c>
      <c r="G98" s="29">
        <v>16670</v>
      </c>
      <c r="H98" s="14">
        <f>IF(ISNUMBER(G98), (G98 - $B98) / $B98, "")</f>
        <v>0.19583931133428981</v>
      </c>
      <c r="I98" s="100">
        <f>IF(ISNUMBER(G98), $B118 * H98, "")</f>
        <v>19583.931133428981</v>
      </c>
      <c r="J98" s="13">
        <v>16430</v>
      </c>
      <c r="K98" s="14">
        <f>IF(ISNUMBER(J98), (J98 - $B98) / $B98, "")</f>
        <v>0.17862266857962697</v>
      </c>
      <c r="L98" s="16">
        <f>IF(ISNUMBER(J98), $B118 * K98, "")</f>
        <v>17862.266857962695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6"/>
      <c r="R98" s="236"/>
      <c r="S98" s="236"/>
    </row>
    <row r="99" spans="1:19" ht="17.25" thickBot="1">
      <c r="A99" s="125" t="s">
        <v>130</v>
      </c>
      <c r="B99" s="126">
        <v>115</v>
      </c>
      <c r="C99" s="77">
        <v>8.4905660399999999E-2</v>
      </c>
      <c r="D99" s="15">
        <v>114</v>
      </c>
      <c r="E99" s="32">
        <f t="shared" ref="E99:E102" si="46">IF(ISNUMBER(D99), (D99 - $B99) / $B99, "")</f>
        <v>-8.6956521739130436E-3</v>
      </c>
      <c r="F99" s="18">
        <f>IF(ISNUMBER(D99), $B118 * E99, "")</f>
        <v>-869.56521739130437</v>
      </c>
      <c r="G99" s="31">
        <v>113</v>
      </c>
      <c r="H99" s="32">
        <f t="shared" ref="H99:H102" si="47">IF(ISNUMBER(G99), (G99 - $B99) / $B99, "")</f>
        <v>-1.7391304347826087E-2</v>
      </c>
      <c r="I99" s="101">
        <f>IF(ISNUMBER(G99), $B118 * H99, "")</f>
        <v>-1739.1304347826087</v>
      </c>
      <c r="J99" s="15">
        <v>113</v>
      </c>
      <c r="K99" s="32">
        <f t="shared" ref="K99:K102" si="48">IF(ISNUMBER(J99), (J99 - $B99) / $B99, "")</f>
        <v>-1.7391304347826087E-2</v>
      </c>
      <c r="L99" s="18">
        <f>IF(ISNUMBER(J99), $B118 * K99, "")</f>
        <v>-1739.1304347826087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6"/>
      <c r="R99" s="236"/>
      <c r="S99" s="236"/>
    </row>
    <row r="100" spans="1:19" ht="17.25" thickBot="1">
      <c r="A100" s="125" t="s">
        <v>82</v>
      </c>
      <c r="B100" s="126">
        <v>2315</v>
      </c>
      <c r="C100" s="77">
        <v>7.6744186000000006E-2</v>
      </c>
      <c r="D100" s="15">
        <v>2485</v>
      </c>
      <c r="E100" s="32">
        <f t="shared" si="46"/>
        <v>7.3434125269978404E-2</v>
      </c>
      <c r="F100" s="18">
        <f>IF(ISNUMBER(D100), $B118 * E100, "")</f>
        <v>7343.4125269978404</v>
      </c>
      <c r="G100" s="31">
        <v>2505</v>
      </c>
      <c r="H100" s="32">
        <f t="shared" si="47"/>
        <v>8.2073434125269976E-2</v>
      </c>
      <c r="I100" s="101">
        <f>IF(ISNUMBER(G100), $B118 * H100, "")</f>
        <v>8207.3434125269978</v>
      </c>
      <c r="J100" s="15">
        <v>2480</v>
      </c>
      <c r="K100" s="32">
        <f t="shared" si="48"/>
        <v>7.1274298056155511E-2</v>
      </c>
      <c r="L100" s="18">
        <f>IF(ISNUMBER(J100), $B118 * K100, "")</f>
        <v>7127.4298056155512</v>
      </c>
      <c r="M100" s="31"/>
      <c r="N100" s="32" t="str">
        <f t="shared" si="49"/>
        <v/>
      </c>
      <c r="O100" s="18" t="str">
        <f>IF(ISNUMBER(M100), $B118 * N100, "")</f>
        <v/>
      </c>
      <c r="Q100" s="241"/>
      <c r="R100" s="241"/>
      <c r="S100" s="241"/>
    </row>
    <row r="101" spans="1:19" ht="17.25" thickBot="1">
      <c r="A101" s="125" t="s">
        <v>144</v>
      </c>
      <c r="B101" s="126">
        <v>117</v>
      </c>
      <c r="C101" s="77">
        <v>6.3636363599999995E-2</v>
      </c>
      <c r="D101" s="15">
        <v>121</v>
      </c>
      <c r="E101" s="32">
        <f t="shared" si="46"/>
        <v>3.4188034188034191E-2</v>
      </c>
      <c r="F101" s="18">
        <f>IF(ISNUMBER(D101), $B118 * E101, "")</f>
        <v>3418.8034188034189</v>
      </c>
      <c r="G101" s="31">
        <v>119</v>
      </c>
      <c r="H101" s="32">
        <f t="shared" si="47"/>
        <v>1.7094017094017096E-2</v>
      </c>
      <c r="I101" s="101">
        <f>IF(ISNUMBER(G101), $B118 * H101, "")</f>
        <v>1709.4017094017095</v>
      </c>
      <c r="J101" s="15">
        <v>116</v>
      </c>
      <c r="K101" s="32">
        <f t="shared" si="48"/>
        <v>-8.5470085470085479E-3</v>
      </c>
      <c r="L101" s="18">
        <f>IF(ISNUMBER(J101), $B118 * K101, "")</f>
        <v>-854.70085470085473</v>
      </c>
      <c r="M101" s="31"/>
      <c r="N101" s="32" t="str">
        <f t="shared" si="49"/>
        <v/>
      </c>
      <c r="O101" s="18" t="str">
        <f>IF(ISNUMBER(M101), $B118 * N101, "")</f>
        <v/>
      </c>
      <c r="Q101" s="241"/>
      <c r="R101" s="241"/>
      <c r="S101" s="241"/>
    </row>
    <row r="102" spans="1:19" ht="17.25" thickBot="1">
      <c r="A102" s="127" t="s">
        <v>140</v>
      </c>
      <c r="B102" s="128">
        <v>6280</v>
      </c>
      <c r="C102" s="78">
        <v>6.3505503800000002E-2</v>
      </c>
      <c r="D102" s="20">
        <v>6480</v>
      </c>
      <c r="E102" s="21">
        <f t="shared" si="46"/>
        <v>3.1847133757961783E-2</v>
      </c>
      <c r="F102" s="22">
        <f>IF(ISNUMBER(D102), $B118 * E102, "")</f>
        <v>3184.7133757961783</v>
      </c>
      <c r="G102" s="30">
        <v>6390</v>
      </c>
      <c r="H102" s="21">
        <f t="shared" si="47"/>
        <v>1.751592356687898E-2</v>
      </c>
      <c r="I102" s="105">
        <f>IF(ISNUMBER(G102), $B118 * H102, "")</f>
        <v>1751.592356687898</v>
      </c>
      <c r="J102" s="20">
        <v>6365</v>
      </c>
      <c r="K102" s="21">
        <f t="shared" si="48"/>
        <v>1.3535031847133758E-2</v>
      </c>
      <c r="L102" s="22">
        <f>IF(ISNUMBER(J102), $B118 * K102, "")</f>
        <v>1353.5031847133757</v>
      </c>
      <c r="M102" s="30"/>
      <c r="N102" s="21" t="str">
        <f t="shared" si="49"/>
        <v/>
      </c>
      <c r="O102" s="22" t="str">
        <f>IF(ISNUMBER(M102), $B118 * N102, "")</f>
        <v/>
      </c>
      <c r="Q102" s="241"/>
      <c r="R102" s="241"/>
      <c r="S102" s="241"/>
    </row>
    <row r="103" spans="1:19" ht="17.25" thickBot="1">
      <c r="A103" s="125" t="s">
        <v>104</v>
      </c>
      <c r="B103" s="129">
        <v>1180</v>
      </c>
      <c r="C103" s="80">
        <v>5.3571428599999998E-2</v>
      </c>
      <c r="D103" s="106">
        <v>1240</v>
      </c>
      <c r="E103" s="107">
        <f>IF(ISNUMBER(D103), (D103 - $B103) / $B103, "")</f>
        <v>5.0847457627118647E-2</v>
      </c>
      <c r="F103" s="108">
        <f>IF(ISNUMBER(D103), $B118 * E103, "")</f>
        <v>5084.7457627118647</v>
      </c>
      <c r="G103" s="109">
        <v>1205</v>
      </c>
      <c r="H103" s="107">
        <f>IF(ISNUMBER(G103), (G103 - $B103) / $B103, "")</f>
        <v>2.1186440677966101E-2</v>
      </c>
      <c r="I103" s="110">
        <f>IF(ISNUMBER(G103), $B118 * H103, "")</f>
        <v>2118.6440677966102</v>
      </c>
      <c r="J103" s="106">
        <v>1200</v>
      </c>
      <c r="K103" s="107">
        <f>IF(ISNUMBER(J103), (J103 - $B103) / $B103, "")</f>
        <v>1.6949152542372881E-2</v>
      </c>
      <c r="L103" s="108">
        <f>IF(ISNUMBER(J103), $B118 * K103, "")</f>
        <v>1694.9152542372881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1"/>
      <c r="R103" s="241"/>
      <c r="S103" s="241"/>
    </row>
    <row r="104" spans="1:19" ht="17.25" thickBot="1">
      <c r="A104" s="125" t="s">
        <v>240</v>
      </c>
      <c r="B104" s="126">
        <v>78.099999999999994</v>
      </c>
      <c r="C104" s="77">
        <v>5.2560646900000001E-2</v>
      </c>
      <c r="D104" s="15">
        <v>79.7</v>
      </c>
      <c r="E104" s="32">
        <f t="shared" ref="E104:E107" si="50">IF(ISNUMBER(D104), (D104 - $B104) / $B104, "")</f>
        <v>2.0486555697823414E-2</v>
      </c>
      <c r="F104" s="18">
        <f>IF(ISNUMBER(D104), $B118 * E104, "")</f>
        <v>2048.6555697823414</v>
      </c>
      <c r="G104" s="31">
        <v>79</v>
      </c>
      <c r="H104" s="32">
        <f t="shared" ref="H104:H107" si="51">IF(ISNUMBER(G104), (G104 - $B104) / $B104, "")</f>
        <v>1.1523687580025681E-2</v>
      </c>
      <c r="I104" s="101">
        <f>IF(ISNUMBER(G104), $B118 * H104, "")</f>
        <v>1152.3687580025683</v>
      </c>
      <c r="J104" s="15">
        <v>78.099999999999994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1"/>
      <c r="R104" s="241"/>
      <c r="S104" s="241"/>
    </row>
    <row r="105" spans="1:19" ht="17.25" thickBot="1">
      <c r="A105" s="125" t="s">
        <v>126</v>
      </c>
      <c r="B105" s="126">
        <v>203750</v>
      </c>
      <c r="C105" s="77">
        <v>5.1612903199999997E-2</v>
      </c>
      <c r="D105" s="15">
        <v>208900</v>
      </c>
      <c r="E105" s="32">
        <f t="shared" si="50"/>
        <v>2.5276073619631901E-2</v>
      </c>
      <c r="F105" s="18">
        <f>IF(ISNUMBER(D105), $B118 * E105, "")</f>
        <v>2527.6073619631902</v>
      </c>
      <c r="G105" s="31">
        <v>207300</v>
      </c>
      <c r="H105" s="32">
        <f t="shared" si="51"/>
        <v>1.7423312883435581E-2</v>
      </c>
      <c r="I105" s="101">
        <f>IF(ISNUMBER(G105), $B118 * H105, "")</f>
        <v>1742.3312883435581</v>
      </c>
      <c r="J105" s="15">
        <v>206700</v>
      </c>
      <c r="K105" s="32">
        <f t="shared" si="52"/>
        <v>1.4478527607361963E-2</v>
      </c>
      <c r="L105" s="18">
        <f>IF(ISNUMBER(J105), $B118 * K105, "")</f>
        <v>1447.8527607361962</v>
      </c>
      <c r="M105" s="31"/>
      <c r="N105" s="32" t="str">
        <f t="shared" si="53"/>
        <v/>
      </c>
      <c r="O105" s="18" t="str">
        <f>IF(ISNUMBER(M105), $B118 * N105, "")</f>
        <v/>
      </c>
      <c r="Q105" s="241"/>
      <c r="R105" s="241"/>
      <c r="S105" s="241"/>
    </row>
    <row r="106" spans="1:19" ht="17.25" thickBot="1">
      <c r="A106" s="125" t="s">
        <v>162</v>
      </c>
      <c r="B106" s="126">
        <v>111</v>
      </c>
      <c r="C106" s="77">
        <v>4.7169811300000003E-2</v>
      </c>
      <c r="D106" s="15">
        <v>114</v>
      </c>
      <c r="E106" s="32">
        <f t="shared" si="50"/>
        <v>2.7027027027027029E-2</v>
      </c>
      <c r="F106" s="18">
        <f>IF(ISNUMBER(D106), $B118 * E106, "")</f>
        <v>2702.7027027027029</v>
      </c>
      <c r="G106" s="31">
        <v>114</v>
      </c>
      <c r="H106" s="32">
        <f t="shared" si="51"/>
        <v>2.7027027027027029E-2</v>
      </c>
      <c r="I106" s="101">
        <f>IF(ISNUMBER(G106), $B118 * H106, "")</f>
        <v>2702.7027027027029</v>
      </c>
      <c r="J106" s="15">
        <v>113</v>
      </c>
      <c r="K106" s="32">
        <f t="shared" si="52"/>
        <v>1.8018018018018018E-2</v>
      </c>
      <c r="L106" s="18">
        <f>IF(ISNUMBER(J106), $B118 * K106, "")</f>
        <v>1801.8018018018017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90</v>
      </c>
      <c r="B107" s="131">
        <v>1185</v>
      </c>
      <c r="C107" s="79">
        <v>4.4052863400000003E-2</v>
      </c>
      <c r="D107" s="24">
        <v>1270</v>
      </c>
      <c r="E107" s="25">
        <f t="shared" si="50"/>
        <v>7.1729957805907171E-2</v>
      </c>
      <c r="F107" s="104">
        <f>IF(ISNUMBER(D107), $B118 * E107, "")</f>
        <v>7172.995780590717</v>
      </c>
      <c r="G107" s="102">
        <v>1325</v>
      </c>
      <c r="H107" s="25">
        <f t="shared" si="51"/>
        <v>0.11814345991561181</v>
      </c>
      <c r="I107" s="103">
        <f>IF(ISNUMBER(G107), $B118 * H107, "")</f>
        <v>11814.345991561182</v>
      </c>
      <c r="J107" s="24">
        <v>1320</v>
      </c>
      <c r="K107" s="25">
        <f t="shared" si="52"/>
        <v>0.11392405063291139</v>
      </c>
      <c r="L107" s="104">
        <f>IF(ISNUMBER(J107), $B118 * K107, "")</f>
        <v>11392.405063291139</v>
      </c>
      <c r="M107" s="102"/>
      <c r="N107" s="25" t="str">
        <f t="shared" si="53"/>
        <v/>
      </c>
      <c r="O107" s="104" t="str">
        <f>IF(ISNUMBER(M107), $B118 * N107, "")</f>
        <v/>
      </c>
      <c r="Q107" s="250"/>
      <c r="R107" s="251"/>
      <c r="S107" s="252"/>
    </row>
    <row r="108" spans="1:19">
      <c r="A108" s="123" t="s">
        <v>51</v>
      </c>
      <c r="B108" s="124">
        <v>403</v>
      </c>
      <c r="C108" s="76">
        <v>4.40414508E-2</v>
      </c>
      <c r="D108" s="13">
        <v>417</v>
      </c>
      <c r="E108" s="14">
        <f>IF(ISNUMBER(D108), (D108 - $B108) / $B108, "")</f>
        <v>3.4739454094292806E-2</v>
      </c>
      <c r="F108" s="16">
        <f>IF(ISNUMBER(D108), $B118 * E108, "")</f>
        <v>3473.9454094292805</v>
      </c>
      <c r="G108" s="29">
        <v>417</v>
      </c>
      <c r="H108" s="14">
        <f>IF(ISNUMBER(G108), (G108 - $B108) / $B108, "")</f>
        <v>3.4739454094292806E-2</v>
      </c>
      <c r="I108" s="100">
        <f>IF(ISNUMBER(G108), $B118 * H108, "")</f>
        <v>3473.9454094292805</v>
      </c>
      <c r="J108" s="13">
        <v>419</v>
      </c>
      <c r="K108" s="14">
        <f>IF(ISNUMBER(J108), (J108 - $B108) / $B108, "")</f>
        <v>3.9702233250620347E-2</v>
      </c>
      <c r="L108" s="16">
        <f>IF(ISNUMBER(J108), $B118 * K108, "")</f>
        <v>3970.2233250620347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3"/>
      <c r="R108" s="254"/>
      <c r="S108" s="255"/>
    </row>
    <row r="109" spans="1:19" ht="17.25" thickBot="1">
      <c r="A109" s="125" t="s">
        <v>94</v>
      </c>
      <c r="B109" s="126">
        <v>3729000</v>
      </c>
      <c r="C109" s="77">
        <v>4.3952967500000002E-2</v>
      </c>
      <c r="D109" s="15">
        <v>3830000</v>
      </c>
      <c r="E109" s="32">
        <f t="shared" ref="E109:E112" si="54">IF(ISNUMBER(D109), (D109 - $B109) / $B109, "")</f>
        <v>2.7085009385894341E-2</v>
      </c>
      <c r="F109" s="18">
        <f>IF(ISNUMBER(D109), $B118 * E109, "")</f>
        <v>2708.5009385894341</v>
      </c>
      <c r="G109" s="31">
        <v>3793000</v>
      </c>
      <c r="H109" s="32">
        <f t="shared" ref="H109:H112" si="55">IF(ISNUMBER(G109), (G109 - $B109) / $B109, "")</f>
        <v>1.7162778224725127E-2</v>
      </c>
      <c r="I109" s="101">
        <f>IF(ISNUMBER(G109), $B118 * H109, "")</f>
        <v>1716.2778224725128</v>
      </c>
      <c r="J109" s="15">
        <v>3757000</v>
      </c>
      <c r="K109" s="32">
        <f t="shared" ref="K109:K112" si="56">IF(ISNUMBER(J109), (J109 - $B109) / $B109, "")</f>
        <v>7.508715473317243E-3</v>
      </c>
      <c r="L109" s="18">
        <f>IF(ISNUMBER(J109), $B118 * K109, "")</f>
        <v>750.87154733172429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6"/>
      <c r="R109" s="257"/>
      <c r="S109" s="258"/>
    </row>
    <row r="110" spans="1:19" ht="17.25" thickBot="1">
      <c r="A110" s="125" t="s">
        <v>118</v>
      </c>
      <c r="B110" s="126">
        <v>170</v>
      </c>
      <c r="C110" s="77">
        <v>4.2944785300000003E-2</v>
      </c>
      <c r="D110" s="15">
        <v>176</v>
      </c>
      <c r="E110" s="32">
        <f t="shared" si="54"/>
        <v>3.5294117647058823E-2</v>
      </c>
      <c r="F110" s="18">
        <f>IF(ISNUMBER(D110), $B118 * E110, "")</f>
        <v>3529.4117647058824</v>
      </c>
      <c r="G110" s="31">
        <v>173</v>
      </c>
      <c r="H110" s="32">
        <f t="shared" si="55"/>
        <v>1.7647058823529412E-2</v>
      </c>
      <c r="I110" s="101">
        <f>IF(ISNUMBER(G110), $B118 * H110, "")</f>
        <v>1764.7058823529412</v>
      </c>
      <c r="J110" s="15">
        <v>173</v>
      </c>
      <c r="K110" s="32">
        <f t="shared" si="56"/>
        <v>1.7647058823529412E-2</v>
      </c>
      <c r="L110" s="18">
        <f>IF(ISNUMBER(J110), $B118 * K110, "")</f>
        <v>1764.7058823529412</v>
      </c>
      <c r="M110" s="31"/>
      <c r="N110" s="32" t="str">
        <f t="shared" si="57"/>
        <v/>
      </c>
      <c r="O110" s="18" t="str">
        <f>IF(ISNUMBER(M110), $B118 * N110, "")</f>
        <v/>
      </c>
      <c r="Q110" s="241"/>
      <c r="R110" s="241"/>
      <c r="S110" s="241"/>
    </row>
    <row r="111" spans="1:19" ht="17.25" thickBot="1">
      <c r="A111" s="125" t="s">
        <v>124</v>
      </c>
      <c r="B111" s="126">
        <v>382</v>
      </c>
      <c r="C111" s="77">
        <v>4.08719346E-2</v>
      </c>
      <c r="D111" s="15">
        <v>390</v>
      </c>
      <c r="E111" s="32">
        <f t="shared" si="54"/>
        <v>2.0942408376963352E-2</v>
      </c>
      <c r="F111" s="18">
        <f>IF(ISNUMBER(D111), $B118 * E111, "")</f>
        <v>2094.2408376963353</v>
      </c>
      <c r="G111" s="31">
        <v>387</v>
      </c>
      <c r="H111" s="32">
        <f t="shared" si="55"/>
        <v>1.3089005235602094E-2</v>
      </c>
      <c r="I111" s="101">
        <f>IF(ISNUMBER(G111), $B118 * H111, "")</f>
        <v>1308.9005235602094</v>
      </c>
      <c r="J111" s="15">
        <v>381</v>
      </c>
      <c r="K111" s="32">
        <f t="shared" si="56"/>
        <v>-2.617801047120419E-3</v>
      </c>
      <c r="L111" s="18">
        <f>IF(ISNUMBER(J111), $B118 * K111, "")</f>
        <v>-261.78010471204192</v>
      </c>
      <c r="M111" s="31"/>
      <c r="N111" s="32" t="str">
        <f t="shared" si="57"/>
        <v/>
      </c>
      <c r="O111" s="18" t="str">
        <f>IF(ISNUMBER(M111), $B118 * N111, "")</f>
        <v/>
      </c>
      <c r="Q111" s="236"/>
      <c r="R111" s="236"/>
      <c r="S111" s="236"/>
    </row>
    <row r="112" spans="1:19" ht="17.25" thickBot="1">
      <c r="A112" s="127" t="s">
        <v>63</v>
      </c>
      <c r="B112" s="128">
        <v>59300</v>
      </c>
      <c r="C112" s="78">
        <v>4.0350877200000003E-2</v>
      </c>
      <c r="D112" s="20">
        <v>64930</v>
      </c>
      <c r="E112" s="21">
        <f t="shared" si="54"/>
        <v>9.4940978077571667E-2</v>
      </c>
      <c r="F112" s="22">
        <f>IF(ISNUMBER(D112), $B118 * E112, "")</f>
        <v>9494.0978077571672</v>
      </c>
      <c r="G112" s="30">
        <v>63050</v>
      </c>
      <c r="H112" s="21">
        <f t="shared" si="55"/>
        <v>6.3237774030354132E-2</v>
      </c>
      <c r="I112" s="105">
        <f>IF(ISNUMBER(G112), $B118 * H112, "")</f>
        <v>6323.777403035413</v>
      </c>
      <c r="J112" s="20">
        <v>62590</v>
      </c>
      <c r="K112" s="21">
        <f t="shared" si="56"/>
        <v>5.5480607082630688E-2</v>
      </c>
      <c r="L112" s="22">
        <f>IF(ISNUMBER(J112), $B118 * K112, "")</f>
        <v>5548.0607082630686</v>
      </c>
      <c r="M112" s="30"/>
      <c r="N112" s="21" t="str">
        <f t="shared" si="57"/>
        <v/>
      </c>
      <c r="O112" s="22" t="str">
        <f>IF(ISNUMBER(M112), $B118 * N112, "")</f>
        <v/>
      </c>
      <c r="Q112" s="236"/>
      <c r="R112" s="236"/>
      <c r="S112" s="236"/>
    </row>
    <row r="113" spans="1:19" ht="17.25" thickBot="1">
      <c r="A113" s="125" t="s">
        <v>146</v>
      </c>
      <c r="B113" s="129">
        <v>4020</v>
      </c>
      <c r="C113" s="80">
        <v>4.0103492900000003E-2</v>
      </c>
      <c r="D113" s="106">
        <v>4055</v>
      </c>
      <c r="E113" s="107">
        <f>IF(ISNUMBER(D113), (D113 - $B113) / $B113, "")</f>
        <v>8.7064676616915426E-3</v>
      </c>
      <c r="F113" s="108">
        <f>IF(ISNUMBER(D113), $B118 * E113, "")</f>
        <v>870.64676616915426</v>
      </c>
      <c r="G113" s="109">
        <v>4035</v>
      </c>
      <c r="H113" s="107">
        <f>IF(ISNUMBER(G113), (G113 - $B113) / $B113, "")</f>
        <v>3.7313432835820895E-3</v>
      </c>
      <c r="I113" s="110">
        <f>IF(ISNUMBER(G113), $B118 * H113, "")</f>
        <v>373.13432835820896</v>
      </c>
      <c r="J113" s="106">
        <v>3995</v>
      </c>
      <c r="K113" s="107">
        <f>IF(ISNUMBER(J113), (J113 - $B113) / $B113, "")</f>
        <v>-6.2189054726368162E-3</v>
      </c>
      <c r="L113" s="108">
        <f>IF(ISNUMBER(J113), $B118 * K113, "")</f>
        <v>-621.89054726368158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1"/>
      <c r="R113" s="241"/>
      <c r="S113" s="241"/>
    </row>
    <row r="114" spans="1:19" ht="17.25" thickBot="1">
      <c r="A114" s="125" t="s">
        <v>76</v>
      </c>
      <c r="B114" s="126">
        <v>30420</v>
      </c>
      <c r="C114" s="77">
        <v>0.04</v>
      </c>
      <c r="D114" s="15">
        <v>31880</v>
      </c>
      <c r="E114" s="32">
        <f t="shared" ref="E114:E117" si="58">IF(ISNUMBER(D114), (D114 - $B114) / $B114, "")</f>
        <v>4.7994740302432608E-2</v>
      </c>
      <c r="F114" s="18">
        <f>IF(ISNUMBER(D114), $B118 * E114, "")</f>
        <v>4799.474030243261</v>
      </c>
      <c r="G114" s="31">
        <v>31330</v>
      </c>
      <c r="H114" s="32">
        <f t="shared" ref="H114:H117" si="59">IF(ISNUMBER(G114), (G114 - $B114) / $B114, "")</f>
        <v>2.9914529914529916E-2</v>
      </c>
      <c r="I114" s="101">
        <f>IF(ISNUMBER(G114), $B118 * H114, "")</f>
        <v>2991.4529914529917</v>
      </c>
      <c r="J114" s="15">
        <v>30980</v>
      </c>
      <c r="K114" s="32">
        <f t="shared" ref="K114:K117" si="60">IF(ISNUMBER(J114), (J114 - $B114) / $B114, "")</f>
        <v>1.8408941485864562E-2</v>
      </c>
      <c r="L114" s="18">
        <f>IF(ISNUMBER(J114), $B118 * K114, "")</f>
        <v>1840.8941485864561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1"/>
      <c r="R114" s="241"/>
      <c r="S114" s="241"/>
    </row>
    <row r="115" spans="1:19" ht="17.25" thickBot="1">
      <c r="A115" s="125" t="s">
        <v>128</v>
      </c>
      <c r="B115" s="126">
        <v>131</v>
      </c>
      <c r="C115" s="77">
        <v>3.9682539699999998E-2</v>
      </c>
      <c r="D115" s="15">
        <v>144</v>
      </c>
      <c r="E115" s="32">
        <f t="shared" si="58"/>
        <v>9.9236641221374045E-2</v>
      </c>
      <c r="F115" s="18">
        <f>IF(ISNUMBER(D115), $B118 * E115, "")</f>
        <v>9923.6641221374048</v>
      </c>
      <c r="G115" s="31">
        <v>143</v>
      </c>
      <c r="H115" s="32">
        <f t="shared" si="59"/>
        <v>9.1603053435114504E-2</v>
      </c>
      <c r="I115" s="101">
        <f>IF(ISNUMBER(G115), $B118 * H115, "")</f>
        <v>9160.3053435114507</v>
      </c>
      <c r="J115" s="15">
        <v>143</v>
      </c>
      <c r="K115" s="32">
        <f t="shared" si="60"/>
        <v>9.1603053435114504E-2</v>
      </c>
      <c r="L115" s="18">
        <f>IF(ISNUMBER(J115), $B118 * K115, "")</f>
        <v>9160.3053435114507</v>
      </c>
      <c r="M115" s="31"/>
      <c r="N115" s="32" t="str">
        <f t="shared" si="61"/>
        <v/>
      </c>
      <c r="O115" s="18" t="str">
        <f>IF(ISNUMBER(M115), $B118 * N115, "")</f>
        <v/>
      </c>
      <c r="Q115" s="241"/>
      <c r="R115" s="241"/>
      <c r="S115" s="241"/>
    </row>
    <row r="116" spans="1:19">
      <c r="A116" s="125" t="s">
        <v>80</v>
      </c>
      <c r="B116" s="126">
        <v>872</v>
      </c>
      <c r="C116" s="77">
        <v>3.8095238099999998E-2</v>
      </c>
      <c r="D116" s="15">
        <v>896</v>
      </c>
      <c r="E116" s="32">
        <f t="shared" si="58"/>
        <v>2.7522935779816515E-2</v>
      </c>
      <c r="F116" s="18">
        <f>IF(ISNUMBER(D116), $B118 * E116, "")</f>
        <v>2752.2935779816517</v>
      </c>
      <c r="G116" s="31">
        <v>883</v>
      </c>
      <c r="H116" s="32">
        <f t="shared" si="59"/>
        <v>1.261467889908257E-2</v>
      </c>
      <c r="I116" s="101">
        <f>IF(ISNUMBER(G116), $B118 * H116, "")</f>
        <v>1261.4678899082569</v>
      </c>
      <c r="J116" s="15">
        <v>878</v>
      </c>
      <c r="K116" s="32">
        <f t="shared" si="60"/>
        <v>6.8807339449541288E-3</v>
      </c>
      <c r="L116" s="18">
        <f>IF(ISNUMBER(J116), $B118 * K116, "")</f>
        <v>688.07339449541291</v>
      </c>
      <c r="M116" s="31"/>
      <c r="N116" s="32" t="str">
        <f t="shared" si="61"/>
        <v/>
      </c>
      <c r="O116" s="18" t="str">
        <f>IF(ISNUMBER(M116), $B118 * N116, "")</f>
        <v/>
      </c>
      <c r="Q116" s="263"/>
      <c r="R116" s="264"/>
      <c r="S116" s="265"/>
    </row>
    <row r="117" spans="1:19" ht="17.25" thickBot="1">
      <c r="A117" s="130" t="s">
        <v>216</v>
      </c>
      <c r="B117" s="131">
        <v>11.2</v>
      </c>
      <c r="C117" s="79">
        <v>3.7037037000000002E-2</v>
      </c>
      <c r="D117" s="24">
        <v>11.4</v>
      </c>
      <c r="E117" s="25">
        <f t="shared" si="58"/>
        <v>1.7857142857142953E-2</v>
      </c>
      <c r="F117" s="104">
        <f>IF(ISNUMBER(D117), $B118 * E117, "")</f>
        <v>1785.7142857142953</v>
      </c>
      <c r="G117" s="102">
        <v>11.3</v>
      </c>
      <c r="H117" s="25">
        <f t="shared" si="59"/>
        <v>8.9285714285715564E-3</v>
      </c>
      <c r="I117" s="103">
        <f>IF(ISNUMBER(G117), $B118 * H117, "")</f>
        <v>892.85714285715562</v>
      </c>
      <c r="J117" s="24">
        <v>11.2</v>
      </c>
      <c r="K117" s="25">
        <f t="shared" si="60"/>
        <v>0</v>
      </c>
      <c r="L117" s="104">
        <f>IF(ISNUMBER(J117), $B118 * K117, "")</f>
        <v>0</v>
      </c>
      <c r="M117" s="102"/>
      <c r="N117" s="25" t="str">
        <f t="shared" si="61"/>
        <v/>
      </c>
      <c r="O117" s="104" t="str">
        <f>IF(ISNUMBER(M117), $B118 * N117, "")</f>
        <v/>
      </c>
      <c r="Q117" s="266"/>
      <c r="R117" s="267"/>
      <c r="S117" s="268"/>
    </row>
    <row r="118" spans="1:19" ht="17.25" thickBot="1">
      <c r="A118" s="132" t="s">
        <v>270</v>
      </c>
      <c r="B118" s="274">
        <f>$B$37</f>
        <v>100000</v>
      </c>
      <c r="C118" s="275"/>
      <c r="D118" s="26" t="s">
        <v>271</v>
      </c>
      <c r="E118" s="27">
        <f>IF(COUNT(E98:E117), SUM(E98:E117) / COUNT(E98:E117), 0)</f>
        <v>4.8967076322237749E-2</v>
      </c>
      <c r="F118" s="28">
        <f>SUM(F98:F117)</f>
        <v>97934.1526444755</v>
      </c>
      <c r="G118" s="26" t="s">
        <v>271</v>
      </c>
      <c r="H118" s="27">
        <f>IF(COUNT(H98:H117), SUM(H98:H117) / COUNT(H98:H117), 0)</f>
        <v>3.9155177861304007E-2</v>
      </c>
      <c r="I118" s="28">
        <f>SUM(I98:I117)</f>
        <v>78310.355722608016</v>
      </c>
      <c r="J118" s="26" t="s">
        <v>271</v>
      </c>
      <c r="K118" s="27">
        <f>IF(COUNT(K98:K117), SUM(K98:K117) / COUNT(K98:K117), 0)</f>
        <v>3.1462903568250974E-2</v>
      </c>
      <c r="L118" s="28">
        <f>SUM(L98:L117)</f>
        <v>62925.807136501942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69"/>
      <c r="R118" s="270"/>
      <c r="S118" s="27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36"/>
      <c r="R121" s="236"/>
      <c r="S121" s="236"/>
    </row>
    <row r="122" spans="1:19" ht="17.25" thickBot="1">
      <c r="A122" s="211" t="s">
        <v>267</v>
      </c>
      <c r="B122" s="215" t="s">
        <v>49</v>
      </c>
      <c r="C122" s="217"/>
      <c r="D122" s="215" t="s">
        <v>58</v>
      </c>
      <c r="E122" s="216"/>
      <c r="F122" s="217"/>
      <c r="G122" s="242">
        <f>_xlfn.IFNA(VLOOKUP(B122, 현재가테이블!$B$2:$D$200, 2, FALSE), "-")</f>
        <v>53976000</v>
      </c>
      <c r="H122" s="243"/>
      <c r="I122" s="244"/>
      <c r="J122" s="215" t="s">
        <v>59</v>
      </c>
      <c r="K122" s="216"/>
      <c r="L122" s="217"/>
      <c r="M122" s="245">
        <f>_xlfn.IFNA(VLOOKUP(B122, 현재가테이블!$B$2:$D$200, 3, FALSE), "-")</f>
        <v>-2.1216407400000001E-2</v>
      </c>
      <c r="N122" s="246"/>
      <c r="O122" s="247"/>
      <c r="Q122" s="236"/>
      <c r="R122" s="236"/>
      <c r="S122" s="236"/>
    </row>
    <row r="123" spans="1:19" ht="17.25" thickBot="1">
      <c r="A123" s="276" t="s">
        <v>55</v>
      </c>
      <c r="B123" s="278" t="str">
        <f>TEXT($G$1, "[$-ko-KR]yyyy-mm-dd(ddd) ") &amp; "오전 00:00"</f>
        <v>2021-08-14(토) 오전 00:00</v>
      </c>
      <c r="C123" s="279"/>
      <c r="D123" s="238" t="str">
        <f>TEXT($G$1, "[$-ko-KR]yyyy-mm-dd(ddd) ") &amp; "오후 14:00"</f>
        <v>2021-08-14(토) 오후 14:00</v>
      </c>
      <c r="E123" s="239"/>
      <c r="F123" s="240"/>
      <c r="G123" s="238" t="str">
        <f>TEXT($G$1, "[$-ko-KR]yyyy-mm-dd(ddd) ") &amp; "오후 19:00"</f>
        <v>2021-08-14(토) 오후 19:00</v>
      </c>
      <c r="H123" s="239"/>
      <c r="I123" s="240"/>
      <c r="J123" s="238" t="str">
        <f>TEXT($G$1, "[$-ko-KR]yyyy-mm-dd(ddd) ") &amp; "오후 21:00"</f>
        <v>2021-08-14(토) 오후 21:00</v>
      </c>
      <c r="K123" s="239"/>
      <c r="L123" s="240"/>
      <c r="M123" s="238" t="str">
        <f>TEXT($G$1+1, "[$-ko-KR]yyyy-mm-dd(ddd) ") &amp; "오전 00:00"</f>
        <v>2021-08-15(일) 오전 00:00</v>
      </c>
      <c r="N123" s="239"/>
      <c r="O123" s="240"/>
      <c r="Q123" s="236"/>
      <c r="R123" s="236"/>
      <c r="S123" s="236"/>
    </row>
    <row r="124" spans="1:19" ht="17.25" thickBot="1">
      <c r="A124" s="27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2" t="s">
        <v>58</v>
      </c>
      <c r="H124" s="213" t="s">
        <v>268</v>
      </c>
      <c r="I124" s="2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1"/>
      <c r="R124" s="241"/>
      <c r="S124" s="241"/>
    </row>
    <row r="125" spans="1:19" ht="17.25" thickBot="1">
      <c r="A125" s="123" t="s">
        <v>240</v>
      </c>
      <c r="B125" s="124">
        <v>78.099999999999994</v>
      </c>
      <c r="C125" s="76">
        <v>5.2560646900000001E-2</v>
      </c>
      <c r="D125" s="13">
        <v>79.7</v>
      </c>
      <c r="E125" s="14">
        <f>IF(ISNUMBER(D125), (D125 - $B125) / $B125, "")</f>
        <v>2.0486555697823414E-2</v>
      </c>
      <c r="F125" s="16">
        <f>IF(ISNUMBER(D125), $B145 * E125, "")</f>
        <v>2048.6555697823414</v>
      </c>
      <c r="G125" s="29">
        <v>79</v>
      </c>
      <c r="H125" s="14">
        <f>IF(ISNUMBER(G125), (G125 - $B125) / $B125, "")</f>
        <v>1.1523687580025681E-2</v>
      </c>
      <c r="I125" s="100">
        <f>IF(ISNUMBER(G125), $B145 * H125, "")</f>
        <v>1152.3687580025683</v>
      </c>
      <c r="J125" s="13">
        <v>78.099999999999994</v>
      </c>
      <c r="K125" s="14">
        <f>IF(ISNUMBER(J125), (J125 - $B125) / $B125, "")</f>
        <v>0</v>
      </c>
      <c r="L125" s="16">
        <f>IF(ISNUMBER(J125), $B145 * K125, "")</f>
        <v>0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6"/>
      <c r="R125" s="236"/>
      <c r="S125" s="236"/>
    </row>
    <row r="126" spans="1:19" ht="17.25" thickBot="1">
      <c r="A126" s="125" t="s">
        <v>216</v>
      </c>
      <c r="B126" s="126">
        <v>11.2</v>
      </c>
      <c r="C126" s="77">
        <v>3.7037037000000002E-2</v>
      </c>
      <c r="D126" s="15">
        <v>11.4</v>
      </c>
      <c r="E126" s="32">
        <f t="shared" ref="E126:E129" si="62">IF(ISNUMBER(D126), (D126 - $B126) / $B126, "")</f>
        <v>1.7857142857142953E-2</v>
      </c>
      <c r="F126" s="18">
        <f>IF(ISNUMBER(D126), $B145 * E126, "")</f>
        <v>1785.7142857142953</v>
      </c>
      <c r="G126" s="31">
        <v>11.3</v>
      </c>
      <c r="H126" s="32">
        <f t="shared" ref="H126:H129" si="63">IF(ISNUMBER(G126), (G126 - $B126) / $B126, "")</f>
        <v>8.9285714285715564E-3</v>
      </c>
      <c r="I126" s="101">
        <f>IF(ISNUMBER(G126), $B145 * H126, "")</f>
        <v>892.85714285715562</v>
      </c>
      <c r="J126" s="15">
        <v>11.2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6"/>
      <c r="R126" s="236"/>
      <c r="S126" s="236"/>
    </row>
    <row r="127" spans="1:19" ht="17.25" thickBot="1">
      <c r="A127" s="125" t="s">
        <v>210</v>
      </c>
      <c r="B127" s="126">
        <v>12.5</v>
      </c>
      <c r="C127" s="77">
        <v>3.3057851200000002E-2</v>
      </c>
      <c r="D127" s="15">
        <v>12.8</v>
      </c>
      <c r="E127" s="32">
        <f t="shared" si="62"/>
        <v>2.4000000000000056E-2</v>
      </c>
      <c r="F127" s="18">
        <f>IF(ISNUMBER(D127), $B145 * E127, "")</f>
        <v>2400.0000000000055</v>
      </c>
      <c r="G127" s="31">
        <v>12.5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7.9999999999999724E-3</v>
      </c>
      <c r="L127" s="18">
        <f>IF(ISNUMBER(J127), $B145 * K127, "")</f>
        <v>799.99999999999727</v>
      </c>
      <c r="M127" s="31"/>
      <c r="N127" s="32" t="str">
        <f t="shared" si="65"/>
        <v/>
      </c>
      <c r="O127" s="18" t="str">
        <f>IF(ISNUMBER(M127), $B145 * N127, "")</f>
        <v/>
      </c>
      <c r="Q127" s="241"/>
      <c r="R127" s="241"/>
      <c r="S127" s="241"/>
    </row>
    <row r="128" spans="1:19" ht="17.25" thickBot="1">
      <c r="A128" s="125" t="s">
        <v>148</v>
      </c>
      <c r="B128" s="126">
        <v>21.2</v>
      </c>
      <c r="C128" s="77">
        <v>2.4154589399999999E-2</v>
      </c>
      <c r="D128" s="15">
        <v>22.1</v>
      </c>
      <c r="E128" s="32">
        <f t="shared" si="62"/>
        <v>4.2452830188679347E-2</v>
      </c>
      <c r="F128" s="18">
        <f>IF(ISNUMBER(D128), $B145 * E128, "")</f>
        <v>4245.2830188679345</v>
      </c>
      <c r="G128" s="31">
        <v>21.8</v>
      </c>
      <c r="H128" s="32">
        <f t="shared" si="63"/>
        <v>2.8301886792452897E-2</v>
      </c>
      <c r="I128" s="101">
        <f>IF(ISNUMBER(G128), $B145 * H128, "")</f>
        <v>2830.1886792452897</v>
      </c>
      <c r="J128" s="15">
        <v>21.5</v>
      </c>
      <c r="K128" s="32">
        <f t="shared" si="64"/>
        <v>1.4150943396226448E-2</v>
      </c>
      <c r="L128" s="18">
        <f>IF(ISNUMBER(J128), $B145 * K128, "")</f>
        <v>1415.0943396226448</v>
      </c>
      <c r="M128" s="31"/>
      <c r="N128" s="32" t="str">
        <f t="shared" si="65"/>
        <v/>
      </c>
      <c r="O128" s="18" t="str">
        <f>IF(ISNUMBER(M128), $B145 * N128, "")</f>
        <v/>
      </c>
      <c r="Q128" s="241"/>
      <c r="R128" s="241"/>
      <c r="S128" s="241"/>
    </row>
    <row r="129" spans="1:19" ht="17.25" thickBot="1">
      <c r="A129" s="127" t="s">
        <v>122</v>
      </c>
      <c r="B129" s="128">
        <v>33.799999999999997</v>
      </c>
      <c r="C129" s="78">
        <v>2.1148036299999999E-2</v>
      </c>
      <c r="D129" s="20">
        <v>35.1</v>
      </c>
      <c r="E129" s="21">
        <f t="shared" si="62"/>
        <v>3.8461538461538589E-2</v>
      </c>
      <c r="F129" s="22">
        <f>IF(ISNUMBER(D129), $B145 * E129, "")</f>
        <v>3846.1538461538589</v>
      </c>
      <c r="G129" s="30">
        <v>34.6</v>
      </c>
      <c r="H129" s="21">
        <f t="shared" si="63"/>
        <v>2.3668639053254566E-2</v>
      </c>
      <c r="I129" s="105">
        <f>IF(ISNUMBER(G129), $B145 * H129, "")</f>
        <v>2366.8639053254565</v>
      </c>
      <c r="J129" s="20">
        <v>34.1</v>
      </c>
      <c r="K129" s="21">
        <f t="shared" si="64"/>
        <v>8.8757396449705411E-3</v>
      </c>
      <c r="L129" s="22">
        <f>IF(ISNUMBER(J129), $B145 * K129, "")</f>
        <v>887.57396449705413</v>
      </c>
      <c r="M129" s="30"/>
      <c r="N129" s="21" t="str">
        <f t="shared" si="65"/>
        <v/>
      </c>
      <c r="O129" s="22" t="str">
        <f>IF(ISNUMBER(M129), $B145 * N129, "")</f>
        <v/>
      </c>
      <c r="Q129" s="241"/>
      <c r="R129" s="241"/>
      <c r="S129" s="241"/>
    </row>
    <row r="130" spans="1:19" ht="17.25" thickBot="1">
      <c r="A130" s="125" t="s">
        <v>72</v>
      </c>
      <c r="B130" s="129">
        <v>23.9</v>
      </c>
      <c r="C130" s="80">
        <v>1.27118644E-2</v>
      </c>
      <c r="D130" s="106">
        <v>24.6</v>
      </c>
      <c r="E130" s="107">
        <f>IF(ISNUMBER(D130), (D130 - $B130) / $B130, "")</f>
        <v>2.9288702928870414E-2</v>
      </c>
      <c r="F130" s="108">
        <f>IF(ISNUMBER(D130), $B145 * E130, "")</f>
        <v>2928.8702928870416</v>
      </c>
      <c r="G130" s="109">
        <v>24.4</v>
      </c>
      <c r="H130" s="107">
        <f>IF(ISNUMBER(G130), (G130 - $B130) / $B130, "")</f>
        <v>2.0920502092050212E-2</v>
      </c>
      <c r="I130" s="110">
        <f>IF(ISNUMBER(G130), $B145 * H130, "")</f>
        <v>2092.050209205021</v>
      </c>
      <c r="J130" s="106">
        <v>24.1</v>
      </c>
      <c r="K130" s="107">
        <f>IF(ISNUMBER(J130), (J130 - $B130) / $B130, "")</f>
        <v>8.3682008368202027E-3</v>
      </c>
      <c r="L130" s="108">
        <f>IF(ISNUMBER(J130), $B145 * K130, "")</f>
        <v>836.82008368202025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1"/>
      <c r="R130" s="241"/>
      <c r="S130" s="241"/>
    </row>
    <row r="131" spans="1:19" ht="17.25" thickBot="1">
      <c r="A131" s="125" t="s">
        <v>178</v>
      </c>
      <c r="B131" s="126">
        <v>17</v>
      </c>
      <c r="C131" s="77">
        <v>1.19047619E-2</v>
      </c>
      <c r="D131" s="15">
        <v>17.399999999999999</v>
      </c>
      <c r="E131" s="32">
        <f t="shared" ref="E131:E134" si="66">IF(ISNUMBER(D131), (D131 - $B131) / $B131, "")</f>
        <v>2.3529411764705799E-2</v>
      </c>
      <c r="F131" s="18">
        <f>IF(ISNUMBER(D131), $B145 * E131, "")</f>
        <v>2352.9411764705801</v>
      </c>
      <c r="G131" s="31">
        <v>17.2</v>
      </c>
      <c r="H131" s="32">
        <f t="shared" ref="H131:H134" si="67">IF(ISNUMBER(G131), (G131 - $B131) / $B131, "")</f>
        <v>1.1764705882352899E-2</v>
      </c>
      <c r="I131" s="101">
        <f>IF(ISNUMBER(G131), $B145 * H131, "")</f>
        <v>1176.4705882352901</v>
      </c>
      <c r="J131" s="15">
        <v>17.2</v>
      </c>
      <c r="K131" s="32">
        <f t="shared" ref="K131:K134" si="68">IF(ISNUMBER(J131), (J131 - $B131) / $B131, "")</f>
        <v>1.1764705882352899E-2</v>
      </c>
      <c r="L131" s="18">
        <f>IF(ISNUMBER(J131), $B145 * K131, "")</f>
        <v>1176.4705882352901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1"/>
      <c r="R131" s="241"/>
      <c r="S131" s="241"/>
    </row>
    <row r="132" spans="1:19" ht="17.25" thickBot="1">
      <c r="A132" s="125" t="s">
        <v>234</v>
      </c>
      <c r="B132" s="126">
        <v>75.599999999999994</v>
      </c>
      <c r="C132" s="77">
        <v>9.3457943999999994E-3</v>
      </c>
      <c r="D132" s="15">
        <v>77.599999999999994</v>
      </c>
      <c r="E132" s="32">
        <f t="shared" si="66"/>
        <v>2.6455026455026457E-2</v>
      </c>
      <c r="F132" s="18">
        <f>IF(ISNUMBER(D132), $B145 * E132, "")</f>
        <v>2645.5026455026459</v>
      </c>
      <c r="G132" s="31">
        <v>76.400000000000006</v>
      </c>
      <c r="H132" s="32">
        <f t="shared" si="67"/>
        <v>1.0582010582010732E-2</v>
      </c>
      <c r="I132" s="101">
        <f>IF(ISNUMBER(G132), $B145 * H132, "")</f>
        <v>1058.2010582010732</v>
      </c>
      <c r="J132" s="15">
        <v>75.900000000000006</v>
      </c>
      <c r="K132" s="32">
        <f t="shared" si="68"/>
        <v>3.968253968254119E-3</v>
      </c>
      <c r="L132" s="18">
        <f>IF(ISNUMBER(J132), $B145 * K132, "")</f>
        <v>396.82539682541187</v>
      </c>
      <c r="M132" s="31"/>
      <c r="N132" s="32" t="str">
        <f t="shared" si="69"/>
        <v/>
      </c>
      <c r="O132" s="18" t="str">
        <f>IF(ISNUMBER(M132), $B145 * N132, "")</f>
        <v/>
      </c>
      <c r="Q132" s="241"/>
      <c r="R132" s="241"/>
      <c r="S132" s="241"/>
    </row>
    <row r="133" spans="1:19" ht="17.25" thickBot="1">
      <c r="A133" s="125" t="s">
        <v>250</v>
      </c>
      <c r="B133" s="126">
        <v>78.5</v>
      </c>
      <c r="C133" s="77">
        <v>8.9974293E-3</v>
      </c>
      <c r="D133" s="15">
        <v>80.599999999999994</v>
      </c>
      <c r="E133" s="32">
        <f t="shared" si="66"/>
        <v>2.6751592356687826E-2</v>
      </c>
      <c r="F133" s="18">
        <f>IF(ISNUMBER(D133), $B145 * E133, "")</f>
        <v>2675.1592356687825</v>
      </c>
      <c r="G133" s="31">
        <v>79.900000000000006</v>
      </c>
      <c r="H133" s="32">
        <f t="shared" si="67"/>
        <v>1.7834394904458671E-2</v>
      </c>
      <c r="I133" s="101">
        <f>IF(ISNUMBER(G133), $B145 * H133, "")</f>
        <v>1783.439490445867</v>
      </c>
      <c r="J133" s="15">
        <v>79.3</v>
      </c>
      <c r="K133" s="32">
        <f t="shared" si="68"/>
        <v>1.0191082802547734E-2</v>
      </c>
      <c r="L133" s="18">
        <f>IF(ISNUMBER(J133), $B145 * K133, "")</f>
        <v>1019.1082802547734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13.3</v>
      </c>
      <c r="C134" s="79">
        <v>7.5757576E-3</v>
      </c>
      <c r="D134" s="24">
        <v>13.5</v>
      </c>
      <c r="E134" s="25">
        <f t="shared" si="66"/>
        <v>1.5037593984962351E-2</v>
      </c>
      <c r="F134" s="104">
        <f>IF(ISNUMBER(D134), $B145 * E134, "")</f>
        <v>1503.7593984962352</v>
      </c>
      <c r="G134" s="102">
        <v>13.3</v>
      </c>
      <c r="H134" s="25">
        <f t="shared" si="67"/>
        <v>0</v>
      </c>
      <c r="I134" s="103">
        <f>IF(ISNUMBER(G134), $B145 * H134, "")</f>
        <v>0</v>
      </c>
      <c r="J134" s="24">
        <v>13.3</v>
      </c>
      <c r="K134" s="25">
        <f t="shared" si="68"/>
        <v>0</v>
      </c>
      <c r="L134" s="104">
        <f>IF(ISNUMBER(J134), $B145 * K134, "")</f>
        <v>0</v>
      </c>
      <c r="M134" s="102"/>
      <c r="N134" s="25" t="str">
        <f t="shared" si="69"/>
        <v/>
      </c>
      <c r="O134" s="104" t="str">
        <f>IF(ISNUMBER(M134), $B145 * N134, "")</f>
        <v/>
      </c>
      <c r="Q134" s="250"/>
      <c r="R134" s="251"/>
      <c r="S134" s="252"/>
    </row>
    <row r="135" spans="1:19">
      <c r="A135" s="123" t="s">
        <v>65</v>
      </c>
      <c r="B135" s="124">
        <v>35.700000000000003</v>
      </c>
      <c r="C135" s="76">
        <v>0</v>
      </c>
      <c r="D135" s="13">
        <v>37</v>
      </c>
      <c r="E135" s="14">
        <f>IF(ISNUMBER(D135), (D135 - $B135) / $B135, "")</f>
        <v>3.6414565826330451E-2</v>
      </c>
      <c r="F135" s="16">
        <f>IF(ISNUMBER(D135), $B145 * E135, "")</f>
        <v>3641.4565826330449</v>
      </c>
      <c r="G135" s="29">
        <v>36.1</v>
      </c>
      <c r="H135" s="14">
        <f>IF(ISNUMBER(G135), (G135 - $B135) / $B135, "")</f>
        <v>1.1204481792717045E-2</v>
      </c>
      <c r="I135" s="100">
        <f>IF(ISNUMBER(G135), $B145 * H135, "")</f>
        <v>1120.4481792717045</v>
      </c>
      <c r="J135" s="13">
        <v>35.700000000000003</v>
      </c>
      <c r="K135" s="14">
        <f>IF(ISNUMBER(J135), (J135 - $B135) / $B135, "")</f>
        <v>0</v>
      </c>
      <c r="L135" s="16">
        <f>IF(ISNUMBER(J135), $B145 * K135, "")</f>
        <v>0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3"/>
      <c r="R135" s="254"/>
      <c r="S135" s="255"/>
    </row>
    <row r="136" spans="1:19" ht="17.25" thickBot="1">
      <c r="A136" s="125" t="s">
        <v>204</v>
      </c>
      <c r="B136" s="126">
        <v>15.2</v>
      </c>
      <c r="C136" s="77">
        <v>0</v>
      </c>
      <c r="D136" s="15">
        <v>15.6</v>
      </c>
      <c r="E136" s="32">
        <f t="shared" ref="E136:E139" si="70">IF(ISNUMBER(D136), (D136 - $B136) / $B136, "")</f>
        <v>2.6315789473684237E-2</v>
      </c>
      <c r="F136" s="18">
        <f>IF(ISNUMBER(D136), $B145 * E136, "")</f>
        <v>2631.5789473684235</v>
      </c>
      <c r="G136" s="31">
        <v>15.3</v>
      </c>
      <c r="H136" s="32">
        <f t="shared" ref="H136:H139" si="71">IF(ISNUMBER(G136), (G136 - $B136) / $B136, "")</f>
        <v>6.5789473684211468E-3</v>
      </c>
      <c r="I136" s="101">
        <f>IF(ISNUMBER(G136), $B145 * H136, "")</f>
        <v>657.89473684211464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6"/>
      <c r="R136" s="257"/>
      <c r="S136" s="258"/>
    </row>
    <row r="137" spans="1:19" ht="17.25" thickBot="1">
      <c r="A137" s="125" t="s">
        <v>208</v>
      </c>
      <c r="B137" s="126">
        <v>14.3</v>
      </c>
      <c r="C137" s="77">
        <v>0</v>
      </c>
      <c r="D137" s="15">
        <v>14.5</v>
      </c>
      <c r="E137" s="32">
        <f t="shared" si="70"/>
        <v>1.3986013986013936E-2</v>
      </c>
      <c r="F137" s="18">
        <f>IF(ISNUMBER(D137), $B145 * E137, "")</f>
        <v>1398.6013986013936</v>
      </c>
      <c r="G137" s="31">
        <v>14.4</v>
      </c>
      <c r="H137" s="32">
        <f t="shared" si="71"/>
        <v>6.9930069930069678E-3</v>
      </c>
      <c r="I137" s="101">
        <f>IF(ISNUMBER(G137), $B145 * H137, "")</f>
        <v>699.30069930069681</v>
      </c>
      <c r="J137" s="15">
        <v>14.2</v>
      </c>
      <c r="K137" s="32">
        <f t="shared" si="72"/>
        <v>-6.9930069930070919E-3</v>
      </c>
      <c r="L137" s="18">
        <f>IF(ISNUMBER(J137), $B145 * K137, "")</f>
        <v>-699.3006993007092</v>
      </c>
      <c r="M137" s="31"/>
      <c r="N137" s="32" t="str">
        <f t="shared" si="73"/>
        <v/>
      </c>
      <c r="O137" s="18" t="str">
        <f>IF(ISNUMBER(M137), $B145 * N137, "")</f>
        <v/>
      </c>
      <c r="Q137" s="241"/>
      <c r="R137" s="241"/>
      <c r="S137" s="241"/>
    </row>
    <row r="138" spans="1:19" ht="17.25" thickBot="1">
      <c r="A138" s="125" t="s">
        <v>150</v>
      </c>
      <c r="B138" s="126">
        <v>13</v>
      </c>
      <c r="C138" s="77">
        <v>0</v>
      </c>
      <c r="D138" s="15">
        <v>13.3</v>
      </c>
      <c r="E138" s="32">
        <f t="shared" si="70"/>
        <v>2.307692307692313E-2</v>
      </c>
      <c r="F138" s="18">
        <f>IF(ISNUMBER(D138), $B145 * E138, "")</f>
        <v>2307.6923076923131</v>
      </c>
      <c r="G138" s="31">
        <v>13.2</v>
      </c>
      <c r="H138" s="32">
        <f t="shared" si="71"/>
        <v>1.538461538461533E-2</v>
      </c>
      <c r="I138" s="101">
        <f>IF(ISNUMBER(G138), $B145 * H138, "")</f>
        <v>1538.4615384615331</v>
      </c>
      <c r="J138" s="15">
        <v>13.1</v>
      </c>
      <c r="K138" s="32">
        <f t="shared" si="72"/>
        <v>7.692307692307665E-3</v>
      </c>
      <c r="L138" s="18">
        <f>IF(ISNUMBER(J138), $B145 * K138, "")</f>
        <v>769.23076923076655</v>
      </c>
      <c r="M138" s="31"/>
      <c r="N138" s="32" t="str">
        <f t="shared" si="73"/>
        <v/>
      </c>
      <c r="O138" s="18" t="str">
        <f>IF(ISNUMBER(M138), $B145 * N138, "")</f>
        <v/>
      </c>
      <c r="Q138" s="236"/>
      <c r="R138" s="236"/>
      <c r="S138" s="236"/>
    </row>
    <row r="139" spans="1:19" ht="17.25" thickBot="1">
      <c r="A139" s="127" t="s">
        <v>98</v>
      </c>
      <c r="B139" s="128">
        <v>5.39</v>
      </c>
      <c r="C139" s="78">
        <v>-5.5350553999999998E-3</v>
      </c>
      <c r="D139" s="20">
        <v>5.55</v>
      </c>
      <c r="E139" s="21">
        <f t="shared" si="70"/>
        <v>2.968460111317257E-2</v>
      </c>
      <c r="F139" s="22">
        <f>IF(ISNUMBER(D139), $B145 * E139, "")</f>
        <v>2968.4601113172571</v>
      </c>
      <c r="G139" s="30">
        <v>5.56</v>
      </c>
      <c r="H139" s="21">
        <f t="shared" si="71"/>
        <v>3.1539888682745813E-2</v>
      </c>
      <c r="I139" s="105">
        <f>IF(ISNUMBER(G139), $B145 * H139, "")</f>
        <v>3153.9888682745814</v>
      </c>
      <c r="J139" s="20">
        <v>5.47</v>
      </c>
      <c r="K139" s="21">
        <f t="shared" si="72"/>
        <v>1.4842300556586285E-2</v>
      </c>
      <c r="L139" s="22">
        <f>IF(ISNUMBER(J139), $B145 * K139, "")</f>
        <v>1484.2300556586285</v>
      </c>
      <c r="M139" s="30"/>
      <c r="N139" s="21" t="str">
        <f t="shared" si="73"/>
        <v/>
      </c>
      <c r="O139" s="22" t="str">
        <f>IF(ISNUMBER(M139), $B145 * N139, "")</f>
        <v/>
      </c>
      <c r="Q139" s="236"/>
      <c r="R139" s="236"/>
      <c r="S139" s="236"/>
    </row>
    <row r="140" spans="1:19" ht="17.25" thickBot="1">
      <c r="A140" s="125" t="s">
        <v>190</v>
      </c>
      <c r="B140" s="129">
        <v>19.899999999999999</v>
      </c>
      <c r="C140" s="80">
        <v>-9.9502488000000004E-3</v>
      </c>
      <c r="D140" s="106">
        <v>20.6</v>
      </c>
      <c r="E140" s="107">
        <f>IF(ISNUMBER(D140), (D140 - $B140) / $B140, "")</f>
        <v>3.517587939698507E-2</v>
      </c>
      <c r="F140" s="108">
        <f>IF(ISNUMBER(D140), $B145 * E140, "")</f>
        <v>3517.5879396985069</v>
      </c>
      <c r="G140" s="109">
        <v>20</v>
      </c>
      <c r="H140" s="107">
        <f>IF(ISNUMBER(G140), (G140 - $B140) / $B140, "")</f>
        <v>5.0251256281407756E-3</v>
      </c>
      <c r="I140" s="110">
        <f>IF(ISNUMBER(G140), $B145 * H140, "")</f>
        <v>502.51256281407757</v>
      </c>
      <c r="J140" s="106">
        <v>19.8</v>
      </c>
      <c r="K140" s="107">
        <f>IF(ISNUMBER(J140), (J140 - $B140) / $B140, "")</f>
        <v>-5.0251256281405969E-3</v>
      </c>
      <c r="L140" s="108">
        <f>IF(ISNUMBER(J140), $B145 * K140, "")</f>
        <v>-502.51256281405966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1"/>
      <c r="R140" s="241"/>
      <c r="S140" s="241"/>
    </row>
    <row r="141" spans="1:19" ht="17.25" thickBot="1">
      <c r="A141" s="125" t="s">
        <v>202</v>
      </c>
      <c r="B141" s="126">
        <v>97.6</v>
      </c>
      <c r="C141" s="77">
        <v>-1.01419878E-2</v>
      </c>
      <c r="D141" s="15">
        <v>99.3</v>
      </c>
      <c r="E141" s="32">
        <f t="shared" ref="E141:E144" si="74">IF(ISNUMBER(D141), (D141 - $B141) / $B141, "")</f>
        <v>1.7418032786885276E-2</v>
      </c>
      <c r="F141" s="18">
        <f>IF(ISNUMBER(D141), $B145 * E141, "")</f>
        <v>1741.8032786885276</v>
      </c>
      <c r="G141" s="31">
        <v>97.9</v>
      </c>
      <c r="H141" s="32">
        <f t="shared" ref="H141:H144" si="75">IF(ISNUMBER(G141), (G141 - $B141) / $B141, "")</f>
        <v>3.0737704918033953E-3</v>
      </c>
      <c r="I141" s="101">
        <f>IF(ISNUMBER(G141), $B145 * H141, "")</f>
        <v>307.37704918033955</v>
      </c>
      <c r="J141" s="15">
        <v>96.9</v>
      </c>
      <c r="K141" s="32">
        <f t="shared" ref="K141:K144" si="76">IF(ISNUMBER(J141), (J141 - $B141) / $B141, "")</f>
        <v>-7.1721311475408675E-3</v>
      </c>
      <c r="L141" s="18">
        <f>IF(ISNUMBER(J141), $B145 * K141, "")</f>
        <v>-717.21311475408675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1"/>
      <c r="R141" s="241"/>
      <c r="S141" s="24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1"/>
      <c r="R142" s="241"/>
      <c r="S142" s="24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3"/>
      <c r="R143" s="264"/>
      <c r="S143" s="26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6"/>
      <c r="R144" s="267"/>
      <c r="S144" s="268"/>
    </row>
    <row r="145" spans="1:19" ht="17.25" thickBot="1">
      <c r="A145" s="132" t="s">
        <v>270</v>
      </c>
      <c r="B145" s="274">
        <f>$B$37</f>
        <v>100000</v>
      </c>
      <c r="C145" s="275"/>
      <c r="D145" s="26" t="s">
        <v>271</v>
      </c>
      <c r="E145" s="27">
        <f>IF(COUNT(E125:E144), SUM(E125:E144) / COUNT(E125:E144), 0)</f>
        <v>2.625836472679011E-2</v>
      </c>
      <c r="F145" s="28">
        <f>SUM(F125:F144)</f>
        <v>44639.220035543185</v>
      </c>
      <c r="G145" s="26" t="s">
        <v>271</v>
      </c>
      <c r="H145" s="27">
        <f>IF(COUNT(H125:H144), SUM(H125:H144) / COUNT(H125:H144), 0)</f>
        <v>1.2548484391566337E-2</v>
      </c>
      <c r="I145" s="28">
        <f>SUM(I125:I144)</f>
        <v>21332.42346566277</v>
      </c>
      <c r="J145" s="26" t="s">
        <v>271</v>
      </c>
      <c r="K145" s="27">
        <f>IF(COUNT(K125:K144), SUM(K125:K144) / COUNT(K125:K144), 0)</f>
        <v>4.0390159418457238E-3</v>
      </c>
      <c r="L145" s="28">
        <f>SUM(L125:L144)</f>
        <v>6866.3271011377319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69"/>
      <c r="R145" s="270"/>
      <c r="S145" s="27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36"/>
      <c r="R148" s="236"/>
      <c r="S148" s="236"/>
    </row>
    <row r="149" spans="1:19" ht="17.25" thickBot="1">
      <c r="A149" s="211" t="s">
        <v>267</v>
      </c>
      <c r="B149" s="215" t="s">
        <v>49</v>
      </c>
      <c r="C149" s="217"/>
      <c r="D149" s="215" t="s">
        <v>58</v>
      </c>
      <c r="E149" s="216"/>
      <c r="F149" s="217"/>
      <c r="G149" s="242">
        <f>_xlfn.IFNA(VLOOKUP(B149, 현재가테이블!$B$2:$D$200, 2, FALSE), "-")</f>
        <v>53976000</v>
      </c>
      <c r="H149" s="243"/>
      <c r="I149" s="244"/>
      <c r="J149" s="215" t="s">
        <v>59</v>
      </c>
      <c r="K149" s="216"/>
      <c r="L149" s="217"/>
      <c r="M149" s="245">
        <f>_xlfn.IFNA(VLOOKUP(B149, 현재가테이블!$B$2:$D$200, 3, FALSE), "-")</f>
        <v>-2.1216407400000001E-2</v>
      </c>
      <c r="N149" s="246"/>
      <c r="O149" s="247"/>
      <c r="Q149" s="236"/>
      <c r="R149" s="236"/>
      <c r="S149" s="236"/>
    </row>
    <row r="150" spans="1:19" ht="17.25" thickBot="1">
      <c r="A150" s="276" t="s">
        <v>55</v>
      </c>
      <c r="B150" s="278" t="str">
        <f>TEXT($G$1, "[$-ko-KR]yyyy-mm-dd(ddd) ") &amp; "오전 00:00"</f>
        <v>2021-08-14(토) 오전 00:00</v>
      </c>
      <c r="C150" s="279"/>
      <c r="D150" s="238" t="str">
        <f>TEXT($G$1, "[$-ko-KR]yyyy-mm-dd(ddd) ") &amp; "오후 14:00"</f>
        <v>2021-08-14(토) 오후 14:00</v>
      </c>
      <c r="E150" s="239"/>
      <c r="F150" s="240"/>
      <c r="G150" s="238" t="str">
        <f>TEXT($G$1, "[$-ko-KR]yyyy-mm-dd(ddd) ") &amp; "오후 19:00"</f>
        <v>2021-08-14(토) 오후 19:00</v>
      </c>
      <c r="H150" s="239"/>
      <c r="I150" s="240"/>
      <c r="J150" s="238" t="str">
        <f>TEXT($G$1, "[$-ko-KR]yyyy-mm-dd(ddd) ") &amp; "오후 21:00"</f>
        <v>2021-08-14(토) 오후 21:00</v>
      </c>
      <c r="K150" s="239"/>
      <c r="L150" s="240"/>
      <c r="M150" s="238" t="str">
        <f>TEXT($G$1+1, "[$-ko-KR]yyyy-mm-dd(ddd) ") &amp; "오전 00:00"</f>
        <v>2021-08-15(일) 오전 00:00</v>
      </c>
      <c r="N150" s="239"/>
      <c r="O150" s="240"/>
      <c r="Q150" s="236"/>
      <c r="R150" s="236"/>
      <c r="S150" s="236"/>
    </row>
    <row r="151" spans="1:19" ht="17.25" thickBot="1">
      <c r="A151" s="27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2" t="s">
        <v>58</v>
      </c>
      <c r="H151" s="213" t="s">
        <v>268</v>
      </c>
      <c r="I151" s="2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1"/>
      <c r="R151" s="241"/>
      <c r="S151" s="241"/>
    </row>
    <row r="152" spans="1:19" ht="17.25" thickBot="1">
      <c r="A152" s="123" t="s">
        <v>174</v>
      </c>
      <c r="B152" s="124">
        <v>353</v>
      </c>
      <c r="C152" s="76">
        <v>1.7291066300000001E-2</v>
      </c>
      <c r="D152" s="13">
        <v>357</v>
      </c>
      <c r="E152" s="14">
        <f>IF(ISNUMBER(D152), (D152 - $B152) / $B152, "")</f>
        <v>1.1331444759206799E-2</v>
      </c>
      <c r="F152" s="16">
        <f>IF(ISNUMBER(D152), $B172 * E152, "")</f>
        <v>1133.14447592068</v>
      </c>
      <c r="G152" s="29">
        <v>352</v>
      </c>
      <c r="H152" s="14">
        <f>IF(ISNUMBER(G152), (G152 - $B152) / $B152, "")</f>
        <v>-2.8328611898016999E-3</v>
      </c>
      <c r="I152" s="100">
        <f>IF(ISNUMBER(G152), $B172 * H152, "")</f>
        <v>-283.28611898016999</v>
      </c>
      <c r="J152" s="13">
        <v>352</v>
      </c>
      <c r="K152" s="14">
        <f>IF(ISNUMBER(J152), (J152 - $B152) / $B152, "")</f>
        <v>-2.8328611898016999E-3</v>
      </c>
      <c r="L152" s="16">
        <f>IF(ISNUMBER(J152), $B172 * K152, "")</f>
        <v>-283.28611898016999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6"/>
      <c r="R152" s="236"/>
      <c r="S152" s="236"/>
    </row>
    <row r="153" spans="1:19" ht="17.25" thickBot="1">
      <c r="A153" s="125" t="s">
        <v>200</v>
      </c>
      <c r="B153" s="126">
        <v>143</v>
      </c>
      <c r="C153" s="77">
        <v>1.4184397200000001E-2</v>
      </c>
      <c r="D153" s="15">
        <v>146</v>
      </c>
      <c r="E153" s="32">
        <f t="shared" ref="E153:E156" si="78">IF(ISNUMBER(D153), (D153 - $B153) / $B153, "")</f>
        <v>2.097902097902098E-2</v>
      </c>
      <c r="F153" s="18">
        <f>IF(ISNUMBER(D153), $B172 * E153, "")</f>
        <v>2097.9020979020979</v>
      </c>
      <c r="G153" s="31">
        <v>143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143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6"/>
      <c r="R153" s="236"/>
      <c r="S153" s="236"/>
    </row>
    <row r="154" spans="1:19" ht="17.25" thickBot="1">
      <c r="A154" s="125" t="s">
        <v>220</v>
      </c>
      <c r="B154" s="126">
        <v>216</v>
      </c>
      <c r="C154" s="77">
        <v>1.4084507E-2</v>
      </c>
      <c r="D154" s="15">
        <v>217</v>
      </c>
      <c r="E154" s="32">
        <f t="shared" si="78"/>
        <v>4.6296296296296294E-3</v>
      </c>
      <c r="F154" s="18">
        <f>IF(ISNUMBER(D154), $B172 * E154, "")</f>
        <v>462.96296296296293</v>
      </c>
      <c r="G154" s="31">
        <v>216</v>
      </c>
      <c r="H154" s="32">
        <f t="shared" si="79"/>
        <v>0</v>
      </c>
      <c r="I154" s="101">
        <f>IF(ISNUMBER(G154), $B172 * H154, "")</f>
        <v>0</v>
      </c>
      <c r="J154" s="15">
        <v>215</v>
      </c>
      <c r="K154" s="32">
        <f t="shared" si="80"/>
        <v>-4.6296296296296294E-3</v>
      </c>
      <c r="L154" s="18">
        <f>IF(ISNUMBER(J154), $B172 * K154, "")</f>
        <v>-462.96296296296293</v>
      </c>
      <c r="M154" s="31"/>
      <c r="N154" s="32" t="str">
        <f t="shared" si="81"/>
        <v/>
      </c>
      <c r="O154" s="18" t="str">
        <f>IF(ISNUMBER(M154), $B172 * N154, "")</f>
        <v/>
      </c>
      <c r="Q154" s="241"/>
      <c r="R154" s="241"/>
      <c r="S154" s="241"/>
    </row>
    <row r="155" spans="1:19" ht="17.25" thickBot="1">
      <c r="A155" s="125" t="s">
        <v>194</v>
      </c>
      <c r="B155" s="126">
        <v>144</v>
      </c>
      <c r="C155" s="77">
        <v>1.4084507E-2</v>
      </c>
      <c r="D155" s="15">
        <v>157</v>
      </c>
      <c r="E155" s="32">
        <f t="shared" si="78"/>
        <v>9.0277777777777776E-2</v>
      </c>
      <c r="F155" s="18">
        <f>IF(ISNUMBER(D155), $B172 * E155, "")</f>
        <v>9027.7777777777774</v>
      </c>
      <c r="G155" s="31">
        <v>152</v>
      </c>
      <c r="H155" s="32">
        <f t="shared" si="79"/>
        <v>5.5555555555555552E-2</v>
      </c>
      <c r="I155" s="101">
        <f>IF(ISNUMBER(G155), $B172 * H155, "")</f>
        <v>5555.5555555555557</v>
      </c>
      <c r="J155" s="15">
        <v>150</v>
      </c>
      <c r="K155" s="32">
        <f t="shared" si="80"/>
        <v>4.1666666666666664E-2</v>
      </c>
      <c r="L155" s="18">
        <f>IF(ISNUMBER(J155), $B172 * K155, "")</f>
        <v>4166.6666666666661</v>
      </c>
      <c r="M155" s="31"/>
      <c r="N155" s="32" t="str">
        <f t="shared" si="81"/>
        <v/>
      </c>
      <c r="O155" s="18" t="str">
        <f>IF(ISNUMBER(M155), $B172 * N155, "")</f>
        <v/>
      </c>
      <c r="Q155" s="241"/>
      <c r="R155" s="241"/>
      <c r="S155" s="241"/>
    </row>
    <row r="156" spans="1:19" ht="17.25" thickBot="1">
      <c r="A156" s="127" t="s">
        <v>54</v>
      </c>
      <c r="B156" s="128">
        <v>260</v>
      </c>
      <c r="C156" s="78">
        <v>1.16731518E-2</v>
      </c>
      <c r="D156" s="20">
        <v>268</v>
      </c>
      <c r="E156" s="21">
        <f t="shared" si="78"/>
        <v>3.0769230769230771E-2</v>
      </c>
      <c r="F156" s="22">
        <f>IF(ISNUMBER(D156), $B172 * E156, "")</f>
        <v>3076.9230769230771</v>
      </c>
      <c r="G156" s="30">
        <v>271</v>
      </c>
      <c r="H156" s="21">
        <f t="shared" si="79"/>
        <v>4.230769230769231E-2</v>
      </c>
      <c r="I156" s="105">
        <f>IF(ISNUMBER(G156), $B172 * H156, "")</f>
        <v>4230.7692307692314</v>
      </c>
      <c r="J156" s="20">
        <v>279</v>
      </c>
      <c r="K156" s="21">
        <f t="shared" si="80"/>
        <v>7.3076923076923081E-2</v>
      </c>
      <c r="L156" s="22">
        <f>IF(ISNUMBER(J156), $B172 * K156, "")</f>
        <v>7307.6923076923085</v>
      </c>
      <c r="M156" s="30"/>
      <c r="N156" s="21" t="str">
        <f t="shared" si="81"/>
        <v/>
      </c>
      <c r="O156" s="22" t="str">
        <f>IF(ISNUMBER(M156), $B172 * N156, "")</f>
        <v/>
      </c>
      <c r="Q156" s="241"/>
      <c r="R156" s="241"/>
      <c r="S156" s="241"/>
    </row>
    <row r="157" spans="1:19" ht="17.25" thickBot="1">
      <c r="A157" s="125" t="s">
        <v>164</v>
      </c>
      <c r="B157" s="129">
        <v>323</v>
      </c>
      <c r="C157" s="80">
        <v>9.3749999999999997E-3</v>
      </c>
      <c r="D157" s="106">
        <v>327</v>
      </c>
      <c r="E157" s="107">
        <f>IF(ISNUMBER(D157), (D157 - $B157) / $B157, "")</f>
        <v>1.238390092879257E-2</v>
      </c>
      <c r="F157" s="108">
        <f>IF(ISNUMBER(D157), $B172 * E157, "")</f>
        <v>1238.3900928792571</v>
      </c>
      <c r="G157" s="109">
        <v>324</v>
      </c>
      <c r="H157" s="107">
        <f>IF(ISNUMBER(G157), (G157 - $B157) / $B157, "")</f>
        <v>3.0959752321981426E-3</v>
      </c>
      <c r="I157" s="110">
        <f>IF(ISNUMBER(G157), $B172 * H157, "")</f>
        <v>309.59752321981426</v>
      </c>
      <c r="J157" s="106">
        <v>323</v>
      </c>
      <c r="K157" s="107">
        <f>IF(ISNUMBER(J157), (J157 - $B157) / $B157, "")</f>
        <v>0</v>
      </c>
      <c r="L157" s="108">
        <f>IF(ISNUMBER(J157), $B172 * K157, "")</f>
        <v>0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1"/>
      <c r="R157" s="241"/>
      <c r="S157" s="241"/>
    </row>
    <row r="158" spans="1:19" ht="17.25" thickBot="1">
      <c r="A158" s="125" t="s">
        <v>252</v>
      </c>
      <c r="B158" s="126">
        <v>999</v>
      </c>
      <c r="C158" s="77">
        <v>9.0909091000000008E-3</v>
      </c>
      <c r="D158" s="15">
        <v>1015</v>
      </c>
      <c r="E158" s="32">
        <f t="shared" ref="E158:E161" si="82">IF(ISNUMBER(D158), (D158 - $B158) / $B158, "")</f>
        <v>1.6016016016016016E-2</v>
      </c>
      <c r="F158" s="18">
        <f>IF(ISNUMBER(D158), $B172 * E158, "")</f>
        <v>1601.6016016016015</v>
      </c>
      <c r="G158" s="31">
        <v>1010</v>
      </c>
      <c r="H158" s="32">
        <f t="shared" ref="H158:H161" si="83">IF(ISNUMBER(G158), (G158 - $B158) / $B158, "")</f>
        <v>1.1011011011011011E-2</v>
      </c>
      <c r="I158" s="101">
        <f>IF(ISNUMBER(G158), $B172 * H158, "")</f>
        <v>1101.101101101101</v>
      </c>
      <c r="J158" s="15">
        <v>998</v>
      </c>
      <c r="K158" s="32">
        <f t="shared" ref="K158:K161" si="84">IF(ISNUMBER(J158), (J158 - $B158) / $B158, "")</f>
        <v>-1.001001001001001E-3</v>
      </c>
      <c r="L158" s="18">
        <f>IF(ISNUMBER(J158), $B172 * K158, "")</f>
        <v>-100.10010010010009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1"/>
      <c r="R158" s="241"/>
      <c r="S158" s="241"/>
    </row>
    <row r="159" spans="1:19" ht="17.25" thickBot="1">
      <c r="A159" s="125" t="s">
        <v>192</v>
      </c>
      <c r="B159" s="126">
        <v>235</v>
      </c>
      <c r="C159" s="77">
        <v>8.5836909999999992E-3</v>
      </c>
      <c r="D159" s="15">
        <v>241</v>
      </c>
      <c r="E159" s="32">
        <f t="shared" si="82"/>
        <v>2.553191489361702E-2</v>
      </c>
      <c r="F159" s="18">
        <f>IF(ISNUMBER(D159), $B172 * E159, "")</f>
        <v>2553.1914893617018</v>
      </c>
      <c r="G159" s="31">
        <v>236</v>
      </c>
      <c r="H159" s="32">
        <f t="shared" si="83"/>
        <v>4.2553191489361703E-3</v>
      </c>
      <c r="I159" s="101">
        <f>IF(ISNUMBER(G159), $B172 * H159, "")</f>
        <v>425.53191489361706</v>
      </c>
      <c r="J159" s="15">
        <v>235</v>
      </c>
      <c r="K159" s="32">
        <f t="shared" si="84"/>
        <v>0</v>
      </c>
      <c r="L159" s="18">
        <f>IF(ISNUMBER(J159), $B172 * K159, "")</f>
        <v>0</v>
      </c>
      <c r="M159" s="31"/>
      <c r="N159" s="32" t="str">
        <f t="shared" si="85"/>
        <v/>
      </c>
      <c r="O159" s="18" t="str">
        <f>IF(ISNUMBER(M159), $B172 * N159, "")</f>
        <v/>
      </c>
      <c r="Q159" s="241"/>
      <c r="R159" s="241"/>
      <c r="S159" s="241"/>
    </row>
    <row r="160" spans="1:19" ht="17.25" thickBot="1">
      <c r="A160" s="125" t="s">
        <v>132</v>
      </c>
      <c r="B160" s="126">
        <v>118</v>
      </c>
      <c r="C160" s="77">
        <v>8.5470084999999998E-3</v>
      </c>
      <c r="D160" s="15">
        <v>129</v>
      </c>
      <c r="E160" s="32">
        <f t="shared" si="82"/>
        <v>9.3220338983050849E-2</v>
      </c>
      <c r="F160" s="18">
        <f>IF(ISNUMBER(D160), $B172 * E160, "")</f>
        <v>9322.0338983050842</v>
      </c>
      <c r="G160" s="31">
        <v>128</v>
      </c>
      <c r="H160" s="32">
        <f t="shared" si="83"/>
        <v>8.4745762711864403E-2</v>
      </c>
      <c r="I160" s="101">
        <f>IF(ISNUMBER(G160), $B172 * H160, "")</f>
        <v>8474.5762711864409</v>
      </c>
      <c r="J160" s="15">
        <v>127</v>
      </c>
      <c r="K160" s="32">
        <f t="shared" si="84"/>
        <v>7.6271186440677971E-2</v>
      </c>
      <c r="L160" s="18">
        <f>IF(ISNUMBER(J160), $B172 * K160, "")</f>
        <v>7627.1186440677975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242</v>
      </c>
      <c r="B161" s="131">
        <v>489</v>
      </c>
      <c r="C161" s="79">
        <v>8.2474226999999997E-3</v>
      </c>
      <c r="D161" s="24">
        <v>498</v>
      </c>
      <c r="E161" s="25">
        <f t="shared" si="82"/>
        <v>1.8404907975460124E-2</v>
      </c>
      <c r="F161" s="104">
        <f>IF(ISNUMBER(D161), $B172 * E161, "")</f>
        <v>1840.4907975460123</v>
      </c>
      <c r="G161" s="102">
        <v>491</v>
      </c>
      <c r="H161" s="25">
        <f t="shared" si="83"/>
        <v>4.0899795501022499E-3</v>
      </c>
      <c r="I161" s="103">
        <f>IF(ISNUMBER(G161), $B172 * H161, "")</f>
        <v>408.99795501022498</v>
      </c>
      <c r="J161" s="24">
        <v>490</v>
      </c>
      <c r="K161" s="25">
        <f t="shared" si="84"/>
        <v>2.0449897750511249E-3</v>
      </c>
      <c r="L161" s="104">
        <f>IF(ISNUMBER(J161), $B172 * K161, "")</f>
        <v>204.49897750511249</v>
      </c>
      <c r="M161" s="102"/>
      <c r="N161" s="25" t="str">
        <f t="shared" si="85"/>
        <v/>
      </c>
      <c r="O161" s="104" t="str">
        <f>IF(ISNUMBER(M161), $B172 * N161, "")</f>
        <v/>
      </c>
      <c r="Q161" s="250"/>
      <c r="R161" s="251"/>
      <c r="S161" s="252"/>
    </row>
    <row r="162" spans="1:19">
      <c r="A162" s="123" t="s">
        <v>218</v>
      </c>
      <c r="B162" s="124">
        <v>133</v>
      </c>
      <c r="C162" s="76">
        <v>7.5757576E-3</v>
      </c>
      <c r="D162" s="13">
        <v>136</v>
      </c>
      <c r="E162" s="14">
        <f>IF(ISNUMBER(D162), (D162 - $B162) / $B162, "")</f>
        <v>2.2556390977443608E-2</v>
      </c>
      <c r="F162" s="16">
        <f>IF(ISNUMBER(D162), $B172 * E162, "")</f>
        <v>2255.6390977443607</v>
      </c>
      <c r="G162" s="29">
        <v>139</v>
      </c>
      <c r="H162" s="14">
        <f>IF(ISNUMBER(G162), (G162 - $B162) / $B162, "")</f>
        <v>4.5112781954887216E-2</v>
      </c>
      <c r="I162" s="100">
        <f>IF(ISNUMBER(G162), $B172 * H162, "")</f>
        <v>4511.2781954887214</v>
      </c>
      <c r="J162" s="13">
        <v>137</v>
      </c>
      <c r="K162" s="14">
        <f>IF(ISNUMBER(J162), (J162 - $B162) / $B162, "")</f>
        <v>3.007518796992481E-2</v>
      </c>
      <c r="L162" s="16">
        <f>IF(ISNUMBER(J162), $B172 * K162, "")</f>
        <v>3007.5187969924809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3"/>
      <c r="R162" s="254"/>
      <c r="S162" s="255"/>
    </row>
    <row r="163" spans="1:19" ht="17.25" thickBot="1">
      <c r="A163" s="125" t="s">
        <v>232</v>
      </c>
      <c r="B163" s="126">
        <v>554</v>
      </c>
      <c r="C163" s="77">
        <v>5.4446460999999996E-3</v>
      </c>
      <c r="D163" s="15">
        <v>562</v>
      </c>
      <c r="E163" s="32">
        <f t="shared" ref="E163:E166" si="86">IF(ISNUMBER(D163), (D163 - $B163) / $B163, "")</f>
        <v>1.444043321299639E-2</v>
      </c>
      <c r="F163" s="18">
        <f>IF(ISNUMBER(D163), $B172 * E163, "")</f>
        <v>1444.043321299639</v>
      </c>
      <c r="G163" s="31">
        <v>552</v>
      </c>
      <c r="H163" s="32">
        <f t="shared" ref="H163:H166" si="87">IF(ISNUMBER(G163), (G163 - $B163) / $B163, "")</f>
        <v>-3.6101083032490976E-3</v>
      </c>
      <c r="I163" s="101">
        <f>IF(ISNUMBER(G163), $B172 * H163, "")</f>
        <v>-361.01083032490976</v>
      </c>
      <c r="J163" s="15">
        <v>548</v>
      </c>
      <c r="K163" s="32">
        <f t="shared" ref="K163:K166" si="88">IF(ISNUMBER(J163), (J163 - $B163) / $B163, "")</f>
        <v>-1.0830324909747292E-2</v>
      </c>
      <c r="L163" s="18">
        <f>IF(ISNUMBER(J163), $B172 * K163, "")</f>
        <v>-1083.0324909747292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6"/>
      <c r="R163" s="257"/>
      <c r="S163" s="258"/>
    </row>
    <row r="164" spans="1:19" ht="17.25" thickBot="1">
      <c r="A164" s="125" t="s">
        <v>61</v>
      </c>
      <c r="B164" s="126">
        <v>941</v>
      </c>
      <c r="C164" s="77">
        <v>5.3418802999999999E-3</v>
      </c>
      <c r="D164" s="15">
        <v>973</v>
      </c>
      <c r="E164" s="32">
        <f t="shared" si="86"/>
        <v>3.4006376195536661E-2</v>
      </c>
      <c r="F164" s="18">
        <f>IF(ISNUMBER(D164), $B172 * E164, "")</f>
        <v>3400.6376195536659</v>
      </c>
      <c r="G164" s="31">
        <v>955</v>
      </c>
      <c r="H164" s="32">
        <f t="shared" si="87"/>
        <v>1.487778958554729E-2</v>
      </c>
      <c r="I164" s="101">
        <f>IF(ISNUMBER(G164), $B172 * H164, "")</f>
        <v>1487.7789585547291</v>
      </c>
      <c r="J164" s="15">
        <v>946</v>
      </c>
      <c r="K164" s="32">
        <f t="shared" si="88"/>
        <v>5.3134962805526037E-3</v>
      </c>
      <c r="L164" s="18">
        <f>IF(ISNUMBER(J164), $B172 * K164, "")</f>
        <v>531.34962805526038</v>
      </c>
      <c r="M164" s="31"/>
      <c r="N164" s="32" t="str">
        <f t="shared" si="89"/>
        <v/>
      </c>
      <c r="O164" s="18" t="str">
        <f>IF(ISNUMBER(M164), $B172 * N164, "")</f>
        <v/>
      </c>
      <c r="Q164" s="241"/>
      <c r="R164" s="241"/>
      <c r="S164" s="241"/>
    </row>
    <row r="165" spans="1:19" ht="17.25" thickBot="1">
      <c r="A165" s="125" t="s">
        <v>230</v>
      </c>
      <c r="B165" s="126">
        <v>211</v>
      </c>
      <c r="C165" s="77">
        <v>4.7619048000000002E-3</v>
      </c>
      <c r="D165" s="15">
        <v>217</v>
      </c>
      <c r="E165" s="32">
        <f t="shared" si="86"/>
        <v>2.843601895734597E-2</v>
      </c>
      <c r="F165" s="18">
        <f>IF(ISNUMBER(D165), $B172 * E165, "")</f>
        <v>2843.6018957345968</v>
      </c>
      <c r="G165" s="31">
        <v>213</v>
      </c>
      <c r="H165" s="32">
        <f t="shared" si="87"/>
        <v>9.4786729857819912E-3</v>
      </c>
      <c r="I165" s="101">
        <f>IF(ISNUMBER(G165), $B172 * H165, "")</f>
        <v>947.8672985781991</v>
      </c>
      <c r="J165" s="15">
        <v>213</v>
      </c>
      <c r="K165" s="32">
        <f t="shared" si="88"/>
        <v>9.4786729857819912E-3</v>
      </c>
      <c r="L165" s="18">
        <f>IF(ISNUMBER(J165), $B172 * K165, "")</f>
        <v>947.8672985781991</v>
      </c>
      <c r="M165" s="31"/>
      <c r="N165" s="32" t="str">
        <f t="shared" si="89"/>
        <v/>
      </c>
      <c r="O165" s="18" t="str">
        <f>IF(ISNUMBER(M165), $B172 * N165, "")</f>
        <v/>
      </c>
      <c r="Q165" s="236"/>
      <c r="R165" s="236"/>
      <c r="S165" s="236"/>
    </row>
    <row r="166" spans="1:19" ht="17.25" thickBot="1">
      <c r="A166" s="127" t="s">
        <v>228</v>
      </c>
      <c r="B166" s="128">
        <v>398</v>
      </c>
      <c r="C166" s="78">
        <v>0</v>
      </c>
      <c r="D166" s="20">
        <v>413</v>
      </c>
      <c r="E166" s="21">
        <f t="shared" si="86"/>
        <v>3.7688442211055273E-2</v>
      </c>
      <c r="F166" s="22">
        <f>IF(ISNUMBER(D166), $B172 * E166, "")</f>
        <v>3768.8442211055271</v>
      </c>
      <c r="G166" s="30">
        <v>411</v>
      </c>
      <c r="H166" s="21">
        <f t="shared" si="87"/>
        <v>3.2663316582914576E-2</v>
      </c>
      <c r="I166" s="105">
        <f>IF(ISNUMBER(G166), $B172 * H166, "")</f>
        <v>3266.3316582914576</v>
      </c>
      <c r="J166" s="20">
        <v>413</v>
      </c>
      <c r="K166" s="21">
        <f t="shared" si="88"/>
        <v>3.7688442211055273E-2</v>
      </c>
      <c r="L166" s="22">
        <f>IF(ISNUMBER(J166), $B172 * K166, "")</f>
        <v>3768.8442211055271</v>
      </c>
      <c r="M166" s="30"/>
      <c r="N166" s="21" t="str">
        <f t="shared" si="89"/>
        <v/>
      </c>
      <c r="O166" s="22" t="str">
        <f>IF(ISNUMBER(M166), $B172 * N166, "")</f>
        <v/>
      </c>
      <c r="Q166" s="236"/>
      <c r="R166" s="236"/>
      <c r="S166" s="236"/>
    </row>
    <row r="167" spans="1:19" ht="17.25" thickBot="1">
      <c r="A167" s="125" t="s">
        <v>166</v>
      </c>
      <c r="B167" s="129">
        <v>257</v>
      </c>
      <c r="C167" s="80">
        <v>-3.8759689999999999E-3</v>
      </c>
      <c r="D167" s="106">
        <v>263</v>
      </c>
      <c r="E167" s="107">
        <f>IF(ISNUMBER(D167), (D167 - $B167) / $B167, "")</f>
        <v>2.3346303501945526E-2</v>
      </c>
      <c r="F167" s="108">
        <f>IF(ISNUMBER(D167), $B172 * E167, "")</f>
        <v>2334.6303501945526</v>
      </c>
      <c r="G167" s="109">
        <v>262</v>
      </c>
      <c r="H167" s="107">
        <f>IF(ISNUMBER(G167), (G167 - $B167) / $B167, "")</f>
        <v>1.9455252918287938E-2</v>
      </c>
      <c r="I167" s="110">
        <f>IF(ISNUMBER(G167), $B172 * H167, "")</f>
        <v>1945.5252918287938</v>
      </c>
      <c r="J167" s="106">
        <v>259</v>
      </c>
      <c r="K167" s="107">
        <f>IF(ISNUMBER(J167), (J167 - $B167) / $B167, "")</f>
        <v>7.7821011673151752E-3</v>
      </c>
      <c r="L167" s="108">
        <f>IF(ISNUMBER(J167), $B172 * K167, "")</f>
        <v>778.21011673151747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1"/>
      <c r="R167" s="241"/>
      <c r="S167" s="241"/>
    </row>
    <row r="168" spans="1:19" ht="17.25" thickBot="1">
      <c r="A168" s="125" t="s">
        <v>138</v>
      </c>
      <c r="B168" s="126">
        <v>391</v>
      </c>
      <c r="C168" s="77">
        <v>-5.0890585000000002E-3</v>
      </c>
      <c r="D168" s="15">
        <v>402</v>
      </c>
      <c r="E168" s="32">
        <f t="shared" ref="E168:E171" si="90">IF(ISNUMBER(D168), (D168 - $B168) / $B168, "")</f>
        <v>2.8132992327365727E-2</v>
      </c>
      <c r="F168" s="18">
        <f>IF(ISNUMBER(D168), $B172 * E168, "")</f>
        <v>2813.2992327365728</v>
      </c>
      <c r="G168" s="31">
        <v>397</v>
      </c>
      <c r="H168" s="32">
        <f t="shared" ref="H168:H171" si="91">IF(ISNUMBER(G168), (G168 - $B168) / $B168, "")</f>
        <v>1.5345268542199489E-2</v>
      </c>
      <c r="I168" s="101">
        <f>IF(ISNUMBER(G168), $B172 * H168, "")</f>
        <v>1534.526854219949</v>
      </c>
      <c r="J168" s="15">
        <v>393</v>
      </c>
      <c r="K168" s="32">
        <f t="shared" ref="K168:K171" si="92">IF(ISNUMBER(J168), (J168 - $B168) / $B168, "")</f>
        <v>5.1150895140664966E-3</v>
      </c>
      <c r="L168" s="18">
        <f>IF(ISNUMBER(J168), $B172 * K168, "")</f>
        <v>511.50895140664966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1"/>
      <c r="R168" s="241"/>
      <c r="S168" s="241"/>
    </row>
    <row r="169" spans="1:19" ht="17.25" thickBot="1">
      <c r="A169" s="125" t="s">
        <v>114</v>
      </c>
      <c r="B169" s="126">
        <v>743</v>
      </c>
      <c r="C169" s="77">
        <v>-5.3547522999999996E-3</v>
      </c>
      <c r="D169" s="15">
        <v>755</v>
      </c>
      <c r="E169" s="32">
        <f t="shared" si="90"/>
        <v>1.6150740242261104E-2</v>
      </c>
      <c r="F169" s="18">
        <f>IF(ISNUMBER(D169), $B172 * E169, "")</f>
        <v>1615.0740242261104</v>
      </c>
      <c r="G169" s="31">
        <v>739</v>
      </c>
      <c r="H169" s="32">
        <f t="shared" si="91"/>
        <v>-5.3835800807537013E-3</v>
      </c>
      <c r="I169" s="101">
        <f>IF(ISNUMBER(G169), $B172 * H169, "")</f>
        <v>-538.35800807537009</v>
      </c>
      <c r="J169" s="15">
        <v>737</v>
      </c>
      <c r="K169" s="32">
        <f t="shared" si="92"/>
        <v>-8.0753701211305519E-3</v>
      </c>
      <c r="L169" s="18">
        <f>IF(ISNUMBER(J169), $B172 * K169, "")</f>
        <v>-807.5370121130552</v>
      </c>
      <c r="M169" s="31"/>
      <c r="N169" s="32" t="str">
        <f t="shared" si="93"/>
        <v/>
      </c>
      <c r="O169" s="18" t="str">
        <f>IF(ISNUMBER(M169), $B172 * N169, "")</f>
        <v/>
      </c>
      <c r="Q169" s="241"/>
      <c r="R169" s="241"/>
      <c r="S169" s="241"/>
    </row>
    <row r="170" spans="1:19">
      <c r="A170" s="125" t="s">
        <v>222</v>
      </c>
      <c r="B170" s="126">
        <v>146</v>
      </c>
      <c r="C170" s="77">
        <v>-1.3513513499999999E-2</v>
      </c>
      <c r="D170" s="15">
        <v>152</v>
      </c>
      <c r="E170" s="32">
        <f t="shared" si="90"/>
        <v>4.1095890410958902E-2</v>
      </c>
      <c r="F170" s="18">
        <f>IF(ISNUMBER(D170), $B172 * E170, "")</f>
        <v>4109.58904109589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148</v>
      </c>
      <c r="K170" s="32">
        <f t="shared" si="92"/>
        <v>1.3698630136986301E-2</v>
      </c>
      <c r="L170" s="18">
        <f>IF(ISNUMBER(J170), $B172 * K170, "")</f>
        <v>1369.8630136986301</v>
      </c>
      <c r="M170" s="31"/>
      <c r="N170" s="32" t="str">
        <f t="shared" si="93"/>
        <v/>
      </c>
      <c r="O170" s="18" t="str">
        <f>IF(ISNUMBER(M170), $B172 * N170, "")</f>
        <v/>
      </c>
      <c r="Q170" s="263"/>
      <c r="R170" s="264"/>
      <c r="S170" s="265"/>
    </row>
    <row r="171" spans="1:19" ht="17.25" thickBot="1">
      <c r="A171" s="130" t="s">
        <v>86</v>
      </c>
      <c r="B171" s="131">
        <v>426</v>
      </c>
      <c r="C171" s="79">
        <v>-1.84331797E-2</v>
      </c>
      <c r="D171" s="24">
        <v>437</v>
      </c>
      <c r="E171" s="25">
        <f t="shared" si="90"/>
        <v>2.5821596244131457E-2</v>
      </c>
      <c r="F171" s="104">
        <f>IF(ISNUMBER(D171), $B172 * E171, "")</f>
        <v>2582.1596244131456</v>
      </c>
      <c r="G171" s="102">
        <v>428</v>
      </c>
      <c r="H171" s="25">
        <f t="shared" si="91"/>
        <v>4.6948356807511738E-3</v>
      </c>
      <c r="I171" s="103">
        <f>IF(ISNUMBER(G171), $B172 * H171, "")</f>
        <v>469.48356807511738</v>
      </c>
      <c r="J171" s="24">
        <v>423</v>
      </c>
      <c r="K171" s="25">
        <f t="shared" si="92"/>
        <v>-7.0422535211267607E-3</v>
      </c>
      <c r="L171" s="104">
        <f>IF(ISNUMBER(J171), $B172 * K171, "")</f>
        <v>-704.22535211267609</v>
      </c>
      <c r="M171" s="102"/>
      <c r="N171" s="25" t="str">
        <f t="shared" si="93"/>
        <v/>
      </c>
      <c r="O171" s="104" t="str">
        <f>IF(ISNUMBER(M171), $B172 * N171, "")</f>
        <v/>
      </c>
      <c r="Q171" s="266"/>
      <c r="R171" s="267"/>
      <c r="S171" s="268"/>
    </row>
    <row r="172" spans="1:19" ht="17.25" thickBot="1">
      <c r="A172" s="132" t="s">
        <v>270</v>
      </c>
      <c r="B172" s="274">
        <f>$B$37</f>
        <v>100000</v>
      </c>
      <c r="C172" s="275"/>
      <c r="D172" s="26" t="s">
        <v>271</v>
      </c>
      <c r="E172" s="27">
        <f>IF(COUNT(E152:E171), SUM(E152:E171) / COUNT(E152:E171), 0)</f>
        <v>2.9760968349642158E-2</v>
      </c>
      <c r="F172" s="28">
        <f>SUM(F152:F171)</f>
        <v>59521.936699284306</v>
      </c>
      <c r="G172" s="26" t="s">
        <v>271</v>
      </c>
      <c r="H172" s="27">
        <f>IF(COUNT(H152:H171), SUM(H152:H171) / COUNT(H152:H171), 0)</f>
        <v>1.8112996223394882E-2</v>
      </c>
      <c r="I172" s="28">
        <f>SUM(I152:I171)</f>
        <v>36225.992446789765</v>
      </c>
      <c r="J172" s="26" t="s">
        <v>271</v>
      </c>
      <c r="K172" s="27">
        <f>IF(COUNT(K152:K171), SUM(K152:K171) / COUNT(K152:K171), 0)</f>
        <v>1.3389997292628228E-2</v>
      </c>
      <c r="L172" s="28">
        <f>SUM(L152:L171)</f>
        <v>26779.994585256449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69"/>
      <c r="R172" s="270"/>
      <c r="S172" s="27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36"/>
      <c r="R175" s="236"/>
      <c r="S175" s="236"/>
    </row>
    <row r="176" spans="1:19" ht="17.25" thickBot="1">
      <c r="A176" s="211" t="s">
        <v>267</v>
      </c>
      <c r="B176" s="215" t="s">
        <v>49</v>
      </c>
      <c r="C176" s="217"/>
      <c r="D176" s="215" t="s">
        <v>58</v>
      </c>
      <c r="E176" s="216"/>
      <c r="F176" s="217"/>
      <c r="G176" s="242">
        <f>_xlfn.IFNA(VLOOKUP(B176, 현재가테이블!$B$2:$D$200, 2, FALSE), "-")</f>
        <v>53976000</v>
      </c>
      <c r="H176" s="243"/>
      <c r="I176" s="244"/>
      <c r="J176" s="215" t="s">
        <v>59</v>
      </c>
      <c r="K176" s="216"/>
      <c r="L176" s="217"/>
      <c r="M176" s="245">
        <f>_xlfn.IFNA(VLOOKUP(B176, 현재가테이블!$B$2:$D$200, 3, FALSE), "-")</f>
        <v>-2.1216407400000001E-2</v>
      </c>
      <c r="N176" s="246"/>
      <c r="O176" s="247"/>
      <c r="Q176" s="236"/>
      <c r="R176" s="236"/>
      <c r="S176" s="236"/>
    </row>
    <row r="177" spans="1:19" ht="17.25" thickBot="1">
      <c r="A177" s="276" t="s">
        <v>55</v>
      </c>
      <c r="B177" s="278" t="str">
        <f>TEXT($G$1, "[$-ko-KR]yyyy-mm-dd(ddd) ") &amp; "오전 00:00"</f>
        <v>2021-08-14(토) 오전 00:00</v>
      </c>
      <c r="C177" s="279"/>
      <c r="D177" s="238" t="str">
        <f>TEXT($G$1, "[$-ko-KR]yyyy-mm-dd(ddd) ") &amp; "오후 14:00"</f>
        <v>2021-08-14(토) 오후 14:00</v>
      </c>
      <c r="E177" s="239"/>
      <c r="F177" s="240"/>
      <c r="G177" s="238" t="str">
        <f>TEXT($G$1, "[$-ko-KR]yyyy-mm-dd(ddd) ") &amp; "오후 19:00"</f>
        <v>2021-08-14(토) 오후 19:00</v>
      </c>
      <c r="H177" s="239"/>
      <c r="I177" s="240"/>
      <c r="J177" s="238" t="str">
        <f>TEXT($G$1, "[$-ko-KR]yyyy-mm-dd(ddd) ") &amp; "오후 21:00"</f>
        <v>2021-08-14(토) 오후 21:00</v>
      </c>
      <c r="K177" s="239"/>
      <c r="L177" s="240"/>
      <c r="M177" s="238" t="str">
        <f>TEXT($G$1+1, "[$-ko-KR]yyyy-mm-dd(ddd) ") &amp; "오전 00:00"</f>
        <v>2021-08-15(일) 오전 00:00</v>
      </c>
      <c r="N177" s="239"/>
      <c r="O177" s="240"/>
      <c r="Q177" s="236"/>
      <c r="R177" s="236"/>
      <c r="S177" s="236"/>
    </row>
    <row r="178" spans="1:19" ht="17.25" thickBot="1">
      <c r="A178" s="27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2" t="s">
        <v>58</v>
      </c>
      <c r="H178" s="213" t="s">
        <v>268</v>
      </c>
      <c r="I178" s="2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1"/>
      <c r="R178" s="241"/>
      <c r="S178" s="241"/>
    </row>
    <row r="179" spans="1:19" ht="17.25" thickBot="1">
      <c r="A179" s="123" t="s">
        <v>67</v>
      </c>
      <c r="B179" s="124">
        <v>4725</v>
      </c>
      <c r="C179" s="76">
        <v>1.0593219999999999E-3</v>
      </c>
      <c r="D179" s="13">
        <v>5110</v>
      </c>
      <c r="E179" s="14">
        <f>IF(ISNUMBER(D179), (D179 - $B179) / $B179, "")</f>
        <v>8.1481481481481488E-2</v>
      </c>
      <c r="F179" s="16">
        <f>IF(ISNUMBER(D179), $B199 * E179, "")</f>
        <v>8148.1481481481487</v>
      </c>
      <c r="G179" s="29">
        <v>4980</v>
      </c>
      <c r="H179" s="14">
        <f>IF(ISNUMBER(G179), (G179 - $B179) / $B179, "")</f>
        <v>5.3968253968253971E-2</v>
      </c>
      <c r="I179" s="100">
        <f>IF(ISNUMBER(G179), $B199 * H179, "")</f>
        <v>5396.8253968253966</v>
      </c>
      <c r="J179" s="13">
        <v>5015</v>
      </c>
      <c r="K179" s="14">
        <f>IF(ISNUMBER(J179), (J179 - $B179) / $B179, "")</f>
        <v>6.1375661375661375E-2</v>
      </c>
      <c r="L179" s="16">
        <f>IF(ISNUMBER(J179), $B199 * K179, "")</f>
        <v>6137.5661375661375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6"/>
      <c r="R179" s="236"/>
      <c r="S179" s="236"/>
    </row>
    <row r="180" spans="1:19" ht="17.25" thickBot="1">
      <c r="A180" s="125" t="s">
        <v>170</v>
      </c>
      <c r="B180" s="126">
        <v>31640</v>
      </c>
      <c r="C180" s="77">
        <v>0</v>
      </c>
      <c r="D180" s="15">
        <v>32060</v>
      </c>
      <c r="E180" s="32">
        <f t="shared" ref="E180:E183" si="94">IF(ISNUMBER(D180), (D180 - $B180) / $B180, "")</f>
        <v>1.3274336283185841E-2</v>
      </c>
      <c r="F180" s="18">
        <f>IF(ISNUMBER(D180), $B199 * E180, "")</f>
        <v>1327.4336283185839</v>
      </c>
      <c r="G180" s="31">
        <v>31780</v>
      </c>
      <c r="H180" s="32">
        <f t="shared" ref="H180:H183" si="95">IF(ISNUMBER(G180), (G180 - $B180) / $B180, "")</f>
        <v>4.4247787610619468E-3</v>
      </c>
      <c r="I180" s="101">
        <f>IF(ISNUMBER(G180), $B199 * H180, "")</f>
        <v>442.47787610619469</v>
      </c>
      <c r="J180" s="15">
        <v>32670</v>
      </c>
      <c r="K180" s="32">
        <f t="shared" ref="K180:K183" si="96">IF(ISNUMBER(J180), (J180 - $B180) / $B180, "")</f>
        <v>3.2553729456384323E-2</v>
      </c>
      <c r="L180" s="18">
        <f>IF(ISNUMBER(J180), $B199 * K180, "")</f>
        <v>3255.3729456384322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6"/>
      <c r="R180" s="236"/>
      <c r="S180" s="236"/>
    </row>
    <row r="181" spans="1:19" ht="17.25" thickBot="1">
      <c r="A181" s="125" t="s">
        <v>65</v>
      </c>
      <c r="B181" s="126">
        <v>35.700000000000003</v>
      </c>
      <c r="C181" s="77">
        <v>0</v>
      </c>
      <c r="D181" s="15">
        <v>37</v>
      </c>
      <c r="E181" s="32">
        <f t="shared" si="94"/>
        <v>3.6414565826330451E-2</v>
      </c>
      <c r="F181" s="18">
        <f>IF(ISNUMBER(D181), $B199 * E181, "")</f>
        <v>3641.4565826330449</v>
      </c>
      <c r="G181" s="31">
        <v>36.1</v>
      </c>
      <c r="H181" s="32">
        <f t="shared" si="95"/>
        <v>1.1204481792717045E-2</v>
      </c>
      <c r="I181" s="101">
        <f>IF(ISNUMBER(G181), $B199 * H181, "")</f>
        <v>1120.4481792717045</v>
      </c>
      <c r="J181" s="15">
        <v>35.700000000000003</v>
      </c>
      <c r="K181" s="32">
        <f t="shared" si="96"/>
        <v>0</v>
      </c>
      <c r="L181" s="18">
        <f>IF(ISNUMBER(J181), $B199 * K181, "")</f>
        <v>0</v>
      </c>
      <c r="M181" s="31"/>
      <c r="N181" s="32" t="str">
        <f t="shared" si="97"/>
        <v/>
      </c>
      <c r="O181" s="18" t="str">
        <f>IF(ISNUMBER(M181), $B199 * N181, "")</f>
        <v/>
      </c>
      <c r="Q181" s="241"/>
      <c r="R181" s="241"/>
      <c r="S181" s="241"/>
    </row>
    <row r="182" spans="1:19" ht="17.25" thickBot="1">
      <c r="A182" s="125" t="s">
        <v>204</v>
      </c>
      <c r="B182" s="126">
        <v>15.2</v>
      </c>
      <c r="C182" s="77">
        <v>0</v>
      </c>
      <c r="D182" s="15">
        <v>15.6</v>
      </c>
      <c r="E182" s="32">
        <f t="shared" si="94"/>
        <v>2.6315789473684237E-2</v>
      </c>
      <c r="F182" s="18">
        <f>IF(ISNUMBER(D182), $B199 * E182, "")</f>
        <v>2631.5789473684235</v>
      </c>
      <c r="G182" s="31">
        <v>15.3</v>
      </c>
      <c r="H182" s="32">
        <f t="shared" si="95"/>
        <v>6.5789473684211468E-3</v>
      </c>
      <c r="I182" s="101">
        <f>IF(ISNUMBER(G182), $B199 * H182, "")</f>
        <v>657.89473684211464</v>
      </c>
      <c r="J182" s="15">
        <v>15.2</v>
      </c>
      <c r="K182" s="32">
        <f t="shared" si="96"/>
        <v>0</v>
      </c>
      <c r="L182" s="18">
        <f>IF(ISNUMBER(J182), $B199 * K182, "")</f>
        <v>0</v>
      </c>
      <c r="M182" s="31"/>
      <c r="N182" s="32" t="str">
        <f t="shared" si="97"/>
        <v/>
      </c>
      <c r="O182" s="18" t="str">
        <f>IF(ISNUMBER(M182), $B199 * N182, "")</f>
        <v/>
      </c>
      <c r="Q182" s="241"/>
      <c r="R182" s="241"/>
      <c r="S182" s="241"/>
    </row>
    <row r="183" spans="1:19" ht="17.25" thickBot="1">
      <c r="A183" s="127" t="s">
        <v>208</v>
      </c>
      <c r="B183" s="128">
        <v>14.3</v>
      </c>
      <c r="C183" s="78">
        <v>0</v>
      </c>
      <c r="D183" s="20">
        <v>14.5</v>
      </c>
      <c r="E183" s="21">
        <f t="shared" si="94"/>
        <v>1.3986013986013936E-2</v>
      </c>
      <c r="F183" s="22">
        <f>IF(ISNUMBER(D183), $B199 * E183, "")</f>
        <v>1398.6013986013936</v>
      </c>
      <c r="G183" s="30">
        <v>14.4</v>
      </c>
      <c r="H183" s="21">
        <f t="shared" si="95"/>
        <v>6.9930069930069678E-3</v>
      </c>
      <c r="I183" s="105">
        <f>IF(ISNUMBER(G183), $B199 * H183, "")</f>
        <v>699.30069930069681</v>
      </c>
      <c r="J183" s="20">
        <v>14.2</v>
      </c>
      <c r="K183" s="21">
        <f t="shared" si="96"/>
        <v>-6.9930069930070919E-3</v>
      </c>
      <c r="L183" s="22">
        <f>IF(ISNUMBER(J183), $B199 * K183, "")</f>
        <v>-699.3006993007092</v>
      </c>
      <c r="M183" s="30"/>
      <c r="N183" s="21" t="str">
        <f t="shared" si="97"/>
        <v/>
      </c>
      <c r="O183" s="22" t="str">
        <f>IF(ISNUMBER(M183), $B199 * N183, "")</f>
        <v/>
      </c>
      <c r="Q183" s="241"/>
      <c r="R183" s="241"/>
      <c r="S183" s="241"/>
    </row>
    <row r="184" spans="1:19" ht="17.25" thickBot="1">
      <c r="A184" s="125" t="s">
        <v>150</v>
      </c>
      <c r="B184" s="129">
        <v>13</v>
      </c>
      <c r="C184" s="80">
        <v>0</v>
      </c>
      <c r="D184" s="106">
        <v>13.3</v>
      </c>
      <c r="E184" s="107">
        <f>IF(ISNUMBER(D184), (D184 - $B184) / $B184, "")</f>
        <v>2.307692307692313E-2</v>
      </c>
      <c r="F184" s="108">
        <f>IF(ISNUMBER(D184), $B199 * E184, "")</f>
        <v>2307.6923076923131</v>
      </c>
      <c r="G184" s="109">
        <v>13.2</v>
      </c>
      <c r="H184" s="107">
        <f>IF(ISNUMBER(G184), (G184 - $B184) / $B184, "")</f>
        <v>1.538461538461533E-2</v>
      </c>
      <c r="I184" s="110">
        <f>IF(ISNUMBER(G184), $B199 * H184, "")</f>
        <v>1538.4615384615331</v>
      </c>
      <c r="J184" s="106">
        <v>13.1</v>
      </c>
      <c r="K184" s="107">
        <f>IF(ISNUMBER(J184), (J184 - $B184) / $B184, "")</f>
        <v>7.692307692307665E-3</v>
      </c>
      <c r="L184" s="108">
        <f>IF(ISNUMBER(J184), $B199 * K184, "")</f>
        <v>769.23076923076655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1"/>
      <c r="R184" s="241"/>
      <c r="S184" s="241"/>
    </row>
    <row r="185" spans="1:19" ht="17.25" thickBot="1">
      <c r="A185" s="125" t="s">
        <v>228</v>
      </c>
      <c r="B185" s="126">
        <v>398</v>
      </c>
      <c r="C185" s="77">
        <v>0</v>
      </c>
      <c r="D185" s="15">
        <v>413</v>
      </c>
      <c r="E185" s="32">
        <f t="shared" ref="E185:E188" si="98">IF(ISNUMBER(D185), (D185 - $B185) / $B185, "")</f>
        <v>3.7688442211055273E-2</v>
      </c>
      <c r="F185" s="18">
        <f>IF(ISNUMBER(D185), $B199 * E185, "")</f>
        <v>3768.8442211055271</v>
      </c>
      <c r="G185" s="31">
        <v>411</v>
      </c>
      <c r="H185" s="32">
        <f t="shared" ref="H185:H188" si="99">IF(ISNUMBER(G185), (G185 - $B185) / $B185, "")</f>
        <v>3.2663316582914576E-2</v>
      </c>
      <c r="I185" s="101">
        <f>IF(ISNUMBER(G185), $B199 * H185, "")</f>
        <v>3266.3316582914576</v>
      </c>
      <c r="J185" s="15">
        <v>413</v>
      </c>
      <c r="K185" s="32">
        <f t="shared" ref="K185:K188" si="100">IF(ISNUMBER(J185), (J185 - $B185) / $B185, "")</f>
        <v>3.7688442211055273E-2</v>
      </c>
      <c r="L185" s="18">
        <f>IF(ISNUMBER(J185), $B199 * K185, "")</f>
        <v>3768.8442211055271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1"/>
      <c r="R185" s="241"/>
      <c r="S185" s="241"/>
    </row>
    <row r="186" spans="1:19" ht="17.25" thickBot="1">
      <c r="A186" s="125" t="s">
        <v>214</v>
      </c>
      <c r="B186" s="126">
        <v>1165</v>
      </c>
      <c r="C186" s="77">
        <v>0</v>
      </c>
      <c r="D186" s="15">
        <v>1170</v>
      </c>
      <c r="E186" s="32">
        <f t="shared" si="98"/>
        <v>4.2918454935622317E-3</v>
      </c>
      <c r="F186" s="18">
        <f>IF(ISNUMBER(D186), $B199 * E186, "")</f>
        <v>429.18454935622316</v>
      </c>
      <c r="G186" s="31">
        <v>1150</v>
      </c>
      <c r="H186" s="32">
        <f t="shared" si="99"/>
        <v>-1.2875536480686695E-2</v>
      </c>
      <c r="I186" s="101">
        <f>IF(ISNUMBER(G186), $B199 * H186, "")</f>
        <v>-1287.5536480686694</v>
      </c>
      <c r="J186" s="15">
        <v>1095</v>
      </c>
      <c r="K186" s="32">
        <f t="shared" si="100"/>
        <v>-6.0085836909871244E-2</v>
      </c>
      <c r="L186" s="18">
        <f>IF(ISNUMBER(J186), $B199 * K186, "")</f>
        <v>-6008.5836909871241</v>
      </c>
      <c r="M186" s="31"/>
      <c r="N186" s="32" t="str">
        <f t="shared" si="101"/>
        <v/>
      </c>
      <c r="O186" s="18" t="str">
        <f>IF(ISNUMBER(M186), $B199 * N186, "")</f>
        <v/>
      </c>
      <c r="Q186" s="241"/>
      <c r="R186" s="241"/>
      <c r="S186" s="241"/>
    </row>
    <row r="187" spans="1:19" ht="17.25" thickBot="1">
      <c r="A187" s="125" t="s">
        <v>120</v>
      </c>
      <c r="B187" s="126">
        <v>4815</v>
      </c>
      <c r="C187" s="77">
        <v>-2.0725388999999999E-3</v>
      </c>
      <c r="D187" s="15">
        <v>5250</v>
      </c>
      <c r="E187" s="32">
        <f t="shared" si="98"/>
        <v>9.0342679127725853E-2</v>
      </c>
      <c r="F187" s="18">
        <f>IF(ISNUMBER(D187), $B199 * E187, "")</f>
        <v>9034.267912772586</v>
      </c>
      <c r="G187" s="31">
        <v>5420</v>
      </c>
      <c r="H187" s="32">
        <f t="shared" si="99"/>
        <v>0.12564901349948079</v>
      </c>
      <c r="I187" s="101">
        <f>IF(ISNUMBER(G187), $B199 * H187, "")</f>
        <v>12564.901349948079</v>
      </c>
      <c r="J187" s="15">
        <v>5250</v>
      </c>
      <c r="K187" s="32">
        <f t="shared" si="100"/>
        <v>9.0342679127725853E-2</v>
      </c>
      <c r="L187" s="18">
        <f>IF(ISNUMBER(J187), $B199 * K187, "")</f>
        <v>9034.267912772586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182</v>
      </c>
      <c r="B188" s="131">
        <v>62060</v>
      </c>
      <c r="C188" s="79">
        <v>-2.7318014E-3</v>
      </c>
      <c r="D188" s="24">
        <v>63480</v>
      </c>
      <c r="E188" s="25">
        <f t="shared" si="98"/>
        <v>2.2881082823074442E-2</v>
      </c>
      <c r="F188" s="104">
        <f>IF(ISNUMBER(D188), $B199 * E188, "")</f>
        <v>2288.1082823074444</v>
      </c>
      <c r="G188" s="102">
        <v>62530</v>
      </c>
      <c r="H188" s="25">
        <f t="shared" si="99"/>
        <v>7.573316145665485E-3</v>
      </c>
      <c r="I188" s="103">
        <f>IF(ISNUMBER(G188), $B199 * H188, "")</f>
        <v>757.33161456654852</v>
      </c>
      <c r="J188" s="24">
        <v>63010</v>
      </c>
      <c r="K188" s="25">
        <f t="shared" si="100"/>
        <v>1.5307766677408959E-2</v>
      </c>
      <c r="L188" s="104">
        <f>IF(ISNUMBER(J188), $B199 * K188, "")</f>
        <v>1530.7766677408958</v>
      </c>
      <c r="M188" s="102"/>
      <c r="N188" s="25" t="str">
        <f t="shared" si="101"/>
        <v/>
      </c>
      <c r="O188" s="104" t="str">
        <f>IF(ISNUMBER(M188), $B199 * N188, "")</f>
        <v/>
      </c>
      <c r="Q188" s="250"/>
      <c r="R188" s="251"/>
      <c r="S188" s="252"/>
    </row>
    <row r="189" spans="1:19">
      <c r="A189" s="123" t="s">
        <v>106</v>
      </c>
      <c r="B189" s="124">
        <v>64510</v>
      </c>
      <c r="C189" s="76">
        <v>-3.3987332000000002E-3</v>
      </c>
      <c r="D189" s="13">
        <v>64720</v>
      </c>
      <c r="E189" s="14">
        <f>IF(ISNUMBER(D189), (D189 - $B189) / $B189, "")</f>
        <v>3.2553092543791662E-3</v>
      </c>
      <c r="F189" s="16">
        <f>IF(ISNUMBER(D189), $B199 * E189, "")</f>
        <v>325.53092543791661</v>
      </c>
      <c r="G189" s="29">
        <v>63990</v>
      </c>
      <c r="H189" s="14">
        <f>IF(ISNUMBER(G189), (G189 - $B189) / $B189, "")</f>
        <v>-8.0607657727484114E-3</v>
      </c>
      <c r="I189" s="100">
        <f>IF(ISNUMBER(G189), $B199 * H189, "")</f>
        <v>-806.07657727484116</v>
      </c>
      <c r="J189" s="13">
        <v>63650</v>
      </c>
      <c r="K189" s="14">
        <f>IF(ISNUMBER(J189), (J189 - $B189) / $B189, "")</f>
        <v>-1.3331266470314679E-2</v>
      </c>
      <c r="L189" s="16">
        <f>IF(ISNUMBER(J189), $B199 * K189, "")</f>
        <v>-1333.1266470314679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3"/>
      <c r="R189" s="254"/>
      <c r="S189" s="255"/>
    </row>
    <row r="190" spans="1:19" ht="17.25" thickBot="1">
      <c r="A190" s="125" t="s">
        <v>166</v>
      </c>
      <c r="B190" s="126">
        <v>257</v>
      </c>
      <c r="C190" s="77">
        <v>-3.8759689999999999E-3</v>
      </c>
      <c r="D190" s="15">
        <v>263</v>
      </c>
      <c r="E190" s="32">
        <f t="shared" ref="E190:E193" si="102">IF(ISNUMBER(D190), (D190 - $B190) / $B190, "")</f>
        <v>2.3346303501945526E-2</v>
      </c>
      <c r="F190" s="18">
        <f>IF(ISNUMBER(D190), $B199 * E190, "")</f>
        <v>2334.6303501945526</v>
      </c>
      <c r="G190" s="31">
        <v>262</v>
      </c>
      <c r="H190" s="32">
        <f t="shared" ref="H190:H193" si="103">IF(ISNUMBER(G190), (G190 - $B190) / $B190, "")</f>
        <v>1.9455252918287938E-2</v>
      </c>
      <c r="I190" s="101">
        <f>IF(ISNUMBER(G190), $B199 * H190, "")</f>
        <v>1945.5252918287938</v>
      </c>
      <c r="J190" s="15">
        <v>259</v>
      </c>
      <c r="K190" s="32">
        <f t="shared" ref="K190:K193" si="104">IF(ISNUMBER(J190), (J190 - $B190) / $B190, "")</f>
        <v>7.7821011673151752E-3</v>
      </c>
      <c r="L190" s="18">
        <f>IF(ISNUMBER(J190), $B199 * K190, "")</f>
        <v>778.21011673151747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6"/>
      <c r="R190" s="257"/>
      <c r="S190" s="258"/>
    </row>
    <row r="191" spans="1:19" ht="17.25" thickBot="1">
      <c r="A191" s="125" t="s">
        <v>138</v>
      </c>
      <c r="B191" s="126">
        <v>391</v>
      </c>
      <c r="C191" s="77">
        <v>-5.0890585000000002E-3</v>
      </c>
      <c r="D191" s="15">
        <v>402</v>
      </c>
      <c r="E191" s="32">
        <f t="shared" si="102"/>
        <v>2.8132992327365727E-2</v>
      </c>
      <c r="F191" s="18">
        <f>IF(ISNUMBER(D191), $B199 * E191, "")</f>
        <v>2813.2992327365728</v>
      </c>
      <c r="G191" s="31">
        <v>397</v>
      </c>
      <c r="H191" s="32">
        <f t="shared" si="103"/>
        <v>1.5345268542199489E-2</v>
      </c>
      <c r="I191" s="101">
        <f>IF(ISNUMBER(G191), $B199 * H191, "")</f>
        <v>1534.526854219949</v>
      </c>
      <c r="J191" s="15">
        <v>393</v>
      </c>
      <c r="K191" s="32">
        <f t="shared" si="104"/>
        <v>5.1150895140664966E-3</v>
      </c>
      <c r="L191" s="18">
        <f>IF(ISNUMBER(J191), $B199 * K191, "")</f>
        <v>511.50895140664966</v>
      </c>
      <c r="M191" s="31"/>
      <c r="N191" s="32" t="str">
        <f t="shared" si="105"/>
        <v/>
      </c>
      <c r="O191" s="18" t="str">
        <f>IF(ISNUMBER(M191), $B199 * N191, "")</f>
        <v/>
      </c>
      <c r="Q191" s="241"/>
      <c r="R191" s="241"/>
      <c r="S191" s="241"/>
    </row>
    <row r="192" spans="1:19" ht="17.25" thickBot="1">
      <c r="A192" s="125" t="s">
        <v>114</v>
      </c>
      <c r="B192" s="126">
        <v>743</v>
      </c>
      <c r="C192" s="77">
        <v>-5.3547522999999996E-3</v>
      </c>
      <c r="D192" s="15">
        <v>755</v>
      </c>
      <c r="E192" s="32">
        <f t="shared" si="102"/>
        <v>1.6150740242261104E-2</v>
      </c>
      <c r="F192" s="18">
        <f>IF(ISNUMBER(D192), $B199 * E192, "")</f>
        <v>1615.0740242261104</v>
      </c>
      <c r="G192" s="31">
        <v>739</v>
      </c>
      <c r="H192" s="32">
        <f t="shared" si="103"/>
        <v>-5.3835800807537013E-3</v>
      </c>
      <c r="I192" s="101">
        <f>IF(ISNUMBER(G192), $B199 * H192, "")</f>
        <v>-538.35800807537009</v>
      </c>
      <c r="J192" s="15">
        <v>737</v>
      </c>
      <c r="K192" s="32">
        <f t="shared" si="104"/>
        <v>-8.0753701211305519E-3</v>
      </c>
      <c r="L192" s="18">
        <f>IF(ISNUMBER(J192), $B199 * K192, "")</f>
        <v>-807.5370121130552</v>
      </c>
      <c r="M192" s="31"/>
      <c r="N192" s="32" t="str">
        <f t="shared" si="105"/>
        <v/>
      </c>
      <c r="O192" s="18" t="str">
        <f>IF(ISNUMBER(M192), $B199 * N192, "")</f>
        <v/>
      </c>
      <c r="Q192" s="236"/>
      <c r="R192" s="236"/>
      <c r="S192" s="236"/>
    </row>
    <row r="193" spans="1:19" ht="17.25" thickBot="1">
      <c r="A193" s="127" t="s">
        <v>98</v>
      </c>
      <c r="B193" s="128">
        <v>5.39</v>
      </c>
      <c r="C193" s="78">
        <v>-5.5350553999999998E-3</v>
      </c>
      <c r="D193" s="20">
        <v>5.55</v>
      </c>
      <c r="E193" s="21">
        <f t="shared" si="102"/>
        <v>2.968460111317257E-2</v>
      </c>
      <c r="F193" s="22">
        <f>IF(ISNUMBER(D193), $B199 * E193, "")</f>
        <v>2968.4601113172571</v>
      </c>
      <c r="G193" s="30">
        <v>5.56</v>
      </c>
      <c r="H193" s="21">
        <f t="shared" si="103"/>
        <v>3.1539888682745813E-2</v>
      </c>
      <c r="I193" s="105">
        <f>IF(ISNUMBER(G193), $B199 * H193, "")</f>
        <v>3153.9888682745814</v>
      </c>
      <c r="J193" s="20">
        <v>5.47</v>
      </c>
      <c r="K193" s="21">
        <f t="shared" si="104"/>
        <v>1.4842300556586285E-2</v>
      </c>
      <c r="L193" s="22">
        <f>IF(ISNUMBER(J193), $B199 * K193, "")</f>
        <v>1484.2300556586285</v>
      </c>
      <c r="M193" s="30"/>
      <c r="N193" s="21" t="str">
        <f t="shared" si="105"/>
        <v/>
      </c>
      <c r="O193" s="22" t="str">
        <f>IF(ISNUMBER(M193), $B199 * N193, "")</f>
        <v/>
      </c>
      <c r="Q193" s="236"/>
      <c r="R193" s="236"/>
      <c r="S193" s="236"/>
    </row>
    <row r="194" spans="1:19" ht="17.25" thickBot="1">
      <c r="A194" s="125" t="s">
        <v>176</v>
      </c>
      <c r="B194" s="129">
        <v>1570</v>
      </c>
      <c r="C194" s="80">
        <v>-6.3291138999999998E-3</v>
      </c>
      <c r="D194" s="106">
        <v>1595</v>
      </c>
      <c r="E194" s="107">
        <f>IF(ISNUMBER(D194), (D194 - $B194) / $B194, "")</f>
        <v>1.5923566878980892E-2</v>
      </c>
      <c r="F194" s="108">
        <f>IF(ISNUMBER(D194), $B199 * E194, "")</f>
        <v>1592.3566878980891</v>
      </c>
      <c r="G194" s="109">
        <v>1580</v>
      </c>
      <c r="H194" s="107">
        <f>IF(ISNUMBER(G194), (G194 - $B194) / $B194, "")</f>
        <v>6.369426751592357E-3</v>
      </c>
      <c r="I194" s="110">
        <f>IF(ISNUMBER(G194), $B199 * H194, "")</f>
        <v>636.9426751592357</v>
      </c>
      <c r="J194" s="106">
        <v>1580</v>
      </c>
      <c r="K194" s="107">
        <f>IF(ISNUMBER(J194), (J194 - $B194) / $B194, "")</f>
        <v>6.369426751592357E-3</v>
      </c>
      <c r="L194" s="108">
        <f>IF(ISNUMBER(J194), $B199 * K194, "")</f>
        <v>636.9426751592357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1"/>
      <c r="R194" s="241"/>
      <c r="S194" s="241"/>
    </row>
    <row r="195" spans="1:19" ht="17.25" thickBot="1">
      <c r="A195" s="125" t="s">
        <v>190</v>
      </c>
      <c r="B195" s="126">
        <v>19.899999999999999</v>
      </c>
      <c r="C195" s="77">
        <v>-9.9502488000000004E-3</v>
      </c>
      <c r="D195" s="15">
        <v>20.6</v>
      </c>
      <c r="E195" s="32">
        <f t="shared" ref="E195:E198" si="106">IF(ISNUMBER(D195), (D195 - $B195) / $B195, "")</f>
        <v>3.517587939698507E-2</v>
      </c>
      <c r="F195" s="18">
        <f>IF(ISNUMBER(D195), $B199 * E195, "")</f>
        <v>3517.5879396985069</v>
      </c>
      <c r="G195" s="31">
        <v>20</v>
      </c>
      <c r="H195" s="32">
        <f t="shared" ref="H195:H198" si="107">IF(ISNUMBER(G195), (G195 - $B195) / $B195, "")</f>
        <v>5.0251256281407756E-3</v>
      </c>
      <c r="I195" s="101">
        <f>IF(ISNUMBER(G195), $B199 * H195, "")</f>
        <v>502.51256281407757</v>
      </c>
      <c r="J195" s="15">
        <v>19.8</v>
      </c>
      <c r="K195" s="32">
        <f t="shared" ref="K195:K198" si="108">IF(ISNUMBER(J195), (J195 - $B195) / $B195, "")</f>
        <v>-5.0251256281405969E-3</v>
      </c>
      <c r="L195" s="18">
        <f>IF(ISNUMBER(J195), $B199 * K195, "")</f>
        <v>-502.51256281405966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1"/>
      <c r="R195" s="241"/>
      <c r="S195" s="241"/>
    </row>
    <row r="196" spans="1:19" ht="17.25" thickBot="1">
      <c r="A196" s="125" t="s">
        <v>202</v>
      </c>
      <c r="B196" s="126">
        <v>97.6</v>
      </c>
      <c r="C196" s="77">
        <v>-1.01419878E-2</v>
      </c>
      <c r="D196" s="15">
        <v>99.3</v>
      </c>
      <c r="E196" s="32">
        <f t="shared" si="106"/>
        <v>1.7418032786885276E-2</v>
      </c>
      <c r="F196" s="18">
        <f>IF(ISNUMBER(D196), $B199 * E196, "")</f>
        <v>1741.8032786885276</v>
      </c>
      <c r="G196" s="31">
        <v>97.9</v>
      </c>
      <c r="H196" s="32">
        <f t="shared" si="107"/>
        <v>3.0737704918033953E-3</v>
      </c>
      <c r="I196" s="101">
        <f>IF(ISNUMBER(G196), $B199 * H196, "")</f>
        <v>307.37704918033955</v>
      </c>
      <c r="J196" s="15">
        <v>96.9</v>
      </c>
      <c r="K196" s="32">
        <f t="shared" si="108"/>
        <v>-7.1721311475408675E-3</v>
      </c>
      <c r="L196" s="18">
        <f>IF(ISNUMBER(J196), $B199 * K196, "")</f>
        <v>-717.21311475408675</v>
      </c>
      <c r="M196" s="31"/>
      <c r="N196" s="32" t="str">
        <f t="shared" si="109"/>
        <v/>
      </c>
      <c r="O196" s="18" t="str">
        <f>IF(ISNUMBER(M196), $B199 * N196, "")</f>
        <v/>
      </c>
      <c r="Q196" s="241"/>
      <c r="R196" s="241"/>
      <c r="S196" s="241"/>
    </row>
    <row r="197" spans="1:19">
      <c r="A197" s="125" t="s">
        <v>222</v>
      </c>
      <c r="B197" s="126">
        <v>146</v>
      </c>
      <c r="C197" s="77">
        <v>-1.3513513499999999E-2</v>
      </c>
      <c r="D197" s="15">
        <v>152</v>
      </c>
      <c r="E197" s="32">
        <f t="shared" si="106"/>
        <v>4.1095890410958902E-2</v>
      </c>
      <c r="F197" s="18">
        <f>IF(ISNUMBER(D197), $B199 * E197, "")</f>
        <v>4109.58904109589</v>
      </c>
      <c r="G197" s="31">
        <v>150</v>
      </c>
      <c r="H197" s="32">
        <f t="shared" si="107"/>
        <v>2.7397260273972601E-2</v>
      </c>
      <c r="I197" s="101">
        <f>IF(ISNUMBER(G197), $B199 * H197, "")</f>
        <v>2739.7260273972602</v>
      </c>
      <c r="J197" s="15">
        <v>148</v>
      </c>
      <c r="K197" s="32">
        <f t="shared" si="108"/>
        <v>1.3698630136986301E-2</v>
      </c>
      <c r="L197" s="18">
        <f>IF(ISNUMBER(J197), $B199 * K197, "")</f>
        <v>1369.8630136986301</v>
      </c>
      <c r="M197" s="31"/>
      <c r="N197" s="32" t="str">
        <f t="shared" si="109"/>
        <v/>
      </c>
      <c r="O197" s="18" t="str">
        <f>IF(ISNUMBER(M197), $B199 * N197, "")</f>
        <v/>
      </c>
      <c r="Q197" s="263"/>
      <c r="R197" s="264"/>
      <c r="S197" s="265"/>
    </row>
    <row r="198" spans="1:19" ht="17.25" thickBot="1">
      <c r="A198" s="130" t="s">
        <v>86</v>
      </c>
      <c r="B198" s="131">
        <v>426</v>
      </c>
      <c r="C198" s="79">
        <v>-1.84331797E-2</v>
      </c>
      <c r="D198" s="24">
        <v>437</v>
      </c>
      <c r="E198" s="25">
        <f t="shared" si="106"/>
        <v>2.5821596244131457E-2</v>
      </c>
      <c r="F198" s="104">
        <f>IF(ISNUMBER(D198), $B199 * E198, "")</f>
        <v>2582.1596244131456</v>
      </c>
      <c r="G198" s="102">
        <v>428</v>
      </c>
      <c r="H198" s="25">
        <f t="shared" si="107"/>
        <v>4.6948356807511738E-3</v>
      </c>
      <c r="I198" s="103">
        <f>IF(ISNUMBER(G198), $B199 * H198, "")</f>
        <v>469.48356807511738</v>
      </c>
      <c r="J198" s="24">
        <v>423</v>
      </c>
      <c r="K198" s="25">
        <f t="shared" si="108"/>
        <v>-7.0422535211267607E-3</v>
      </c>
      <c r="L198" s="104">
        <f>IF(ISNUMBER(J198), $B199 * K198, "")</f>
        <v>-704.22535211267609</v>
      </c>
      <c r="M198" s="102"/>
      <c r="N198" s="25" t="str">
        <f t="shared" si="109"/>
        <v/>
      </c>
      <c r="O198" s="104" t="str">
        <f>IF(ISNUMBER(M198), $B199 * N198, "")</f>
        <v/>
      </c>
      <c r="Q198" s="266"/>
      <c r="R198" s="267"/>
      <c r="S198" s="268"/>
    </row>
    <row r="199" spans="1:19" ht="17.25" thickBot="1">
      <c r="A199" s="132" t="s">
        <v>270</v>
      </c>
      <c r="B199" s="274">
        <f>$B$37</f>
        <v>100000</v>
      </c>
      <c r="C199" s="275"/>
      <c r="D199" s="26" t="s">
        <v>271</v>
      </c>
      <c r="E199" s="27">
        <f>IF(COUNT(E179:E198), SUM(E179:E198) / COUNT(E179:E198), 0)</f>
        <v>2.9287903597005126E-2</v>
      </c>
      <c r="F199" s="28">
        <f>SUM(F179:F198)</f>
        <v>58575.807194010245</v>
      </c>
      <c r="G199" s="26" t="s">
        <v>271</v>
      </c>
      <c r="H199" s="27">
        <f>IF(COUNT(H179:H198), SUM(H179:H198) / COUNT(H179:H198), 0)</f>
        <v>1.7551033856572102E-2</v>
      </c>
      <c r="I199" s="28">
        <f>SUM(I179:I198)</f>
        <v>35102.067713144199</v>
      </c>
      <c r="J199" s="26" t="s">
        <v>271</v>
      </c>
      <c r="K199" s="27">
        <f>IF(COUNT(K179:K198), SUM(K179:K198) / COUNT(K179:K198), 0)</f>
        <v>9.2521571937979157E-3</v>
      </c>
      <c r="L199" s="28">
        <f>SUM(L179:L198)</f>
        <v>18504.314387595819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69"/>
      <c r="R199" s="270"/>
      <c r="S199" s="27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  <vt:lpstr>2021.08.10</vt:lpstr>
      <vt:lpstr>2021.08.11</vt:lpstr>
      <vt:lpstr>2021.08.12</vt:lpstr>
      <vt:lpstr>2021.08.13</vt:lpstr>
      <vt:lpstr>2021.08.14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2021-08-14T13:00:47Z</dcterms:modified>
</cp:coreProperties>
</file>